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comments3.xml" ContentType="application/vnd.openxmlformats-officedocument.spreadsheetml.comments+xml"/>
  <Override PartName="/xl/threadedComments/threadedComment2.xml" ContentType="application/vnd.ms-excel.threaded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threadedComments/threadedComment3.xml" ContentType="application/vnd.ms-excel.threaded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threadedComments/threadedComment4.xml" ContentType="application/vnd.ms-excel.threadedcomments+xml"/>
  <Override PartName="/xl/comments18.xml" ContentType="application/vnd.openxmlformats-officedocument.spreadsheetml.comments+xml"/>
  <Override PartName="/xl/threadedComments/threadedComment5.xml" ContentType="application/vnd.ms-excel.threaded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threadedComments/threadedComment6.xml" ContentType="application/vnd.ms-excel.threaded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omments30.xml" ContentType="application/vnd.openxmlformats-officedocument.spreadsheetml.comments+xml"/>
  <Override PartName="/xl/comments31.xml" ContentType="application/vnd.openxmlformats-officedocument.spreadsheetml.comments+xml"/>
  <Override PartName="/xl/comments32.xml" ContentType="application/vnd.openxmlformats-officedocument.spreadsheetml.comments+xml"/>
  <Override PartName="/xl/threadedComments/threadedComment7.xml" ContentType="application/vnd.ms-excel.threadedcomments+xml"/>
  <Override PartName="/xl/comments33.xml" ContentType="application/vnd.openxmlformats-officedocument.spreadsheetml.comments+xml"/>
  <Override PartName="/xl/comments34.xml" ContentType="application/vnd.openxmlformats-officedocument.spreadsheetml.comments+xml"/>
  <Override PartName="/xl/comments35.xml" ContentType="application/vnd.openxmlformats-officedocument.spreadsheetml.comments+xml"/>
  <Override PartName="/xl/comments36.xml" ContentType="application/vnd.openxmlformats-officedocument.spreadsheetml.comments+xml"/>
  <Override PartName="/xl/threadedComments/threadedComment8.xml" ContentType="application/vnd.ms-excel.threadedcomments+xml"/>
  <Override PartName="/xl/comments37.xml" ContentType="application/vnd.openxmlformats-officedocument.spreadsheetml.comments+xml"/>
  <Override PartName="/xl/comments38.xml" ContentType="application/vnd.openxmlformats-officedocument.spreadsheetml.comments+xml"/>
  <Override PartName="/xl/comments39.xml" ContentType="application/vnd.openxmlformats-officedocument.spreadsheetml.comments+xml"/>
  <Override PartName="/xl/threadedComments/threadedComment9.xml" ContentType="application/vnd.ms-excel.threadedcomments+xml"/>
  <Override PartName="/xl/comments40.xml" ContentType="application/vnd.openxmlformats-officedocument.spreadsheetml.comments+xml"/>
  <Override PartName="/xl/comments41.xml" ContentType="application/vnd.openxmlformats-officedocument.spreadsheetml.comments+xml"/>
  <Override PartName="/xl/comments42.xml" ContentType="application/vnd.openxmlformats-officedocument.spreadsheetml.comments+xml"/>
  <Override PartName="/xl/comments43.xml" ContentType="application/vnd.openxmlformats-officedocument.spreadsheetml.comments+xml"/>
  <Override PartName="/xl/threadedComments/threadedComment10.xml" ContentType="application/vnd.ms-excel.threadedcomments+xml"/>
  <Override PartName="/xl/comments44.xml" ContentType="application/vnd.openxmlformats-officedocument.spreadsheetml.comments+xml"/>
  <Override PartName="/xl/threadedComments/threadedComment11.xml" ContentType="application/vnd.ms-excel.threadedcomments+xml"/>
  <Override PartName="/xl/comments45.xml" ContentType="application/vnd.openxmlformats-officedocument.spreadsheetml.comments+xml"/>
  <Override PartName="/xl/threadedComments/threadedComment12.xml" ContentType="application/vnd.ms-excel.threadedcomments+xml"/>
  <Override PartName="/xl/comments46.xml" ContentType="application/vnd.openxmlformats-officedocument.spreadsheetml.comments+xml"/>
  <Override PartName="/xl/comments47.xml" ContentType="application/vnd.openxmlformats-officedocument.spreadsheetml.comments+xml"/>
  <Override PartName="/xl/comments48.xml" ContentType="application/vnd.openxmlformats-officedocument.spreadsheetml.comments+xml"/>
  <Override PartName="/xl/threadedComments/threadedComment13.xml" ContentType="application/vnd.ms-excel.threadedcomments+xml"/>
  <Override PartName="/xl/comments49.xml" ContentType="application/vnd.openxmlformats-officedocument.spreadsheetml.comments+xml"/>
  <Override PartName="/xl/comments50.xml" ContentType="application/vnd.openxmlformats-officedocument.spreadsheetml.comments+xml"/>
  <Override PartName="/xl/comments51.xml" ContentType="application/vnd.openxmlformats-officedocument.spreadsheetml.comments+xml"/>
  <Override PartName="/xl/comments52.xml" ContentType="application/vnd.openxmlformats-officedocument.spreadsheetml.comments+xml"/>
  <Override PartName="/xl/comments53.xml" ContentType="application/vnd.openxmlformats-officedocument.spreadsheetml.comments+xml"/>
  <Override PartName="/xl/comments54.xml" ContentType="application/vnd.openxmlformats-officedocument.spreadsheetml.comments+xml"/>
  <Override PartName="/xl/threadedComments/threadedComment14.xml" ContentType="application/vnd.ms-excel.threadedcomments+xml"/>
  <Override PartName="/xl/comments55.xml" ContentType="application/vnd.openxmlformats-officedocument.spreadsheetml.comments+xml"/>
  <Override PartName="/xl/threadedComments/threadedComment15.xml" ContentType="application/vnd.ms-excel.threadedcomments+xml"/>
  <Override PartName="/xl/comments56.xml" ContentType="application/vnd.openxmlformats-officedocument.spreadsheetml.comments+xml"/>
  <Override PartName="/xl/threadedComments/threadedComment16.xml" ContentType="application/vnd.ms-excel.threadedcomments+xml"/>
  <Override PartName="/xl/comments57.xml" ContentType="application/vnd.openxmlformats-officedocument.spreadsheetml.comments+xml"/>
  <Override PartName="/xl/threadedComments/threadedComment17.xml" ContentType="application/vnd.ms-excel.threadedcomments+xml"/>
  <Override PartName="/xl/comments58.xml" ContentType="application/vnd.openxmlformats-officedocument.spreadsheetml.comments+xml"/>
  <Override PartName="/xl/threadedComments/threadedComment18.xml" ContentType="application/vnd.ms-excel.threadedcomments+xml"/>
  <Override PartName="/xl/comments59.xml" ContentType="application/vnd.openxmlformats-officedocument.spreadsheetml.comments+xml"/>
  <Override PartName="/xl/threadedComments/threadedComment19.xml" ContentType="application/vnd.ms-excel.threadedcomments+xml"/>
  <Override PartName="/xl/comments60.xml" ContentType="application/vnd.openxmlformats-officedocument.spreadsheetml.comments+xml"/>
  <Override PartName="/xl/comments61.xml" ContentType="application/vnd.openxmlformats-officedocument.spreadsheetml.comments+xml"/>
  <Override PartName="/xl/comments6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https://octafoodsa-my.sharepoint.com/personal/alshareef_ka_octafoodksa_com/Documents/Octa File/SOPs &amp; Operation/Tokyo Project/Tokyo Files/July/July W4/"/>
    </mc:Choice>
  </mc:AlternateContent>
  <xr:revisionPtr revIDLastSave="77758" documentId="13_ncr:1_{03E0E7F0-55EC-4BEA-AAA3-7F46A960EAB8}" xr6:coauthVersionLast="47" xr6:coauthVersionMax="47" xr10:uidLastSave="{0611896A-4FC3-4224-BA3F-033CBC8F1F2C}"/>
  <bookViews>
    <workbookView xWindow="760" yWindow="760" windowWidth="22710" windowHeight="19710" tabRatio="836" firstSheet="1" activeTab="1" xr2:uid="{00000000-000D-0000-FFFF-FFFF00000000}"/>
  </bookViews>
  <sheets>
    <sheet name="Butchery" sheetId="80" r:id="rId1"/>
    <sheet name="All_Ingredients" sheetId="1" r:id="rId2"/>
    <sheet name="Marination_Ordering" sheetId="2" r:id="rId3"/>
    <sheet name="Curry Chicken" sheetId="3" r:id="rId4"/>
    <sheet name="Kabsa Lahm" sheetId="4" r:id="rId5"/>
    <sheet name="Pan Fried Fish" sheetId="6" r:id="rId6"/>
    <sheet name="Beef Chilli Dry" sheetId="5" r:id="rId7"/>
    <sheet name="Meat with Bamiya" sheetId="7" r:id="rId8"/>
    <sheet name="Chinese Chicken" sheetId="8" r:id="rId9"/>
    <sheet name="Herbal Chicken" sheetId="9" r:id="rId10"/>
    <sheet name="Asian Chicken Sandwich" sheetId="11" r:id="rId11"/>
    <sheet name="Jollof Sauce" sheetId="87" r:id="rId12"/>
    <sheet name="Chicken Mandi (1)" sheetId="10" r:id="rId13"/>
    <sheet name="Asian Potato Cubes" sheetId="89" r:id="rId14"/>
    <sheet name="Herbal Potato Wedges" sheetId="12" r:id="rId15"/>
    <sheet name="Spaghetti pasta" sheetId="82" r:id="rId16"/>
    <sheet name="Sautee Vegetables (1)" sheetId="13" r:id="rId17"/>
    <sheet name="Mached Potato(1)" sheetId="14" r:id="rId18"/>
    <sheet name="Chicken Alfredo" sheetId="15" r:id="rId19"/>
    <sheet name="Fettuccine Pasta Sauce" sheetId="16" r:id="rId20"/>
    <sheet name="Blankwet Fish" sheetId="19" r:id="rId21"/>
    <sheet name="Coconut Chicken" sheetId="17" r:id="rId22"/>
    <sheet name="Chicken 65" sheetId="18" r:id="rId23"/>
    <sheet name="Mkhtoum Lahm" sheetId="20" r:id="rId24"/>
    <sheet name="BBQ Chicken Skewers" sheetId="21" r:id="rId25"/>
    <sheet name="Beef Burger" sheetId="22" r:id="rId26"/>
    <sheet name="Beef Zurbian" sheetId="23" r:id="rId27"/>
    <sheet name="Burger Potato Wedges" sheetId="91" r:id="rId28"/>
    <sheet name="Grilled Vegetables(2)" sheetId="24" r:id="rId29"/>
    <sheet name="Almond Chicken" sheetId="25" r:id="rId30"/>
    <sheet name="Chicken Pasta with Vegetable" sheetId="26" r:id="rId31"/>
    <sheet name="Pasta with Vegetable(Pasta)" sheetId="27" r:id="rId32"/>
    <sheet name="Changezi Chicken" sheetId="28" r:id="rId33"/>
    <sheet name="Daoud Basha" sheetId="29" r:id="rId34"/>
    <sheet name="Fish with cream" sheetId="30" r:id="rId35"/>
    <sheet name="Moussaka Vegi" sheetId="31" r:id="rId36"/>
    <sheet name="Moussaka Meat" sheetId="32" r:id="rId37"/>
    <sheet name="Laham Oriental" sheetId="33" r:id="rId38"/>
    <sheet name="Beef Oriental rice" sheetId="92" r:id="rId39"/>
    <sheet name="Chicken Saleeq (3)" sheetId="34" r:id="rId40"/>
    <sheet name="Chicken Mandi (3)" sheetId="35" r:id="rId41"/>
    <sheet name="Chicken Caesar Salad" sheetId="36" r:id="rId42"/>
    <sheet name="Chicken Fajita" sheetId="37" r:id="rId43"/>
    <sheet name="Mached Potato(3)" sheetId="38" r:id="rId44"/>
    <sheet name="Potato Wedges" sheetId="39" r:id="rId45"/>
    <sheet name="Oven Vegetables (3)" sheetId="40" r:id="rId46"/>
    <sheet name="Chicken Steak Sauce" sheetId="41" r:id="rId47"/>
    <sheet name="Chicken Steak Topping" sheetId="42" r:id="rId48"/>
    <sheet name="Chicken Mushroom" sheetId="43" r:id="rId49"/>
    <sheet name="Stroganoff Beef" sheetId="44" r:id="rId50"/>
    <sheet name="Stroganoff pasta" sheetId="45" r:id="rId51"/>
    <sheet name="Beef Amansi" sheetId="46" r:id="rId52"/>
    <sheet name="Chicken Tikka" sheetId="47" r:id="rId53"/>
    <sheet name="Lahm Fasooliya" sheetId="48" r:id="rId54"/>
    <sheet name="Lemon Fish" sheetId="49" r:id="rId55"/>
    <sheet name="Orzo Pasta" sheetId="50" r:id="rId56"/>
    <sheet name="Octa Poki Bowl" sheetId="79" r:id="rId57"/>
    <sheet name="Chicken Makloba" sheetId="51" r:id="rId58"/>
    <sheet name="Makloba Veggi" sheetId="52" r:id="rId59"/>
    <sheet name="BBQ Chicken" sheetId="53" r:id="rId60"/>
    <sheet name="Mached Potato(4)" sheetId="54" r:id="rId61"/>
    <sheet name="Sautee Vegetables (4)" sheetId="55" r:id="rId62"/>
    <sheet name="Sriracha Chicken" sheetId="56" r:id="rId63"/>
    <sheet name="Butter Chicken" sheetId="57" r:id="rId64"/>
    <sheet name="Meat Kebab" sheetId="58" r:id="rId65"/>
    <sheet name="Curry Fish" sheetId="59" r:id="rId66"/>
    <sheet name="Kebab Hindi" sheetId="60" r:id="rId67"/>
    <sheet name="Pizziola Chicken" sheetId="61" r:id="rId68"/>
    <sheet name="Lahm Bolognese" sheetId="62" r:id="rId69"/>
    <sheet name="Lasagne Bachamel" sheetId="64" r:id="rId70"/>
    <sheet name="Beef Lasagne Sauce" sheetId="65" r:id="rId71"/>
    <sheet name="Beef Bokhary" sheetId="66" r:id="rId72"/>
    <sheet name="Beef philly cheese steak" sheetId="67" r:id="rId73"/>
    <sheet name="Spaghetti pasta (2)" sheetId="83" r:id="rId74"/>
    <sheet name="Grilled Vegetables(5)" sheetId="68" r:id="rId75"/>
    <sheet name="Sigapore Vegetables" sheetId="86" r:id="rId76"/>
    <sheet name="Mexican Vegetables" sheetId="85" r:id="rId77"/>
    <sheet name="Pink Chicken" sheetId="69" r:id="rId78"/>
    <sheet name="Ginger Chicken" sheetId="70" r:id="rId79"/>
    <sheet name="French Meatball" sheetId="71" r:id="rId80"/>
    <sheet name="Singapore Chicken" sheetId="72" r:id="rId81"/>
    <sheet name="Fish with Shabat and Lemon" sheetId="73" r:id="rId82"/>
    <sheet name="Chicken Molokeya" sheetId="74" r:id="rId83"/>
    <sheet name="Beef Kebab Sandwich" sheetId="75" r:id="rId84"/>
    <sheet name="Chicken Saleeq (6)" sheetId="77" r:id="rId85"/>
    <sheet name="Beef Kabli" sheetId="88" r:id="rId86"/>
    <sheet name="Spaghetti pasta (3)" sheetId="84" r:id="rId87"/>
    <sheet name="Oven Vegetables (6)" sheetId="78" r:id="rId88"/>
  </sheets>
  <functionGroups builtInGroupCount="19"/>
  <definedNames>
    <definedName name="_xlnm._FilterDatabase" localSheetId="1" hidden="1">All_Ingredients!$A$1:$O$299</definedName>
    <definedName name="_xlnm._FilterDatabase" localSheetId="0" hidden="1">Butchery!$A$2:$E$155</definedName>
    <definedName name="_xlnm._FilterDatabase" localSheetId="2" hidden="1">Marination_Ordering!$A$1:$O$68</definedName>
    <definedName name="_xleta.COUNTIF" localSheetId="13" hidden="1">none</definedName>
    <definedName name="_xleta.COUNTIF" localSheetId="85" hidden="1">none</definedName>
    <definedName name="_xleta.COUNTIF" localSheetId="38" hidden="1">none</definedName>
    <definedName name="_xleta.COUNTIF" localSheetId="27" hidden="1">none</definedName>
    <definedName name="_xleta.COUNTIF" localSheetId="11" hidden="1">none</definedName>
    <definedName name="_xleta.COUNTIF" localSheetId="56" hidden="1">none</definedName>
    <definedName name="_xleta.COUNTIF" localSheetId="73" hidden="1">none</definedName>
    <definedName name="_xleta.COUNTIF" localSheetId="86" hidden="1">none</definedName>
    <definedName name="_xleta.COUNTIF" hidden="1">none</definedName>
    <definedName name="_xleta.IF" localSheetId="13" hidden="1">none</definedName>
    <definedName name="_xleta.IF" localSheetId="85" hidden="1">none</definedName>
    <definedName name="_xleta.IF" localSheetId="38" hidden="1">none</definedName>
    <definedName name="_xleta.IF" localSheetId="27" hidden="1">none</definedName>
    <definedName name="_xleta.IF" localSheetId="11" hidden="1">none</definedName>
    <definedName name="_xleta.IF" localSheetId="56" hidden="1">none</definedName>
    <definedName name="_xleta.IF" localSheetId="73" hidden="1">none</definedName>
    <definedName name="_xleta.IF" localSheetId="86" hidden="1">none</definedName>
    <definedName name="_xleta.IF" hidden="1">none</definedName>
    <definedName name="_xleta.MAX" localSheetId="13" hidden="1">none</definedName>
    <definedName name="_xleta.MAX" localSheetId="85" hidden="1">none</definedName>
    <definedName name="_xleta.MAX" localSheetId="38" hidden="1">none</definedName>
    <definedName name="_xleta.MAX" localSheetId="27" hidden="1">none</definedName>
    <definedName name="_xleta.MAX" localSheetId="11" hidden="1">none</definedName>
    <definedName name="_xleta.MAX" localSheetId="56" hidden="1">none</definedName>
    <definedName name="_xleta.MAX" localSheetId="73" hidden="1">none</definedName>
    <definedName name="_xleta.MAX" localSheetId="86" hidden="1">none</definedName>
    <definedName name="_xleta.MAX" hidden="1">none</definedName>
    <definedName name="_xleta.MIN" localSheetId="13" hidden="1">none</definedName>
    <definedName name="_xleta.MIN" localSheetId="85" hidden="1">none</definedName>
    <definedName name="_xleta.MIN" localSheetId="38" hidden="1">none</definedName>
    <definedName name="_xleta.MIN" localSheetId="27" hidden="1">none</definedName>
    <definedName name="_xleta.MIN" localSheetId="11" hidden="1">none</definedName>
    <definedName name="_xleta.MIN" localSheetId="56" hidden="1">none</definedName>
    <definedName name="_xleta.MIN" localSheetId="73" hidden="1">none</definedName>
    <definedName name="_xleta.MIN" localSheetId="86" hidden="1">none</definedName>
    <definedName name="_xleta.MIN" hidden="1">none</definedName>
    <definedName name="_xleta.N" localSheetId="13" hidden="1">none</definedName>
    <definedName name="_xleta.N" localSheetId="85" hidden="1">none</definedName>
    <definedName name="_xleta.N" localSheetId="38" hidden="1">none</definedName>
    <definedName name="_xleta.N" localSheetId="27" hidden="1">none</definedName>
    <definedName name="_xleta.N" localSheetId="11" hidden="1">none</definedName>
    <definedName name="_xleta.N" localSheetId="56" hidden="1">none</definedName>
    <definedName name="_xleta.N" localSheetId="73" hidden="1">none</definedName>
    <definedName name="_xleta.N" localSheetId="86" hidden="1">none</definedName>
    <definedName name="_xleta.N" hidden="1">none</definedName>
    <definedName name="_xleta.SUM" localSheetId="13" hidden="1">none</definedName>
    <definedName name="_xleta.SUM" localSheetId="85" hidden="1">none</definedName>
    <definedName name="_xleta.SUM" localSheetId="27" hidden="1">none</definedName>
    <definedName name="_xleta.SUM" localSheetId="11" hidden="1">none</definedName>
    <definedName name="_xleta.SUM" localSheetId="56" hidden="1">none</definedName>
    <definedName name="_xleta.SUM" localSheetId="73" hidden="1">none</definedName>
    <definedName name="_xleta.SUM" localSheetId="86" hidden="1">none</definedName>
    <definedName name="_xleta.SUM" hidden="1">none</definedName>
    <definedName name="_xleta.SUMPRODUCT" hidden="1" xlm="1">#NAME?</definedName>
    <definedName name="_xleta.T" localSheetId="13" hidden="1">none</definedName>
    <definedName name="_xleta.T" localSheetId="85" hidden="1">none</definedName>
    <definedName name="_xleta.T" localSheetId="38" hidden="1">none</definedName>
    <definedName name="_xleta.T" localSheetId="27" hidden="1">none</definedName>
    <definedName name="_xleta.T" localSheetId="11" hidden="1">none</definedName>
    <definedName name="_xleta.T" localSheetId="56" hidden="1">none</definedName>
    <definedName name="_xleta.T" localSheetId="73" hidden="1">none</definedName>
    <definedName name="_xleta.T" localSheetId="86" hidden="1">none</definedName>
    <definedName name="_xleta.T" hidden="1">none</definedName>
    <definedName name="_xlpm.s" localSheetId="13" hidden="1">none</definedName>
    <definedName name="_xlpm.s" localSheetId="85" hidden="1">none</definedName>
    <definedName name="_xlpm.s" localSheetId="38" hidden="1">none</definedName>
    <definedName name="_xlpm.s" localSheetId="27" hidden="1">none</definedName>
    <definedName name="_xlpm.s" localSheetId="11" hidden="1">none</definedName>
    <definedName name="_xlpm.s" localSheetId="56" hidden="1">none</definedName>
    <definedName name="_xlpm.s" localSheetId="73" hidden="1">none</definedName>
    <definedName name="_xlpm.s" localSheetId="86" hidden="1">none</definedName>
    <definedName name="_xlpm.s" hidden="1">none</definedName>
    <definedName name="_xlnm.Print_Area" localSheetId="29">'Almond Chicken'!$A$62:$P$79</definedName>
    <definedName name="_xlnm.Print_Area" localSheetId="10">'Asian Chicken Sandwich'!$A$62:$P$75</definedName>
    <definedName name="_xlnm.Print_Area" localSheetId="13">'Asian Potato Cubes'!$A$64:$P$103</definedName>
    <definedName name="_xlnm.Print_Area" localSheetId="59">'BBQ Chicken'!$A$62:$P$70</definedName>
    <definedName name="_xlnm.Print_Area" localSheetId="24">'BBQ Chicken Skewers'!$A$62:$P$77</definedName>
    <definedName name="_xlnm.Print_Area" localSheetId="51">'Beef Amansi'!$A$62:$P$75</definedName>
    <definedName name="_xlnm.Print_Area" localSheetId="71">'Beef Bokhary'!$A$62:$P$158</definedName>
    <definedName name="_xlnm.Print_Area" localSheetId="25">'Beef Burger'!$A$62:$P$74</definedName>
    <definedName name="_xlnm.Print_Area" localSheetId="6">'Beef Chilli Dry'!$A$62:$P$90</definedName>
    <definedName name="_xlnm.Print_Area" localSheetId="85">'Beef Kabli'!$A$62:$P$145</definedName>
    <definedName name="_xlnm.Print_Area" localSheetId="83">'Beef Kebab Sandwich'!$A$62:$P$92</definedName>
    <definedName name="_xlnm.Print_Area" localSheetId="70">'Beef Lasagne Sauce'!$A$62:$P$143</definedName>
    <definedName name="_xlnm.Print_Area" localSheetId="72">'Beef philly cheese steak'!$A$62:$P$93</definedName>
    <definedName name="_xlnm.Print_Area" localSheetId="26">'Beef Zurbian'!$A$62:$P$120</definedName>
    <definedName name="_xlnm.Print_Area" localSheetId="20">'Blankwet Fish'!$A$62:$P$99</definedName>
    <definedName name="_xlnm.Print_Area" localSheetId="27">'Burger Potato Wedges'!$A$62:$P$101</definedName>
    <definedName name="_xlnm.Print_Area" localSheetId="0">Butchery!$A$62:$R$104</definedName>
    <definedName name="_xlnm.Print_Area" localSheetId="63">'Butter Chicken'!$A$62:$H$143</definedName>
    <definedName name="_xlnm.Print_Area" localSheetId="32">'Changezi Chicken'!$A$62:$P$110</definedName>
    <definedName name="_xlnm.Print_Area" localSheetId="22">'Chicken 65'!$A$62:$P$105</definedName>
    <definedName name="_xlnm.Print_Area" localSheetId="18">'Chicken Alfredo'!$A$62:$P$121</definedName>
    <definedName name="_xlnm.Print_Area" localSheetId="42">'Chicken Fajita'!$A$62:$P$72</definedName>
    <definedName name="_xlnm.Print_Area" localSheetId="57">'Chicken Makloba'!$A$62:$P$117</definedName>
    <definedName name="_xlnm.Print_Area" localSheetId="12">'Chicken Mandi (1)'!$A$62:$P$104</definedName>
    <definedName name="_xlnm.Print_Area" localSheetId="40">'Chicken Mandi (3)'!$A$62:$P$93</definedName>
    <definedName name="_xlnm.Print_Area" localSheetId="82">'Chicken Molokeya'!$A$62:$P$129</definedName>
    <definedName name="_xlnm.Print_Area" localSheetId="48">'Chicken Mushroom'!$A$62:$P$96</definedName>
    <definedName name="_xlnm.Print_Area" localSheetId="30">'Chicken Pasta with Vegetable'!$A$62:$P$80</definedName>
    <definedName name="_xlnm.Print_Area" localSheetId="39">'Chicken Saleeq (3)'!$A$62:$P$96</definedName>
    <definedName name="_xlnm.Print_Area" localSheetId="84">'Chicken Saleeq (6)'!$A$62:$P$96</definedName>
    <definedName name="_xlnm.Print_Area" localSheetId="46">'Chicken Steak Sauce'!$A$62:$P$90</definedName>
    <definedName name="_xlnm.Print_Area" localSheetId="47">'Chicken Steak Topping'!$A$62:$P$86</definedName>
    <definedName name="_xlnm.Print_Area" localSheetId="52">'Chicken Tikka'!$A$62:$P$105</definedName>
    <definedName name="_xlnm.Print_Area" localSheetId="8">'Chinese Chicken'!$A$62:$P$108</definedName>
    <definedName name="_xlnm.Print_Area" localSheetId="21">'Coconut Chicken'!$A$62:$P$119</definedName>
    <definedName name="_xlnm.Print_Area" localSheetId="3">'Curry Chicken'!$A$62:$P$134</definedName>
    <definedName name="_xlnm.Print_Area" localSheetId="65">'Curry Fish'!$A$62:$P$105</definedName>
    <definedName name="_xlnm.Print_Area" localSheetId="33">'Daoud Basha'!$A$62:$P$124</definedName>
    <definedName name="_xlnm.Print_Area" localSheetId="19">'Fettuccine Pasta Sauce'!$A$62:$P$122</definedName>
    <definedName name="_xlnm.Print_Area" localSheetId="34">'Fish with cream'!$A$62:$P$88</definedName>
    <definedName name="_xlnm.Print_Area" localSheetId="81">'Fish with Shabat and Lemon'!$A$62:$P$70</definedName>
    <definedName name="_xlnm.Print_Area" localSheetId="79">'French Meatball'!$A$62:$P$92</definedName>
    <definedName name="_xlnm.Print_Area" localSheetId="78">'Ginger Chicken'!$A$62:$P$134</definedName>
    <definedName name="_xlnm.Print_Area" localSheetId="28">'Grilled Vegetables(2)'!$A$62:$P$103</definedName>
    <definedName name="_xlnm.Print_Area" localSheetId="74">'Grilled Vegetables(5)'!$A$62:$P$104</definedName>
    <definedName name="_xlnm.Print_Area" localSheetId="9">'Herbal Chicken'!$A$62:$P$104</definedName>
    <definedName name="_xlnm.Print_Area" localSheetId="14">'Herbal Potato Wedges'!$A$62:$P$101</definedName>
    <definedName name="_xlnm.Print_Area" localSheetId="4">'Kabsa Lahm'!$A$62:$P$169</definedName>
    <definedName name="_xlnm.Print_Area" localSheetId="66">'Kebab Hindi'!$A$62:$P$96</definedName>
    <definedName name="_xlnm.Print_Area" localSheetId="37">'Laham Oriental'!$A$62:$P$113</definedName>
    <definedName name="_xlnm.Print_Area" localSheetId="68">'Lahm Bolognese'!$A$62:$P$83</definedName>
    <definedName name="_xlnm.Print_Area" localSheetId="53">'Lahm Fasooliya'!$A$62:$P$99</definedName>
    <definedName name="_xlnm.Print_Area" localSheetId="69">'Lasagne Bachamel'!$A$62:$P$169</definedName>
    <definedName name="_xlnm.Print_Area" localSheetId="54">'Lemon Fish'!$A$62:$P$97</definedName>
    <definedName name="_xlnm.Print_Area" localSheetId="17">'Mached Potato(1)'!$A$62:$P$126</definedName>
    <definedName name="_xlnm.Print_Area" localSheetId="43">'Mached Potato(3)'!$A$62:$P$155</definedName>
    <definedName name="_xlnm.Print_Area" localSheetId="60">'Mached Potato(4)'!$A$62:$P$127</definedName>
    <definedName name="_xlnm.Print_Area" localSheetId="64">'Meat Kebab'!$A$62:$P$107</definedName>
    <definedName name="_xlnm.Print_Area" localSheetId="7">'Meat with Bamiya'!$A$62:$P$123</definedName>
    <definedName name="_xlnm.Print_Area" localSheetId="23">'Mkhtoum Lahm'!$A$62:$P$122</definedName>
    <definedName name="_xlnm.Print_Area" localSheetId="36">'Moussaka Meat'!$A$62:$P$80</definedName>
    <definedName name="_xlnm.Print_Area" localSheetId="35">'Moussaka Vegi'!$A$62:$P$84</definedName>
    <definedName name="_xlnm.Print_Area" localSheetId="56">'Octa Poki Bowl'!$A$62:$P$75</definedName>
    <definedName name="_xlnm.Print_Area" localSheetId="55">'Orzo Pasta'!$A$62:$P$104</definedName>
    <definedName name="_xlnm.Print_Area" localSheetId="45">'Oven Vegetables (3)'!$A$62:$P$108</definedName>
    <definedName name="_xlnm.Print_Area" localSheetId="87">'Oven Vegetables (6)'!$A$62:$P$104</definedName>
    <definedName name="_xlnm.Print_Area" localSheetId="5">'Pan Fried Fish'!$A$62:$P$71</definedName>
    <definedName name="_xlnm.Print_Area" localSheetId="31">'Pasta with Vegetable(Pasta)'!$A$62:$P$102</definedName>
    <definedName name="_xlnm.Print_Area" localSheetId="77">'Pink Chicken'!$A$62:$P$109</definedName>
    <definedName name="_xlnm.Print_Area" localSheetId="67">'Pizziola Chicken'!$A$62:$P$81</definedName>
    <definedName name="_xlnm.Print_Area" localSheetId="44">'Potato Wedges'!$A$62:$P$125</definedName>
    <definedName name="_xlnm.Print_Area" localSheetId="16">'Sautee Vegetables (1)'!$A$62:$P$105</definedName>
    <definedName name="_xlnm.Print_Area" localSheetId="61">'Sautee Vegetables (4)'!$A$62:$P$106</definedName>
    <definedName name="_xlnm.Print_Area" localSheetId="80">'Singapore Chicken'!$A$62:$P$116</definedName>
    <definedName name="_xlnm.Print_Area" localSheetId="62">'Sriracha Chicken'!$A$62:$H$100</definedName>
    <definedName name="_xlnm.Print_Area" localSheetId="49">'Stroganoff Beef'!$A$62:$P$105</definedName>
    <definedName name="_xlnm.Print_Area" localSheetId="50">'Stroganoff pasta'!$A$62:$P$127</definedName>
    <definedName name="SheetList" localSheetId="13">none</definedName>
    <definedName name="SheetList" localSheetId="85">none</definedName>
    <definedName name="SheetList" localSheetId="38">none</definedName>
    <definedName name="SheetList" localSheetId="27">none</definedName>
    <definedName name="SheetList" localSheetId="11">none</definedName>
    <definedName name="SheetList" localSheetId="56">none</definedName>
    <definedName name="SheetList" localSheetId="73">none</definedName>
    <definedName name="SheetList" localSheetId="86">none</definedName>
    <definedName name="SheetList">none</definedName>
    <definedName name="ww" localSheetId="27" hidden="1">none</definedName>
    <definedName name="ww" hidden="1">none</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31" i="1" l="1"/>
  <c r="L58" i="2"/>
  <c r="D6" i="75"/>
  <c r="D5" i="75"/>
  <c r="B137" i="70"/>
  <c r="C137" i="70"/>
  <c r="D137" i="70"/>
  <c r="F137" i="70"/>
  <c r="B110" i="70"/>
  <c r="C110" i="70"/>
  <c r="D110" i="70"/>
  <c r="F110" i="70"/>
  <c r="B84" i="70"/>
  <c r="C84" i="70"/>
  <c r="D84" i="70"/>
  <c r="F84" i="70"/>
  <c r="S30" i="19"/>
  <c r="T30" i="19" s="1"/>
  <c r="S28" i="19"/>
  <c r="T29" i="19" s="1"/>
  <c r="R44" i="19"/>
  <c r="U44" i="19" s="1"/>
  <c r="T33" i="19"/>
  <c r="R44" i="59"/>
  <c r="U44" i="59" s="1"/>
  <c r="S30" i="59"/>
  <c r="T30" i="59" s="1"/>
  <c r="S28" i="59"/>
  <c r="T29" i="59" s="1"/>
  <c r="R44" i="49"/>
  <c r="V40" i="49"/>
  <c r="S30" i="49"/>
  <c r="T30" i="49" s="1"/>
  <c r="S28" i="49"/>
  <c r="T29" i="49" s="1"/>
  <c r="B103" i="42"/>
  <c r="H103" i="42" s="1"/>
  <c r="B88" i="42"/>
  <c r="H88" i="42" s="1"/>
  <c r="B74" i="42"/>
  <c r="H74" i="42" s="1"/>
  <c r="F148" i="57"/>
  <c r="F149" i="57"/>
  <c r="F150" i="57"/>
  <c r="F151" i="57"/>
  <c r="F152" i="57"/>
  <c r="F153" i="57"/>
  <c r="F154" i="57"/>
  <c r="F155" i="57"/>
  <c r="F156" i="57"/>
  <c r="F157" i="57"/>
  <c r="F158" i="57"/>
  <c r="F159" i="57"/>
  <c r="F160" i="57"/>
  <c r="F161" i="57"/>
  <c r="F162" i="57"/>
  <c r="F163" i="57"/>
  <c r="F164" i="57"/>
  <c r="F165" i="57"/>
  <c r="F166" i="57"/>
  <c r="F167" i="57"/>
  <c r="F147" i="57"/>
  <c r="B148" i="57"/>
  <c r="C148" i="57"/>
  <c r="D148" i="57"/>
  <c r="B149" i="57"/>
  <c r="C149" i="57"/>
  <c r="D149" i="57"/>
  <c r="B150" i="57"/>
  <c r="C150" i="57"/>
  <c r="D150" i="57"/>
  <c r="B151" i="57"/>
  <c r="C151" i="57"/>
  <c r="D151" i="57"/>
  <c r="B152" i="57"/>
  <c r="C152" i="57"/>
  <c r="D152" i="57"/>
  <c r="B153" i="57"/>
  <c r="C153" i="57"/>
  <c r="D153" i="57"/>
  <c r="B154" i="57"/>
  <c r="C154" i="57"/>
  <c r="D154" i="57"/>
  <c r="B155" i="57"/>
  <c r="C155" i="57"/>
  <c r="D155" i="57"/>
  <c r="B156" i="57"/>
  <c r="C156" i="57"/>
  <c r="D156" i="57"/>
  <c r="B157" i="57"/>
  <c r="C157" i="57"/>
  <c r="D157" i="57"/>
  <c r="B158" i="57"/>
  <c r="C158" i="57"/>
  <c r="D158" i="57"/>
  <c r="B159" i="57"/>
  <c r="C159" i="57"/>
  <c r="D159" i="57"/>
  <c r="B160" i="57"/>
  <c r="C160" i="57"/>
  <c r="D160" i="57"/>
  <c r="B161" i="57"/>
  <c r="C161" i="57"/>
  <c r="D161" i="57"/>
  <c r="B162" i="57"/>
  <c r="C162" i="57"/>
  <c r="D162" i="57"/>
  <c r="B163" i="57"/>
  <c r="C163" i="57"/>
  <c r="D163" i="57"/>
  <c r="B164" i="57"/>
  <c r="C164" i="57"/>
  <c r="D164" i="57"/>
  <c r="B165" i="57"/>
  <c r="C165" i="57"/>
  <c r="D165" i="57"/>
  <c r="B166" i="57"/>
  <c r="C166" i="57"/>
  <c r="D166" i="57"/>
  <c r="B167" i="57"/>
  <c r="C167" i="57"/>
  <c r="D167" i="57"/>
  <c r="C147" i="57"/>
  <c r="D147" i="57"/>
  <c r="B147" i="57"/>
  <c r="T32" i="19" l="1"/>
  <c r="S32" i="49"/>
  <c r="U30" i="59"/>
  <c r="S32" i="19"/>
  <c r="U30" i="19"/>
  <c r="U28" i="19"/>
  <c r="U28" i="59"/>
  <c r="S32" i="59"/>
  <c r="V44" i="49"/>
  <c r="U44" i="49"/>
  <c r="W44" i="49" s="1"/>
  <c r="U30" i="49"/>
  <c r="U28" i="49"/>
  <c r="L145" i="1"/>
  <c r="O145" i="1" s="1"/>
  <c r="AR13" i="59"/>
  <c r="AQ13" i="59"/>
  <c r="AR12" i="59"/>
  <c r="AQ12" i="59"/>
  <c r="AR11" i="59"/>
  <c r="AQ11" i="59"/>
  <c r="AR10" i="59"/>
  <c r="AQ10" i="59"/>
  <c r="AR9" i="59"/>
  <c r="AQ9" i="59"/>
  <c r="AR8" i="59"/>
  <c r="AQ8" i="59"/>
  <c r="AR7" i="59"/>
  <c r="AQ7" i="59"/>
  <c r="AR6" i="59"/>
  <c r="AQ6" i="59"/>
  <c r="AR13" i="49"/>
  <c r="AQ13" i="49"/>
  <c r="AR12" i="49"/>
  <c r="AQ12" i="49"/>
  <c r="AR11" i="49"/>
  <c r="AQ11" i="49"/>
  <c r="AR10" i="49"/>
  <c r="AQ10" i="49"/>
  <c r="AR9" i="49"/>
  <c r="AQ9" i="49"/>
  <c r="AR8" i="49"/>
  <c r="AQ8" i="49"/>
  <c r="AR7" i="49"/>
  <c r="AQ7" i="49"/>
  <c r="AR6" i="49"/>
  <c r="AQ6" i="49"/>
  <c r="AR13" i="30"/>
  <c r="AQ13" i="30"/>
  <c r="AR12" i="30"/>
  <c r="AQ12" i="30"/>
  <c r="AR11" i="30"/>
  <c r="AQ11" i="30"/>
  <c r="AR10" i="30"/>
  <c r="AQ10" i="30"/>
  <c r="AR9" i="30"/>
  <c r="AQ9" i="30"/>
  <c r="AR8" i="30"/>
  <c r="AQ8" i="30"/>
  <c r="AR7" i="30"/>
  <c r="AQ7" i="30"/>
  <c r="AR6" i="30"/>
  <c r="AQ6" i="30"/>
  <c r="AR13" i="19"/>
  <c r="AQ13" i="19"/>
  <c r="AR12" i="19"/>
  <c r="AQ12" i="19"/>
  <c r="AR11" i="19"/>
  <c r="AQ11" i="19"/>
  <c r="AR10" i="19"/>
  <c r="AQ10" i="19"/>
  <c r="AR9" i="19"/>
  <c r="AQ9" i="19"/>
  <c r="AR8" i="19"/>
  <c r="AQ8" i="19"/>
  <c r="AR7" i="19"/>
  <c r="AQ7" i="19"/>
  <c r="AR6" i="19"/>
  <c r="AQ6" i="19"/>
  <c r="AL39" i="1"/>
  <c r="AL36" i="1"/>
  <c r="AL34" i="1"/>
  <c r="AL28" i="1"/>
  <c r="AL27" i="1"/>
  <c r="AL26" i="1"/>
  <c r="AL25" i="1"/>
  <c r="AL23" i="1"/>
  <c r="AL22" i="1"/>
  <c r="AL21" i="1"/>
  <c r="AL20" i="1"/>
  <c r="AL18" i="1"/>
  <c r="U32" i="19" l="1"/>
  <c r="T34" i="19"/>
  <c r="U29" i="19"/>
  <c r="T32" i="59"/>
  <c r="U32" i="59" s="1"/>
  <c r="U29" i="59"/>
  <c r="U29" i="49"/>
  <c r="T32" i="49"/>
  <c r="U32" i="49" s="1"/>
  <c r="B104" i="59"/>
  <c r="C104" i="59"/>
  <c r="D104" i="59"/>
  <c r="F104" i="59"/>
  <c r="B105" i="59"/>
  <c r="C105" i="59"/>
  <c r="D105" i="59"/>
  <c r="F105" i="59"/>
  <c r="B80" i="59"/>
  <c r="C80" i="59"/>
  <c r="D80" i="59"/>
  <c r="F80" i="59"/>
  <c r="B81" i="59"/>
  <c r="C81" i="59"/>
  <c r="D81" i="59"/>
  <c r="F81" i="59"/>
  <c r="I21" i="59"/>
  <c r="B139" i="28"/>
  <c r="C139" i="28"/>
  <c r="D139" i="28"/>
  <c r="F139" i="28"/>
  <c r="B140" i="28"/>
  <c r="C140" i="28"/>
  <c r="D140" i="28"/>
  <c r="F140" i="28"/>
  <c r="B111" i="28"/>
  <c r="C111" i="28"/>
  <c r="D111" i="28"/>
  <c r="F111" i="28"/>
  <c r="B112" i="28"/>
  <c r="C112" i="28"/>
  <c r="D112" i="28"/>
  <c r="F112" i="28"/>
  <c r="B84" i="28"/>
  <c r="C84" i="28"/>
  <c r="D84" i="28"/>
  <c r="F84" i="28"/>
  <c r="B85" i="28"/>
  <c r="C85" i="28"/>
  <c r="D85" i="28"/>
  <c r="F85" i="28"/>
  <c r="I25" i="28"/>
  <c r="B79" i="26"/>
  <c r="C79" i="26"/>
  <c r="D79" i="26"/>
  <c r="F79" i="26"/>
  <c r="B80" i="26"/>
  <c r="C80" i="26"/>
  <c r="D80" i="26"/>
  <c r="F80" i="26"/>
  <c r="I20" i="26"/>
  <c r="B113" i="33"/>
  <c r="C113" i="33"/>
  <c r="D113" i="33"/>
  <c r="F113" i="33"/>
  <c r="B114" i="33"/>
  <c r="C114" i="33"/>
  <c r="D114" i="33"/>
  <c r="F114" i="33"/>
  <c r="B85" i="33"/>
  <c r="C85" i="33"/>
  <c r="D85" i="33"/>
  <c r="F85" i="33"/>
  <c r="B86" i="33"/>
  <c r="C86" i="33"/>
  <c r="D86" i="33"/>
  <c r="F86" i="33"/>
  <c r="I26" i="33"/>
  <c r="I24" i="70"/>
  <c r="K143" i="1"/>
  <c r="J69" i="80"/>
  <c r="N62" i="80" s="1"/>
  <c r="R44" i="58"/>
  <c r="R44" i="56"/>
  <c r="R44" i="30"/>
  <c r="R44" i="29"/>
  <c r="R44" i="17"/>
  <c r="R44" i="8"/>
  <c r="R44" i="3"/>
  <c r="D6" i="91" l="1"/>
  <c r="S28" i="91"/>
  <c r="S29" i="91"/>
  <c r="B71" i="37" l="1"/>
  <c r="C71" i="37"/>
  <c r="D71" i="37"/>
  <c r="F71" i="37"/>
  <c r="B72" i="37"/>
  <c r="C72" i="37"/>
  <c r="D72" i="37"/>
  <c r="F72" i="37"/>
  <c r="B73" i="37"/>
  <c r="C73" i="37"/>
  <c r="D73" i="37"/>
  <c r="F73" i="37"/>
  <c r="B74" i="37"/>
  <c r="C74" i="37"/>
  <c r="D74" i="37"/>
  <c r="F74" i="37"/>
  <c r="B75" i="37"/>
  <c r="C75" i="37"/>
  <c r="D75" i="37"/>
  <c r="F75" i="37"/>
  <c r="B76" i="37"/>
  <c r="C76" i="37"/>
  <c r="D76" i="37"/>
  <c r="F76" i="37"/>
  <c r="I14" i="37"/>
  <c r="I15" i="37"/>
  <c r="I16" i="37"/>
  <c r="G13" i="1"/>
  <c r="L13" i="1" s="1"/>
  <c r="O13" i="1" s="1"/>
  <c r="I145" i="1"/>
  <c r="J145" i="1" s="1"/>
  <c r="I144" i="1"/>
  <c r="J144" i="1" s="1"/>
  <c r="J13" i="1" l="1"/>
  <c r="K13" i="1"/>
  <c r="N13" i="1" s="1"/>
  <c r="D6" i="54"/>
  <c r="O1" i="14"/>
  <c r="D71" i="53"/>
  <c r="B70" i="53"/>
  <c r="C70" i="53"/>
  <c r="D70" i="53"/>
  <c r="F70" i="53"/>
  <c r="B71" i="53"/>
  <c r="C71" i="53"/>
  <c r="F71" i="53"/>
  <c r="R44" i="57"/>
  <c r="AL41" i="1"/>
  <c r="B67" i="22"/>
  <c r="C67" i="22"/>
  <c r="D67" i="22"/>
  <c r="F67" i="22"/>
  <c r="K144" i="1"/>
  <c r="K145" i="1" s="1"/>
  <c r="I20" i="86"/>
  <c r="I21" i="85"/>
  <c r="R44" i="67"/>
  <c r="V40" i="67"/>
  <c r="R44" i="72"/>
  <c r="R44" i="69"/>
  <c r="AL12" i="1"/>
  <c r="AL5" i="1"/>
  <c r="AL3" i="1"/>
  <c r="U28" i="3"/>
  <c r="T28" i="3" s="1"/>
  <c r="S28" i="86"/>
  <c r="S27" i="86"/>
  <c r="D51" i="86"/>
  <c r="C51" i="86"/>
  <c r="D51" i="85"/>
  <c r="C51" i="85"/>
  <c r="N145" i="1" l="1"/>
  <c r="N144" i="1"/>
  <c r="S29" i="86"/>
  <c r="T29" i="86" s="1"/>
  <c r="V44" i="67"/>
  <c r="U44" i="67"/>
  <c r="W44" i="67" s="1"/>
  <c r="T29" i="3"/>
  <c r="S28" i="3"/>
  <c r="T27" i="86"/>
  <c r="AN5" i="1" l="1"/>
  <c r="AA31" i="86"/>
  <c r="Z32" i="86" s="1"/>
  <c r="Z32" i="85"/>
  <c r="Y32" i="85"/>
  <c r="AA31" i="85"/>
  <c r="Y32" i="86" l="1"/>
  <c r="U28" i="7" l="1"/>
  <c r="S29" i="89"/>
  <c r="U44" i="56" l="1"/>
  <c r="W44" i="56" s="1"/>
  <c r="V44" i="56"/>
  <c r="AA25" i="85"/>
  <c r="AA19" i="92"/>
  <c r="T28" i="92"/>
  <c r="S28" i="92"/>
  <c r="AB19" i="92"/>
  <c r="AC19" i="92" s="1"/>
  <c r="U28" i="92" l="1"/>
  <c r="AB20" i="92"/>
  <c r="AA20" i="92"/>
  <c r="AC20" i="92" l="1"/>
  <c r="D6" i="14" l="1"/>
  <c r="U30" i="37"/>
  <c r="L55" i="2"/>
  <c r="B133" i="4"/>
  <c r="C133" i="4"/>
  <c r="D133" i="4"/>
  <c r="F133" i="4"/>
  <c r="B130" i="4"/>
  <c r="C130" i="4"/>
  <c r="D130" i="4"/>
  <c r="F130" i="4"/>
  <c r="B131" i="4"/>
  <c r="C131" i="4"/>
  <c r="D131" i="4"/>
  <c r="F131" i="4"/>
  <c r="B132" i="4"/>
  <c r="C132" i="4"/>
  <c r="D132" i="4"/>
  <c r="F132" i="4"/>
  <c r="B111" i="4"/>
  <c r="C111" i="4"/>
  <c r="D111" i="4"/>
  <c r="F111" i="4"/>
  <c r="B112" i="4"/>
  <c r="C112" i="4"/>
  <c r="D112" i="4"/>
  <c r="F112" i="4"/>
  <c r="B113" i="4"/>
  <c r="C113" i="4"/>
  <c r="D113" i="4"/>
  <c r="F113" i="4"/>
  <c r="B114" i="4"/>
  <c r="C114" i="4"/>
  <c r="D114" i="4"/>
  <c r="F114" i="4"/>
  <c r="B91" i="4"/>
  <c r="C91" i="4"/>
  <c r="D91" i="4"/>
  <c r="F91" i="4"/>
  <c r="B92" i="4"/>
  <c r="C92" i="4"/>
  <c r="D92" i="4"/>
  <c r="F92" i="4"/>
  <c r="B93" i="4"/>
  <c r="C93" i="4"/>
  <c r="D93" i="4"/>
  <c r="F93" i="4"/>
  <c r="B94" i="4"/>
  <c r="C94" i="4"/>
  <c r="D94" i="4"/>
  <c r="F94" i="4"/>
  <c r="B73" i="4"/>
  <c r="C73" i="4"/>
  <c r="D73" i="4"/>
  <c r="F73" i="4"/>
  <c r="B74" i="4"/>
  <c r="C74" i="4"/>
  <c r="D74" i="4"/>
  <c r="F74" i="4"/>
  <c r="B75" i="4"/>
  <c r="C75" i="4"/>
  <c r="D75" i="4"/>
  <c r="F75" i="4"/>
  <c r="B76" i="4"/>
  <c r="C76" i="4"/>
  <c r="D76" i="4"/>
  <c r="F76" i="4"/>
  <c r="I15" i="4"/>
  <c r="I16" i="4"/>
  <c r="L94" i="1"/>
  <c r="L82" i="1"/>
  <c r="O82" i="1" s="1"/>
  <c r="K82" i="1"/>
  <c r="N82" i="1" s="1"/>
  <c r="J82" i="1"/>
  <c r="C51" i="4"/>
  <c r="E37" i="61"/>
  <c r="F37" i="61" s="1"/>
  <c r="H37" i="61" s="1"/>
  <c r="I39" i="61"/>
  <c r="E39" i="61"/>
  <c r="F39" i="61" s="1"/>
  <c r="H39" i="61" s="1"/>
  <c r="I38" i="61"/>
  <c r="E38" i="61"/>
  <c r="F38" i="61" s="1"/>
  <c r="H38" i="61" s="1"/>
  <c r="I37" i="61"/>
  <c r="I37" i="75"/>
  <c r="E37" i="75"/>
  <c r="F37" i="75" s="1"/>
  <c r="H37" i="75" s="1"/>
  <c r="F123" i="4"/>
  <c r="F124" i="4"/>
  <c r="F125" i="4"/>
  <c r="F126" i="4"/>
  <c r="F127" i="4"/>
  <c r="F128" i="4"/>
  <c r="F129" i="4"/>
  <c r="B123" i="4"/>
  <c r="C123" i="4"/>
  <c r="D123" i="4"/>
  <c r="B124" i="4"/>
  <c r="C124" i="4"/>
  <c r="D124" i="4"/>
  <c r="B125" i="4"/>
  <c r="C125" i="4"/>
  <c r="D125" i="4"/>
  <c r="B126" i="4"/>
  <c r="C126" i="4"/>
  <c r="D126" i="4"/>
  <c r="B127" i="4"/>
  <c r="C127" i="4"/>
  <c r="D127" i="4"/>
  <c r="B128" i="4"/>
  <c r="C128" i="4"/>
  <c r="D128" i="4"/>
  <c r="B129" i="4"/>
  <c r="C129" i="4"/>
  <c r="D129" i="4"/>
  <c r="F104" i="4"/>
  <c r="F105" i="4"/>
  <c r="F106" i="4"/>
  <c r="F107" i="4"/>
  <c r="F108" i="4"/>
  <c r="F109" i="4"/>
  <c r="F110" i="4"/>
  <c r="B104" i="4"/>
  <c r="C104" i="4"/>
  <c r="D104" i="4"/>
  <c r="B105" i="4"/>
  <c r="C105" i="4"/>
  <c r="D105" i="4"/>
  <c r="B106" i="4"/>
  <c r="C106" i="4"/>
  <c r="D106" i="4"/>
  <c r="B107" i="4"/>
  <c r="C107" i="4"/>
  <c r="D107" i="4"/>
  <c r="B108" i="4"/>
  <c r="C108" i="4"/>
  <c r="D108" i="4"/>
  <c r="B109" i="4"/>
  <c r="C109" i="4"/>
  <c r="D109" i="4"/>
  <c r="B110" i="4"/>
  <c r="C110" i="4"/>
  <c r="D110" i="4"/>
  <c r="F84" i="4"/>
  <c r="F85" i="4"/>
  <c r="F86" i="4"/>
  <c r="F87" i="4"/>
  <c r="F88" i="4"/>
  <c r="F89" i="4"/>
  <c r="F90" i="4"/>
  <c r="B84" i="4"/>
  <c r="C84" i="4"/>
  <c r="D84" i="4"/>
  <c r="B85" i="4"/>
  <c r="C85" i="4"/>
  <c r="D85" i="4"/>
  <c r="B86" i="4"/>
  <c r="C86" i="4"/>
  <c r="D86" i="4"/>
  <c r="B87" i="4"/>
  <c r="C87" i="4"/>
  <c r="D87" i="4"/>
  <c r="B88" i="4"/>
  <c r="C88" i="4"/>
  <c r="D88" i="4"/>
  <c r="B89" i="4"/>
  <c r="C89" i="4"/>
  <c r="D89" i="4"/>
  <c r="B90" i="4"/>
  <c r="C90" i="4"/>
  <c r="D90" i="4"/>
  <c r="F66" i="4"/>
  <c r="F67" i="4"/>
  <c r="F68" i="4"/>
  <c r="F69" i="4"/>
  <c r="F70" i="4"/>
  <c r="F71" i="4"/>
  <c r="F72" i="4"/>
  <c r="B66" i="4"/>
  <c r="C66" i="4"/>
  <c r="D66" i="4"/>
  <c r="B67" i="4"/>
  <c r="C67" i="4"/>
  <c r="D67" i="4"/>
  <c r="B68" i="4"/>
  <c r="C68" i="4"/>
  <c r="D68" i="4"/>
  <c r="B69" i="4"/>
  <c r="C69" i="4"/>
  <c r="D69" i="4"/>
  <c r="B70" i="4"/>
  <c r="C70" i="4"/>
  <c r="D70" i="4"/>
  <c r="B71" i="4"/>
  <c r="C71" i="4"/>
  <c r="D71" i="4"/>
  <c r="B72" i="4"/>
  <c r="C72" i="4"/>
  <c r="D72" i="4"/>
  <c r="F101" i="71"/>
  <c r="F102" i="71"/>
  <c r="F103" i="71"/>
  <c r="F104" i="71"/>
  <c r="F105" i="71"/>
  <c r="F106" i="71"/>
  <c r="F107" i="71"/>
  <c r="F108" i="71"/>
  <c r="F109" i="71"/>
  <c r="F110" i="71"/>
  <c r="F100" i="71"/>
  <c r="B101" i="71"/>
  <c r="C101" i="71"/>
  <c r="D101" i="71"/>
  <c r="B102" i="71"/>
  <c r="C102" i="71"/>
  <c r="D102" i="71"/>
  <c r="B103" i="71"/>
  <c r="C103" i="71"/>
  <c r="D103" i="71"/>
  <c r="B104" i="71"/>
  <c r="C104" i="71"/>
  <c r="D104" i="71"/>
  <c r="B105" i="71"/>
  <c r="C105" i="71"/>
  <c r="D105" i="71"/>
  <c r="B106" i="71"/>
  <c r="C106" i="71"/>
  <c r="D106" i="71"/>
  <c r="B107" i="71"/>
  <c r="C107" i="71"/>
  <c r="D107" i="71"/>
  <c r="B108" i="71"/>
  <c r="C108" i="71"/>
  <c r="D108" i="71"/>
  <c r="B109" i="71"/>
  <c r="C109" i="71"/>
  <c r="D109" i="71"/>
  <c r="B110" i="71"/>
  <c r="C110" i="71"/>
  <c r="D110" i="71"/>
  <c r="C100" i="71"/>
  <c r="B100" i="71"/>
  <c r="I13" i="75"/>
  <c r="AB28" i="74"/>
  <c r="V35" i="74"/>
  <c r="V32" i="74"/>
  <c r="V28" i="74"/>
  <c r="AC28" i="73"/>
  <c r="W28" i="73"/>
  <c r="W35" i="73"/>
  <c r="W32" i="73"/>
  <c r="AC28" i="72"/>
  <c r="AD28" i="72"/>
  <c r="AB28" i="71"/>
  <c r="AD28" i="71"/>
  <c r="AC28" i="71"/>
  <c r="AC28" i="70"/>
  <c r="AD28" i="70"/>
  <c r="AC28" i="69"/>
  <c r="AD28" i="69"/>
  <c r="AB28" i="65"/>
  <c r="AB28" i="62"/>
  <c r="AD28" i="60"/>
  <c r="AC28" i="60"/>
  <c r="AB28" i="60"/>
  <c r="AB28" i="59"/>
  <c r="AB28" i="58"/>
  <c r="W35" i="58"/>
  <c r="W32" i="58"/>
  <c r="W28" i="58"/>
  <c r="AD28" i="57"/>
  <c r="AC28" i="57"/>
  <c r="V40" i="56"/>
  <c r="T30" i="37" l="1"/>
  <c r="S30" i="37"/>
  <c r="K37" i="75"/>
  <c r="K38" i="61"/>
  <c r="K39" i="61"/>
  <c r="K37" i="61"/>
  <c r="W28" i="61"/>
  <c r="W32" i="61" s="1"/>
  <c r="AB28" i="56"/>
  <c r="AC28" i="56"/>
  <c r="AE28" i="56"/>
  <c r="W28" i="53"/>
  <c r="Z55" i="52"/>
  <c r="Z54" i="52"/>
  <c r="Z53" i="52"/>
  <c r="Z52" i="52"/>
  <c r="AA55" i="52"/>
  <c r="U33" i="51"/>
  <c r="U28" i="51"/>
  <c r="U30" i="51" s="1"/>
  <c r="AB28" i="79"/>
  <c r="AA28" i="79"/>
  <c r="S28" i="79"/>
  <c r="T28" i="79" s="1"/>
  <c r="AB28" i="50"/>
  <c r="AB28" i="49" l="1"/>
  <c r="AB28" i="48"/>
  <c r="AC28" i="48"/>
  <c r="AB28" i="46"/>
  <c r="AC28" i="45"/>
  <c r="AB28" i="45"/>
  <c r="AA28" i="45"/>
  <c r="AB28" i="44"/>
  <c r="AD28" i="43"/>
  <c r="AC28" i="43"/>
  <c r="AB28" i="43"/>
  <c r="I37" i="43"/>
  <c r="AC28" i="41"/>
  <c r="U28" i="37"/>
  <c r="AQ13" i="36"/>
  <c r="AQ12" i="36"/>
  <c r="AQ11" i="36"/>
  <c r="AQ10" i="36"/>
  <c r="AQ9" i="36"/>
  <c r="AQ8" i="36"/>
  <c r="AQ7" i="36"/>
  <c r="AQ6" i="36"/>
  <c r="AA28" i="36"/>
  <c r="AC28" i="36" s="1"/>
  <c r="AC29" i="36" s="1"/>
  <c r="U28" i="34"/>
  <c r="U33" i="34"/>
  <c r="U30" i="34"/>
  <c r="AB28" i="33"/>
  <c r="AB28" i="32"/>
  <c r="AA28" i="32"/>
  <c r="AB28" i="27"/>
  <c r="AA28" i="27"/>
  <c r="AC28" i="27" s="1"/>
  <c r="AC28" i="26"/>
  <c r="AB28" i="26"/>
  <c r="AC28" i="25"/>
  <c r="AB28" i="25"/>
  <c r="X28" i="22"/>
  <c r="AC28" i="21"/>
  <c r="W35" i="21"/>
  <c r="W32" i="21"/>
  <c r="W28" i="21"/>
  <c r="AF1" i="75"/>
  <c r="AC30" i="75" s="1"/>
  <c r="AF1" i="67"/>
  <c r="AC30" i="67" s="1"/>
  <c r="AF1" i="53"/>
  <c r="AF1" i="37"/>
  <c r="AD30" i="37" s="1"/>
  <c r="AF1" i="22"/>
  <c r="AB28" i="20"/>
  <c r="AC28" i="20"/>
  <c r="AD28" i="17"/>
  <c r="AA28" i="19"/>
  <c r="AF1" i="11"/>
  <c r="S30" i="6"/>
  <c r="T30" i="6" s="1"/>
  <c r="AD28" i="6"/>
  <c r="S9" i="54"/>
  <c r="P13" i="55"/>
  <c r="Q13" i="55"/>
  <c r="R13" i="55"/>
  <c r="S13" i="55"/>
  <c r="O13" i="55"/>
  <c r="T13" i="55" s="1"/>
  <c r="S16" i="55" s="1"/>
  <c r="D51" i="87"/>
  <c r="C51" i="87"/>
  <c r="R15" i="82"/>
  <c r="Q15" i="82"/>
  <c r="S15" i="14"/>
  <c r="R15" i="14"/>
  <c r="AA28" i="10"/>
  <c r="AC28" i="10" s="1"/>
  <c r="I16" i="67"/>
  <c r="G16" i="67"/>
  <c r="H16" i="67" s="1"/>
  <c r="W28" i="67" s="1"/>
  <c r="E16" i="67"/>
  <c r="I13" i="37"/>
  <c r="G13" i="37"/>
  <c r="H13" i="37" s="1"/>
  <c r="E13" i="37"/>
  <c r="E73" i="37" s="1"/>
  <c r="G73" i="37" s="1"/>
  <c r="H73" i="37" s="1"/>
  <c r="I7" i="75"/>
  <c r="G7" i="75"/>
  <c r="E7" i="75"/>
  <c r="I11" i="53"/>
  <c r="G11" i="53"/>
  <c r="H11" i="53" s="1"/>
  <c r="E11" i="53"/>
  <c r="E71" i="53" s="1"/>
  <c r="G71" i="53" s="1"/>
  <c r="H71" i="53" s="1"/>
  <c r="X28" i="11"/>
  <c r="X28" i="37"/>
  <c r="I7" i="22"/>
  <c r="G7" i="22"/>
  <c r="H7" i="22" s="1"/>
  <c r="E7" i="22"/>
  <c r="E7" i="11"/>
  <c r="G7" i="11"/>
  <c r="H7" i="11" s="1"/>
  <c r="J90" i="1"/>
  <c r="J11" i="53" s="1"/>
  <c r="J91" i="1"/>
  <c r="J7" i="22" s="1"/>
  <c r="J89" i="1"/>
  <c r="J13" i="37" s="1"/>
  <c r="I7" i="11"/>
  <c r="L90" i="1"/>
  <c r="O90" i="1" s="1"/>
  <c r="K90" i="1"/>
  <c r="N90" i="1" s="1"/>
  <c r="L89" i="1"/>
  <c r="O89" i="1" s="1"/>
  <c r="K89" i="1"/>
  <c r="N89" i="1" s="1"/>
  <c r="K11" i="1"/>
  <c r="N11" i="1" s="1"/>
  <c r="L11" i="1"/>
  <c r="O11" i="1" s="1"/>
  <c r="F68" i="84"/>
  <c r="D68" i="84"/>
  <c r="C68" i="84"/>
  <c r="B68" i="84"/>
  <c r="F67" i="84"/>
  <c r="D67" i="84"/>
  <c r="C67" i="84"/>
  <c r="B67" i="84"/>
  <c r="F66" i="84"/>
  <c r="D66" i="84"/>
  <c r="C66" i="84"/>
  <c r="B66" i="84"/>
  <c r="F65" i="84"/>
  <c r="D65" i="84"/>
  <c r="C65" i="84"/>
  <c r="B65" i="84"/>
  <c r="I38" i="23"/>
  <c r="J38" i="23"/>
  <c r="S30" i="11"/>
  <c r="S28" i="11"/>
  <c r="U30" i="17"/>
  <c r="T30" i="17" s="1"/>
  <c r="U28" i="17"/>
  <c r="T29" i="17" s="1"/>
  <c r="U30" i="29"/>
  <c r="AD28" i="28"/>
  <c r="AC28" i="17"/>
  <c r="AB28" i="17"/>
  <c r="W35" i="17"/>
  <c r="W28" i="17"/>
  <c r="W32" i="17" s="1"/>
  <c r="U29" i="3"/>
  <c r="U28" i="8"/>
  <c r="T29" i="8" s="1"/>
  <c r="AC28" i="7"/>
  <c r="AD28" i="3"/>
  <c r="AC28" i="3"/>
  <c r="AB28" i="3"/>
  <c r="AB28" i="5"/>
  <c r="AA28" i="5"/>
  <c r="AD28" i="8"/>
  <c r="AB28" i="8"/>
  <c r="AB28" i="16"/>
  <c r="AA28" i="16"/>
  <c r="AC28" i="16" s="1"/>
  <c r="AB28" i="15"/>
  <c r="S28" i="37" l="1"/>
  <c r="T28" i="37"/>
  <c r="J16" i="67"/>
  <c r="J7" i="75"/>
  <c r="T28" i="8"/>
  <c r="H7" i="75"/>
  <c r="K7" i="75" s="1"/>
  <c r="W28" i="75"/>
  <c r="AD30" i="53"/>
  <c r="T30" i="29"/>
  <c r="S30" i="29"/>
  <c r="S32" i="11"/>
  <c r="AF28" i="43"/>
  <c r="J7" i="11"/>
  <c r="T15" i="14"/>
  <c r="U30" i="6"/>
  <c r="K16" i="67"/>
  <c r="K13" i="37"/>
  <c r="L13" i="37" s="1"/>
  <c r="X35" i="37" s="1"/>
  <c r="AE30" i="37" s="1"/>
  <c r="K11" i="53"/>
  <c r="K7" i="11"/>
  <c r="K7" i="22"/>
  <c r="L7" i="22" s="1"/>
  <c r="X35" i="22" s="1"/>
  <c r="AD30" i="22" s="1"/>
  <c r="K91" i="1"/>
  <c r="N91" i="1" s="1"/>
  <c r="L91" i="1"/>
  <c r="O91" i="1" s="1"/>
  <c r="AC28" i="8"/>
  <c r="AB29" i="16"/>
  <c r="L16" i="67" l="1"/>
  <c r="W35" i="67" s="1"/>
  <c r="AD30" i="67" s="1"/>
  <c r="L7" i="75"/>
  <c r="W33" i="75" s="1"/>
  <c r="AD30" i="75" s="1"/>
  <c r="L11" i="53"/>
  <c r="X35" i="53" s="1"/>
  <c r="AE30" i="53" s="1"/>
  <c r="X28" i="53"/>
  <c r="L7" i="11"/>
  <c r="X35" i="11" s="1"/>
  <c r="AF28" i="8"/>
  <c r="I10" i="87"/>
  <c r="S27" i="87"/>
  <c r="S29" i="10"/>
  <c r="AD29" i="8" l="1"/>
  <c r="AB29" i="8"/>
  <c r="AC29" i="8"/>
  <c r="AC28" i="37"/>
  <c r="AB28" i="37"/>
  <c r="AB28" i="11"/>
  <c r="D5" i="11"/>
  <c r="V32" i="5"/>
  <c r="V28" i="5"/>
  <c r="V28" i="4"/>
  <c r="V32" i="4" s="1"/>
  <c r="V28" i="61"/>
  <c r="U30" i="3"/>
  <c r="U48" i="3"/>
  <c r="T48" i="3"/>
  <c r="V40" i="60"/>
  <c r="U28" i="60"/>
  <c r="U30" i="60"/>
  <c r="T30" i="60" s="1"/>
  <c r="I37" i="88"/>
  <c r="I37" i="72"/>
  <c r="I38" i="71"/>
  <c r="I37" i="71"/>
  <c r="I38" i="70"/>
  <c r="I37" i="70"/>
  <c r="I37" i="69"/>
  <c r="I38" i="66"/>
  <c r="I37" i="66"/>
  <c r="I37" i="62"/>
  <c r="I38" i="60"/>
  <c r="I37" i="60"/>
  <c r="I37" i="59"/>
  <c r="I38" i="57"/>
  <c r="I37" i="57"/>
  <c r="I37" i="56"/>
  <c r="I37" i="79"/>
  <c r="I38" i="49"/>
  <c r="I37" i="49"/>
  <c r="I38" i="48"/>
  <c r="I37" i="48"/>
  <c r="I37" i="47"/>
  <c r="I37" i="46"/>
  <c r="I37" i="44"/>
  <c r="I37" i="41"/>
  <c r="I37" i="35"/>
  <c r="I38" i="33"/>
  <c r="I37" i="33"/>
  <c r="I37" i="32"/>
  <c r="I38" i="30"/>
  <c r="I37" i="30"/>
  <c r="I37" i="29"/>
  <c r="I38" i="28"/>
  <c r="I37" i="28"/>
  <c r="I38" i="26"/>
  <c r="I39" i="26"/>
  <c r="I37" i="26"/>
  <c r="I37" i="25"/>
  <c r="I37" i="23"/>
  <c r="I38" i="20"/>
  <c r="I37" i="20"/>
  <c r="I37" i="18"/>
  <c r="I37" i="19"/>
  <c r="I37" i="15"/>
  <c r="I37" i="10"/>
  <c r="I38" i="9"/>
  <c r="I37" i="9"/>
  <c r="I38" i="8"/>
  <c r="I37" i="8"/>
  <c r="I37" i="7"/>
  <c r="I38" i="5"/>
  <c r="I37" i="5"/>
  <c r="I37" i="6"/>
  <c r="I38" i="4"/>
  <c r="I37" i="4"/>
  <c r="I37" i="3"/>
  <c r="T28" i="60" l="1"/>
  <c r="T29" i="60"/>
  <c r="S30" i="60"/>
  <c r="S28" i="60"/>
  <c r="AE30" i="11"/>
  <c r="AF28" i="37"/>
  <c r="AB29" i="37" s="1"/>
  <c r="T32" i="60" l="1"/>
  <c r="S32" i="60"/>
  <c r="AF29" i="37"/>
  <c r="AC29" i="37"/>
  <c r="AB28" i="75"/>
  <c r="AA28" i="74"/>
  <c r="AB28" i="73"/>
  <c r="AB28" i="72"/>
  <c r="AB28" i="70"/>
  <c r="AB28" i="69"/>
  <c r="AA28" i="67"/>
  <c r="AA28" i="65"/>
  <c r="AC28" i="65" s="1"/>
  <c r="AA28" i="62"/>
  <c r="AB28" i="61"/>
  <c r="AA28" i="59"/>
  <c r="AA28" i="58"/>
  <c r="AB28" i="57"/>
  <c r="AB28" i="53"/>
  <c r="AC28" i="53" s="1"/>
  <c r="AA28" i="51"/>
  <c r="AA28" i="50"/>
  <c r="AC28" i="50" s="1"/>
  <c r="AA28" i="49"/>
  <c r="AA28" i="48"/>
  <c r="AE28" i="48" s="1"/>
  <c r="AA28" i="47"/>
  <c r="AA28" i="46"/>
  <c r="AA28" i="44"/>
  <c r="AD28" i="44" s="1"/>
  <c r="AB29" i="44" s="1"/>
  <c r="AB28" i="41"/>
  <c r="AA28" i="33"/>
  <c r="AB28" i="28"/>
  <c r="AB28" i="22"/>
  <c r="AB28" i="21"/>
  <c r="AA28" i="20"/>
  <c r="AB28" i="18"/>
  <c r="AB28" i="9"/>
  <c r="AA28" i="7"/>
  <c r="AB28" i="6"/>
  <c r="I24" i="75"/>
  <c r="I15" i="75"/>
  <c r="I16" i="75"/>
  <c r="I17" i="75"/>
  <c r="I18" i="75"/>
  <c r="I19" i="75"/>
  <c r="I20" i="75"/>
  <c r="I21" i="75"/>
  <c r="I22" i="75"/>
  <c r="I23" i="75"/>
  <c r="I14" i="75"/>
  <c r="AQ8" i="73"/>
  <c r="AQ9" i="73"/>
  <c r="AQ10" i="73"/>
  <c r="AQ11" i="73"/>
  <c r="AQ12" i="73"/>
  <c r="AQ13" i="73"/>
  <c r="AQ7" i="73"/>
  <c r="AQ6" i="73"/>
  <c r="AQ8" i="72"/>
  <c r="AQ9" i="72"/>
  <c r="AQ10" i="72"/>
  <c r="AQ11" i="72"/>
  <c r="AQ12" i="72"/>
  <c r="AQ13" i="72"/>
  <c r="AQ14" i="72"/>
  <c r="AQ15" i="72"/>
  <c r="AQ16" i="72"/>
  <c r="AQ17" i="72"/>
  <c r="AQ18" i="72"/>
  <c r="AQ19" i="72"/>
  <c r="AQ7" i="72"/>
  <c r="AQ6" i="72"/>
  <c r="AQ8" i="71"/>
  <c r="AQ9" i="71"/>
  <c r="AQ10" i="71"/>
  <c r="AQ11" i="71"/>
  <c r="AQ12" i="71"/>
  <c r="AQ13" i="71"/>
  <c r="AQ7" i="71"/>
  <c r="AQ6" i="71"/>
  <c r="AQ8" i="70"/>
  <c r="AQ9" i="70"/>
  <c r="AQ10" i="70"/>
  <c r="AQ11" i="70"/>
  <c r="AQ12" i="70"/>
  <c r="AQ7" i="70"/>
  <c r="AQ6" i="70"/>
  <c r="AQ8" i="69"/>
  <c r="AQ9" i="69"/>
  <c r="AQ10" i="69"/>
  <c r="AQ11" i="69"/>
  <c r="AQ12" i="69"/>
  <c r="AQ7" i="69"/>
  <c r="AQ6" i="69"/>
  <c r="AQ8" i="61"/>
  <c r="AS8" i="61" s="1"/>
  <c r="AQ9" i="61"/>
  <c r="AS9" i="61" s="1"/>
  <c r="AQ10" i="61"/>
  <c r="AS10" i="61" s="1"/>
  <c r="AQ11" i="61"/>
  <c r="AS11" i="61" s="1"/>
  <c r="AQ12" i="61"/>
  <c r="AS12" i="61" s="1"/>
  <c r="AQ7" i="61"/>
  <c r="AS7" i="61" s="1"/>
  <c r="AQ6" i="61"/>
  <c r="AS6" i="61" s="1"/>
  <c r="AQ8" i="60"/>
  <c r="AQ9" i="60"/>
  <c r="AQ10" i="60"/>
  <c r="AQ11" i="60"/>
  <c r="AQ12" i="60"/>
  <c r="AQ13" i="60"/>
  <c r="AQ14" i="60"/>
  <c r="AR14" i="60"/>
  <c r="AQ7" i="60"/>
  <c r="AQ6" i="60"/>
  <c r="AQ8" i="58"/>
  <c r="AR8" i="58"/>
  <c r="AQ9" i="58"/>
  <c r="AQ10" i="58"/>
  <c r="AQ11" i="58"/>
  <c r="AQ12" i="58"/>
  <c r="AQ13" i="58"/>
  <c r="AQ14" i="58"/>
  <c r="AQ15" i="58"/>
  <c r="AQ7" i="58"/>
  <c r="AQ6" i="58"/>
  <c r="AQ8" i="57"/>
  <c r="AQ9" i="57"/>
  <c r="AQ10" i="57"/>
  <c r="AQ11" i="57"/>
  <c r="AQ12" i="57"/>
  <c r="AQ13" i="57"/>
  <c r="AQ14" i="57"/>
  <c r="AQ15" i="57"/>
  <c r="AQ16" i="57"/>
  <c r="AQ17" i="57"/>
  <c r="AQ18" i="57"/>
  <c r="AQ19" i="57"/>
  <c r="AQ7" i="57"/>
  <c r="AQ6" i="57"/>
  <c r="AQ8" i="56"/>
  <c r="AQ9" i="56"/>
  <c r="AQ10" i="56"/>
  <c r="AQ11" i="56"/>
  <c r="AQ12" i="56"/>
  <c r="AQ13" i="56"/>
  <c r="AQ7" i="56"/>
  <c r="AQ6" i="56"/>
  <c r="AQ7" i="53"/>
  <c r="AQ8" i="53"/>
  <c r="AQ9" i="53"/>
  <c r="AQ10" i="53"/>
  <c r="AQ11" i="53"/>
  <c r="AQ12" i="53"/>
  <c r="AQ6" i="53"/>
  <c r="AQ9" i="79"/>
  <c r="AQ10" i="79"/>
  <c r="AQ11" i="79"/>
  <c r="AQ12" i="79"/>
  <c r="AQ13" i="79"/>
  <c r="AQ14" i="79"/>
  <c r="AQ15" i="79"/>
  <c r="AQ16" i="79"/>
  <c r="AQ17" i="79"/>
  <c r="AQ18" i="79"/>
  <c r="AR18" i="79"/>
  <c r="AQ19" i="79"/>
  <c r="AQ8" i="79"/>
  <c r="AQ7" i="79"/>
  <c r="AQ6" i="79"/>
  <c r="AQ9" i="47"/>
  <c r="AQ10" i="47"/>
  <c r="AQ11" i="47"/>
  <c r="AQ12" i="47"/>
  <c r="AQ13" i="47"/>
  <c r="AQ14" i="47"/>
  <c r="AQ15" i="47"/>
  <c r="AQ16" i="47"/>
  <c r="AQ17" i="47"/>
  <c r="AQ8" i="47"/>
  <c r="AQ7" i="47"/>
  <c r="AQ6" i="47"/>
  <c r="AQ8" i="43"/>
  <c r="AQ9" i="43"/>
  <c r="AQ10" i="43"/>
  <c r="AQ11" i="43"/>
  <c r="AQ12" i="43"/>
  <c r="AR12" i="43"/>
  <c r="AQ13" i="43"/>
  <c r="AQ14" i="43"/>
  <c r="AQ15" i="43"/>
  <c r="AQ16" i="43"/>
  <c r="AQ17" i="43"/>
  <c r="AQ7" i="43"/>
  <c r="AQ6" i="43"/>
  <c r="AQ8" i="41"/>
  <c r="AQ9" i="41"/>
  <c r="AQ10" i="41"/>
  <c r="AQ11" i="41"/>
  <c r="AQ12" i="41"/>
  <c r="AQ7" i="41"/>
  <c r="AQ6" i="41"/>
  <c r="AQ10" i="37"/>
  <c r="AQ11" i="37"/>
  <c r="AQ12" i="37"/>
  <c r="AQ13" i="37"/>
  <c r="AQ9" i="37"/>
  <c r="AQ8" i="37"/>
  <c r="AQ7" i="37"/>
  <c r="AQ6" i="37"/>
  <c r="I9" i="92"/>
  <c r="I10" i="92"/>
  <c r="I11" i="92"/>
  <c r="I12" i="92"/>
  <c r="I13" i="92"/>
  <c r="I14" i="92"/>
  <c r="I15" i="92"/>
  <c r="I16" i="92"/>
  <c r="I17" i="92"/>
  <c r="I18" i="92"/>
  <c r="I19" i="92"/>
  <c r="I8" i="92"/>
  <c r="I7" i="92"/>
  <c r="I6" i="92"/>
  <c r="J5" i="92"/>
  <c r="I5" i="92"/>
  <c r="AQ8" i="29"/>
  <c r="AQ9" i="29"/>
  <c r="AQ10" i="29"/>
  <c r="AQ11" i="29"/>
  <c r="AQ12" i="29"/>
  <c r="AQ13" i="29"/>
  <c r="AQ7" i="29"/>
  <c r="AQ6" i="29"/>
  <c r="AQ8" i="28"/>
  <c r="AQ9" i="28"/>
  <c r="AQ10" i="28"/>
  <c r="AQ11" i="28"/>
  <c r="AQ12" i="28"/>
  <c r="AQ13" i="28"/>
  <c r="AQ14" i="28"/>
  <c r="AQ15" i="28"/>
  <c r="AQ16" i="28"/>
  <c r="AQ17" i="28"/>
  <c r="AQ18" i="28"/>
  <c r="AQ19" i="28"/>
  <c r="AQ7" i="28"/>
  <c r="AQ6" i="28"/>
  <c r="AQ9" i="26"/>
  <c r="AQ10" i="26"/>
  <c r="AQ11" i="26"/>
  <c r="AQ12" i="26"/>
  <c r="AQ8" i="26"/>
  <c r="AQ7" i="26"/>
  <c r="AQ6" i="26"/>
  <c r="AQ9" i="25"/>
  <c r="AQ10" i="25"/>
  <c r="AQ11" i="25"/>
  <c r="AQ12" i="25"/>
  <c r="AQ13" i="25"/>
  <c r="AQ14" i="25"/>
  <c r="AQ15" i="25"/>
  <c r="AQ16" i="25"/>
  <c r="AQ8" i="25"/>
  <c r="AQ7" i="25"/>
  <c r="AQ6" i="25"/>
  <c r="AQ8" i="22"/>
  <c r="AQ9" i="22"/>
  <c r="AQ10" i="22"/>
  <c r="AQ11" i="22"/>
  <c r="AQ12" i="22"/>
  <c r="AQ13" i="22"/>
  <c r="AQ14" i="22"/>
  <c r="AR14" i="22"/>
  <c r="AQ15" i="22"/>
  <c r="AQ16" i="22"/>
  <c r="AQ17" i="22"/>
  <c r="AQ7" i="22"/>
  <c r="AQ6" i="22"/>
  <c r="AQ9" i="21"/>
  <c r="AQ10" i="21"/>
  <c r="AQ11" i="21"/>
  <c r="AQ12" i="21"/>
  <c r="AQ13" i="21"/>
  <c r="AQ8" i="21"/>
  <c r="AQ7" i="21"/>
  <c r="AQ6" i="21"/>
  <c r="AQ8" i="18"/>
  <c r="AQ9" i="18"/>
  <c r="AQ10" i="18"/>
  <c r="AQ11" i="18"/>
  <c r="AQ12" i="18"/>
  <c r="AQ13" i="18"/>
  <c r="AQ14" i="18"/>
  <c r="AQ15" i="18"/>
  <c r="AQ16" i="18"/>
  <c r="AQ17" i="18"/>
  <c r="AQ18" i="18"/>
  <c r="AQ19" i="18"/>
  <c r="AQ7" i="18"/>
  <c r="AQ6" i="18"/>
  <c r="AQ7" i="15"/>
  <c r="AQ8" i="15"/>
  <c r="AQ9" i="15"/>
  <c r="AQ10" i="15"/>
  <c r="AQ11" i="15"/>
  <c r="AQ12" i="15"/>
  <c r="AQ6" i="15"/>
  <c r="I14" i="11"/>
  <c r="I15" i="11"/>
  <c r="I16" i="11"/>
  <c r="I17" i="11"/>
  <c r="I18" i="11"/>
  <c r="I19" i="11"/>
  <c r="I20" i="11"/>
  <c r="I21" i="11"/>
  <c r="I22" i="11"/>
  <c r="I23" i="11"/>
  <c r="I24" i="11"/>
  <c r="I25" i="11"/>
  <c r="I26" i="11"/>
  <c r="I27" i="11"/>
  <c r="I28" i="11"/>
  <c r="AQ8" i="9"/>
  <c r="AQ9" i="9"/>
  <c r="AQ10" i="9"/>
  <c r="AQ11" i="9"/>
  <c r="AQ12" i="9"/>
  <c r="AQ13" i="9"/>
  <c r="AQ14" i="9"/>
  <c r="AQ15" i="9"/>
  <c r="AR15" i="9"/>
  <c r="AQ16" i="9"/>
  <c r="AQ17" i="9"/>
  <c r="AQ18" i="9"/>
  <c r="AQ19" i="9"/>
  <c r="AQ20" i="9"/>
  <c r="AQ7" i="9"/>
  <c r="AQ6" i="9"/>
  <c r="AQ7" i="6"/>
  <c r="AQ8" i="6"/>
  <c r="AQ9" i="6"/>
  <c r="AQ10" i="6"/>
  <c r="AQ11" i="6"/>
  <c r="AQ12" i="6"/>
  <c r="AQ13" i="6"/>
  <c r="AQ6" i="6"/>
  <c r="AQ7" i="17"/>
  <c r="AQ8" i="17"/>
  <c r="AQ9" i="17"/>
  <c r="AQ10" i="17"/>
  <c r="AQ11" i="17"/>
  <c r="AQ12" i="17"/>
  <c r="AQ13" i="17"/>
  <c r="AQ14" i="17"/>
  <c r="AQ15" i="17"/>
  <c r="AQ16" i="17"/>
  <c r="AQ6" i="17"/>
  <c r="AQ7" i="8"/>
  <c r="AQ8" i="8"/>
  <c r="AQ9" i="8"/>
  <c r="AQ10" i="8"/>
  <c r="AQ11" i="8"/>
  <c r="AQ12" i="8"/>
  <c r="AQ6" i="8"/>
  <c r="AQ7" i="3"/>
  <c r="AQ8" i="3"/>
  <c r="AQ9" i="3"/>
  <c r="AQ10" i="3"/>
  <c r="AQ11" i="3"/>
  <c r="AQ12" i="3"/>
  <c r="AQ13" i="3"/>
  <c r="AQ6" i="3"/>
  <c r="U32" i="60" l="1"/>
  <c r="U29" i="60"/>
  <c r="AF28" i="53"/>
  <c r="AC29" i="53" s="1"/>
  <c r="L111" i="1"/>
  <c r="AL78" i="1"/>
  <c r="P56" i="23"/>
  <c r="O56" i="23"/>
  <c r="O58" i="23" s="1"/>
  <c r="Q51" i="23"/>
  <c r="Q52" i="23"/>
  <c r="Q53" i="23"/>
  <c r="Q54" i="23"/>
  <c r="Q50" i="23"/>
  <c r="S8" i="91"/>
  <c r="R8" i="91"/>
  <c r="P6" i="16"/>
  <c r="P4" i="16"/>
  <c r="B88" i="5"/>
  <c r="C88" i="5"/>
  <c r="D88" i="5"/>
  <c r="F88" i="5"/>
  <c r="I28" i="5"/>
  <c r="T30" i="8"/>
  <c r="I20" i="3"/>
  <c r="I22" i="3"/>
  <c r="I21" i="3"/>
  <c r="F121" i="28"/>
  <c r="F122" i="28"/>
  <c r="F123" i="28"/>
  <c r="F124" i="28"/>
  <c r="F125" i="28"/>
  <c r="F126" i="28"/>
  <c r="F127" i="28"/>
  <c r="F128" i="28"/>
  <c r="F129" i="28"/>
  <c r="F130" i="28"/>
  <c r="F131" i="28"/>
  <c r="F132" i="28"/>
  <c r="F133" i="28"/>
  <c r="F134" i="28"/>
  <c r="F135" i="28"/>
  <c r="F136" i="28"/>
  <c r="F137" i="28"/>
  <c r="F138" i="28"/>
  <c r="F120" i="28"/>
  <c r="B121" i="28"/>
  <c r="C121" i="28"/>
  <c r="D121" i="28"/>
  <c r="B122" i="28"/>
  <c r="C122" i="28"/>
  <c r="D122" i="28"/>
  <c r="B123" i="28"/>
  <c r="C123" i="28"/>
  <c r="D123" i="28"/>
  <c r="B124" i="28"/>
  <c r="C124" i="28"/>
  <c r="D124" i="28"/>
  <c r="B125" i="28"/>
  <c r="C125" i="28"/>
  <c r="D125" i="28"/>
  <c r="B126" i="28"/>
  <c r="C126" i="28"/>
  <c r="D126" i="28"/>
  <c r="B127" i="28"/>
  <c r="C127" i="28"/>
  <c r="D127" i="28"/>
  <c r="B128" i="28"/>
  <c r="C128" i="28"/>
  <c r="D128" i="28"/>
  <c r="B129" i="28"/>
  <c r="C129" i="28"/>
  <c r="D129" i="28"/>
  <c r="B130" i="28"/>
  <c r="C130" i="28"/>
  <c r="D130" i="28"/>
  <c r="B131" i="28"/>
  <c r="C131" i="28"/>
  <c r="D131" i="28"/>
  <c r="B132" i="28"/>
  <c r="C132" i="28"/>
  <c r="D132" i="28"/>
  <c r="B133" i="28"/>
  <c r="C133" i="28"/>
  <c r="D133" i="28"/>
  <c r="B134" i="28"/>
  <c r="C134" i="28"/>
  <c r="D134" i="28"/>
  <c r="B135" i="28"/>
  <c r="C135" i="28"/>
  <c r="D135" i="28"/>
  <c r="B136" i="28"/>
  <c r="C136" i="28"/>
  <c r="D136" i="28"/>
  <c r="B137" i="28"/>
  <c r="C137" i="28"/>
  <c r="D137" i="28"/>
  <c r="B138" i="28"/>
  <c r="C138" i="28"/>
  <c r="D138" i="28"/>
  <c r="C120" i="28"/>
  <c r="B120" i="28"/>
  <c r="L3" i="1"/>
  <c r="T12" i="13"/>
  <c r="U12" i="13"/>
  <c r="W12" i="13"/>
  <c r="V12" i="13"/>
  <c r="S12" i="13"/>
  <c r="S28" i="6"/>
  <c r="S32" i="6" s="1"/>
  <c r="L4" i="1"/>
  <c r="K31" i="1"/>
  <c r="N31" i="1" s="1"/>
  <c r="L31" i="1"/>
  <c r="O31" i="1" s="1"/>
  <c r="K33" i="1"/>
  <c r="N33" i="1" s="1"/>
  <c r="L33" i="1"/>
  <c r="O33" i="1" s="1"/>
  <c r="K67" i="1"/>
  <c r="N67" i="1" s="1"/>
  <c r="L67" i="1"/>
  <c r="O67" i="1" s="1"/>
  <c r="K79" i="1"/>
  <c r="N79" i="1" s="1"/>
  <c r="L79" i="1"/>
  <c r="O79" i="1" s="1"/>
  <c r="K80" i="1"/>
  <c r="N80" i="1" s="1"/>
  <c r="L80" i="1"/>
  <c r="O80" i="1" s="1"/>
  <c r="K81" i="1"/>
  <c r="N81" i="1" s="1"/>
  <c r="L81" i="1"/>
  <c r="O81" i="1" s="1"/>
  <c r="N83" i="1"/>
  <c r="O83" i="1"/>
  <c r="L136" i="1"/>
  <c r="L120" i="1"/>
  <c r="L118" i="1"/>
  <c r="L140" i="1"/>
  <c r="L112" i="1"/>
  <c r="L113" i="1"/>
  <c r="L114" i="1"/>
  <c r="L115" i="1"/>
  <c r="L116" i="1"/>
  <c r="L117" i="1"/>
  <c r="L119" i="1"/>
  <c r="L121" i="1"/>
  <c r="L122" i="1"/>
  <c r="L123" i="1"/>
  <c r="L124" i="1"/>
  <c r="L125" i="1"/>
  <c r="L126" i="1"/>
  <c r="L127" i="1"/>
  <c r="L128" i="1"/>
  <c r="L129" i="1"/>
  <c r="L130" i="1"/>
  <c r="L132" i="1"/>
  <c r="L133" i="1"/>
  <c r="L134" i="1"/>
  <c r="L135" i="1"/>
  <c r="L137" i="1"/>
  <c r="L138" i="1"/>
  <c r="L139" i="1"/>
  <c r="L110" i="1"/>
  <c r="L56" i="2"/>
  <c r="L50" i="2"/>
  <c r="L51" i="2"/>
  <c r="L52" i="2"/>
  <c r="L53" i="2"/>
  <c r="L54" i="2"/>
  <c r="L57" i="2"/>
  <c r="L59" i="2"/>
  <c r="L60" i="2"/>
  <c r="L61" i="2"/>
  <c r="L49" i="2"/>
  <c r="I6" i="3"/>
  <c r="I7" i="3"/>
  <c r="I8" i="3"/>
  <c r="I9" i="3"/>
  <c r="I10" i="3"/>
  <c r="I11" i="3"/>
  <c r="I12" i="3"/>
  <c r="I13" i="3"/>
  <c r="I14" i="3"/>
  <c r="I15" i="3"/>
  <c r="I16" i="3"/>
  <c r="I17" i="3"/>
  <c r="I18" i="3"/>
  <c r="I19" i="3"/>
  <c r="T32" i="4"/>
  <c r="S28" i="4"/>
  <c r="S30" i="4"/>
  <c r="I6" i="4"/>
  <c r="I7" i="4"/>
  <c r="I8" i="4"/>
  <c r="I9" i="4"/>
  <c r="I10" i="4"/>
  <c r="I11" i="4"/>
  <c r="I12" i="4"/>
  <c r="I13" i="4"/>
  <c r="I14" i="4"/>
  <c r="I6" i="6"/>
  <c r="I7" i="6"/>
  <c r="I8" i="6"/>
  <c r="I9" i="6"/>
  <c r="I10" i="6"/>
  <c r="I11" i="6"/>
  <c r="U28" i="5"/>
  <c r="U30" i="5"/>
  <c r="I6" i="5"/>
  <c r="I7" i="5"/>
  <c r="I8" i="5"/>
  <c r="I9" i="5"/>
  <c r="I10" i="5"/>
  <c r="I11" i="5"/>
  <c r="I12" i="5"/>
  <c r="I13" i="5"/>
  <c r="I14" i="5"/>
  <c r="I15" i="5"/>
  <c r="I16" i="5"/>
  <c r="I17" i="5"/>
  <c r="I18" i="5"/>
  <c r="I19" i="5"/>
  <c r="I20" i="5"/>
  <c r="I21" i="5"/>
  <c r="I22" i="5"/>
  <c r="I23" i="5"/>
  <c r="I24" i="5"/>
  <c r="I25" i="5"/>
  <c r="I26" i="5"/>
  <c r="I27" i="5"/>
  <c r="I6" i="7"/>
  <c r="I7" i="7"/>
  <c r="I8" i="7"/>
  <c r="I9" i="7"/>
  <c r="I10" i="7"/>
  <c r="I11" i="7"/>
  <c r="I12" i="7"/>
  <c r="I13" i="7"/>
  <c r="I14" i="7"/>
  <c r="I15" i="7"/>
  <c r="I16" i="7"/>
  <c r="I17" i="7"/>
  <c r="I18" i="7"/>
  <c r="I19" i="7"/>
  <c r="I6" i="8"/>
  <c r="I7" i="8"/>
  <c r="I8" i="8"/>
  <c r="I9" i="8"/>
  <c r="I10" i="8"/>
  <c r="I11" i="8"/>
  <c r="I12" i="8"/>
  <c r="I13" i="8"/>
  <c r="I14" i="8"/>
  <c r="I15" i="8"/>
  <c r="I16" i="8"/>
  <c r="I17" i="8"/>
  <c r="I18" i="8"/>
  <c r="I19" i="8"/>
  <c r="I20" i="8"/>
  <c r="I21" i="8"/>
  <c r="I22" i="8"/>
  <c r="I23" i="8"/>
  <c r="S28" i="9"/>
  <c r="S30" i="9"/>
  <c r="I6" i="11"/>
  <c r="I5" i="11"/>
  <c r="S28" i="89"/>
  <c r="I6" i="89"/>
  <c r="I7" i="89"/>
  <c r="I8" i="89"/>
  <c r="I9" i="89"/>
  <c r="I10" i="89"/>
  <c r="I6" i="10"/>
  <c r="I7" i="10"/>
  <c r="I8" i="10"/>
  <c r="I9" i="10"/>
  <c r="S28" i="10"/>
  <c r="S28" i="87"/>
  <c r="I6" i="87"/>
  <c r="I7" i="87"/>
  <c r="I8" i="87"/>
  <c r="I9" i="87"/>
  <c r="I11" i="87"/>
  <c r="I12" i="87"/>
  <c r="I13" i="87"/>
  <c r="I14" i="87"/>
  <c r="I15" i="87"/>
  <c r="I16" i="87"/>
  <c r="I17" i="87"/>
  <c r="I18" i="87"/>
  <c r="I19" i="87"/>
  <c r="I5" i="87"/>
  <c r="I7" i="82"/>
  <c r="I8" i="82"/>
  <c r="I9" i="82"/>
  <c r="S27" i="82"/>
  <c r="S28" i="82"/>
  <c r="S29" i="12"/>
  <c r="S28" i="12"/>
  <c r="I7" i="12"/>
  <c r="I8" i="12"/>
  <c r="I9" i="12"/>
  <c r="I10" i="12"/>
  <c r="I11" i="12"/>
  <c r="I12" i="12"/>
  <c r="I13" i="12"/>
  <c r="I7" i="13"/>
  <c r="I8" i="13"/>
  <c r="I9" i="13"/>
  <c r="I10" i="13"/>
  <c r="I11" i="13"/>
  <c r="I12" i="13"/>
  <c r="I13" i="13"/>
  <c r="I14" i="13"/>
  <c r="T28" i="13"/>
  <c r="S29" i="13"/>
  <c r="I6" i="82"/>
  <c r="I6" i="12"/>
  <c r="I6" i="13"/>
  <c r="I6" i="14"/>
  <c r="I7" i="14"/>
  <c r="I8" i="14"/>
  <c r="I9" i="14"/>
  <c r="I10" i="14"/>
  <c r="I11" i="14"/>
  <c r="I12" i="14"/>
  <c r="T28" i="14"/>
  <c r="S29" i="14"/>
  <c r="U30" i="15"/>
  <c r="U28" i="15"/>
  <c r="I6" i="15"/>
  <c r="I7" i="15"/>
  <c r="I8" i="15"/>
  <c r="I9" i="15"/>
  <c r="I10" i="15"/>
  <c r="I11" i="15"/>
  <c r="I12" i="15"/>
  <c r="I13" i="15"/>
  <c r="I14" i="15"/>
  <c r="I15" i="15"/>
  <c r="I16" i="15"/>
  <c r="I17" i="15"/>
  <c r="I18" i="15"/>
  <c r="I19" i="15"/>
  <c r="I20" i="15"/>
  <c r="I21" i="15"/>
  <c r="I22" i="15"/>
  <c r="I23" i="15"/>
  <c r="I24" i="15"/>
  <c r="I25" i="15"/>
  <c r="I26" i="15"/>
  <c r="I27" i="15"/>
  <c r="I28" i="15"/>
  <c r="I29" i="15"/>
  <c r="U28" i="16"/>
  <c r="U30" i="16"/>
  <c r="T30" i="16" s="1"/>
  <c r="L15" i="16"/>
  <c r="I6" i="16"/>
  <c r="I7" i="16"/>
  <c r="I8" i="16"/>
  <c r="I9" i="16"/>
  <c r="I10" i="16"/>
  <c r="I11" i="16"/>
  <c r="I12" i="16"/>
  <c r="I13" i="16"/>
  <c r="I14" i="16"/>
  <c r="I16" i="16"/>
  <c r="I17" i="16"/>
  <c r="I18" i="16"/>
  <c r="I6" i="19"/>
  <c r="I7" i="19"/>
  <c r="I8" i="19"/>
  <c r="I9" i="19"/>
  <c r="I10" i="19"/>
  <c r="I11" i="19"/>
  <c r="I12" i="19"/>
  <c r="I13" i="19"/>
  <c r="I14" i="19"/>
  <c r="I15" i="19"/>
  <c r="I16" i="19"/>
  <c r="I17" i="19"/>
  <c r="I6" i="17"/>
  <c r="I7" i="17"/>
  <c r="I8" i="17"/>
  <c r="I9" i="17"/>
  <c r="I10" i="17"/>
  <c r="I11" i="17"/>
  <c r="I12" i="17"/>
  <c r="I13" i="17"/>
  <c r="I14" i="17"/>
  <c r="I15" i="17"/>
  <c r="I16" i="17"/>
  <c r="I17" i="17"/>
  <c r="I18" i="17"/>
  <c r="I19" i="17"/>
  <c r="I20" i="17"/>
  <c r="I21" i="17"/>
  <c r="I22" i="17"/>
  <c r="I23" i="17"/>
  <c r="I24" i="17"/>
  <c r="I25" i="17"/>
  <c r="I26" i="17"/>
  <c r="I27" i="17"/>
  <c r="I28" i="17"/>
  <c r="U28" i="18"/>
  <c r="U30" i="18"/>
  <c r="I6" i="18"/>
  <c r="I7" i="18"/>
  <c r="I8" i="18"/>
  <c r="I9" i="18"/>
  <c r="I10" i="18"/>
  <c r="I11" i="18"/>
  <c r="I12" i="18"/>
  <c r="I13" i="18"/>
  <c r="I14" i="18"/>
  <c r="I15" i="18"/>
  <c r="I16" i="18"/>
  <c r="I17" i="18"/>
  <c r="I18" i="18"/>
  <c r="I19" i="18"/>
  <c r="I20" i="18"/>
  <c r="I6" i="20"/>
  <c r="I7" i="20"/>
  <c r="I8" i="20"/>
  <c r="I9" i="20"/>
  <c r="I10" i="20"/>
  <c r="I11" i="20"/>
  <c r="I12" i="20"/>
  <c r="I13" i="20"/>
  <c r="I14" i="20"/>
  <c r="I15" i="20"/>
  <c r="I16" i="20"/>
  <c r="I17" i="20"/>
  <c r="I18" i="20"/>
  <c r="I19" i="20"/>
  <c r="U28" i="20"/>
  <c r="U30" i="20"/>
  <c r="U30" i="21"/>
  <c r="U28" i="21"/>
  <c r="I6" i="21"/>
  <c r="I7" i="21"/>
  <c r="I8" i="21"/>
  <c r="I9" i="21"/>
  <c r="I10" i="21"/>
  <c r="I11" i="21"/>
  <c r="I12" i="21"/>
  <c r="I13" i="21"/>
  <c r="I14" i="21"/>
  <c r="I15" i="21"/>
  <c r="I16" i="21"/>
  <c r="I17" i="21"/>
  <c r="S30" i="22"/>
  <c r="S28" i="22"/>
  <c r="I6" i="22"/>
  <c r="I6" i="91"/>
  <c r="I7" i="91"/>
  <c r="I8" i="91"/>
  <c r="I9" i="91"/>
  <c r="I10" i="91"/>
  <c r="I11" i="91"/>
  <c r="S29" i="23"/>
  <c r="S28" i="23"/>
  <c r="I6" i="23"/>
  <c r="I7" i="23"/>
  <c r="I8" i="23"/>
  <c r="I9" i="23"/>
  <c r="I10" i="23"/>
  <c r="I11" i="23"/>
  <c r="I12" i="23"/>
  <c r="I13" i="23"/>
  <c r="I14" i="23"/>
  <c r="I15" i="23"/>
  <c r="I16" i="23"/>
  <c r="I17" i="23"/>
  <c r="I18" i="23"/>
  <c r="T28" i="24"/>
  <c r="S29" i="24"/>
  <c r="I6" i="24"/>
  <c r="I7" i="24"/>
  <c r="I8" i="24"/>
  <c r="I9" i="24"/>
  <c r="I10" i="24"/>
  <c r="I11" i="24"/>
  <c r="I12" i="24"/>
  <c r="I13" i="24"/>
  <c r="I6" i="25"/>
  <c r="I7" i="25"/>
  <c r="I8" i="25"/>
  <c r="U30" i="25"/>
  <c r="U28" i="25"/>
  <c r="U30" i="26"/>
  <c r="U28" i="26"/>
  <c r="I6" i="26"/>
  <c r="I7" i="26"/>
  <c r="I8" i="26"/>
  <c r="I9" i="26"/>
  <c r="I10" i="26"/>
  <c r="I11" i="26"/>
  <c r="I12" i="26"/>
  <c r="I13" i="26"/>
  <c r="I14" i="26"/>
  <c r="I15" i="26"/>
  <c r="I16" i="26"/>
  <c r="I17" i="26"/>
  <c r="I18" i="26"/>
  <c r="I19" i="26"/>
  <c r="I5" i="26"/>
  <c r="I6" i="27"/>
  <c r="I7" i="27"/>
  <c r="I8" i="27"/>
  <c r="I9" i="27"/>
  <c r="I10" i="27"/>
  <c r="I11" i="27"/>
  <c r="I12" i="27"/>
  <c r="I13" i="27"/>
  <c r="I14" i="27"/>
  <c r="I15" i="27"/>
  <c r="I16" i="27"/>
  <c r="I17" i="27"/>
  <c r="I18" i="27"/>
  <c r="I19" i="27"/>
  <c r="U28" i="27"/>
  <c r="U30" i="27"/>
  <c r="U28" i="28"/>
  <c r="T29" i="28" s="1"/>
  <c r="U30" i="28"/>
  <c r="T30" i="28" s="1"/>
  <c r="I6" i="28"/>
  <c r="I7" i="28"/>
  <c r="I8" i="28"/>
  <c r="I9" i="28"/>
  <c r="I10" i="28"/>
  <c r="I11" i="28"/>
  <c r="I12" i="28"/>
  <c r="I13" i="28"/>
  <c r="I14" i="28"/>
  <c r="I15" i="28"/>
  <c r="I16" i="28"/>
  <c r="I17" i="28"/>
  <c r="I18" i="28"/>
  <c r="I19" i="28"/>
  <c r="I20" i="28"/>
  <c r="I21" i="28"/>
  <c r="I22" i="28"/>
  <c r="I23" i="28"/>
  <c r="I24" i="28"/>
  <c r="U28" i="29"/>
  <c r="I6" i="29"/>
  <c r="I7" i="29"/>
  <c r="I8" i="29"/>
  <c r="I9" i="29"/>
  <c r="I10" i="29"/>
  <c r="I11" i="29"/>
  <c r="I12" i="29"/>
  <c r="I13" i="29"/>
  <c r="I14" i="29"/>
  <c r="I15" i="29"/>
  <c r="I16" i="29"/>
  <c r="I17" i="29"/>
  <c r="I18" i="29"/>
  <c r="I19" i="29"/>
  <c r="S30" i="30"/>
  <c r="S28" i="30"/>
  <c r="I6" i="30"/>
  <c r="I7" i="30"/>
  <c r="I8" i="30"/>
  <c r="I9" i="30"/>
  <c r="I10" i="30"/>
  <c r="I11" i="30"/>
  <c r="I12" i="30"/>
  <c r="I13" i="30"/>
  <c r="T30" i="31"/>
  <c r="U30" i="31" s="1"/>
  <c r="U28" i="31"/>
  <c r="T29" i="31" s="1"/>
  <c r="I6" i="31"/>
  <c r="I7" i="31"/>
  <c r="I8" i="31"/>
  <c r="I9" i="31"/>
  <c r="I10" i="31"/>
  <c r="I11" i="31"/>
  <c r="I12" i="31"/>
  <c r="I13" i="31"/>
  <c r="I14" i="31"/>
  <c r="I15" i="31"/>
  <c r="I16" i="31"/>
  <c r="I17" i="31"/>
  <c r="I18" i="31"/>
  <c r="I19" i="31"/>
  <c r="I20" i="31"/>
  <c r="I21" i="31"/>
  <c r="I22" i="31"/>
  <c r="I23" i="31"/>
  <c r="I24" i="31"/>
  <c r="U30" i="32"/>
  <c r="U28" i="32"/>
  <c r="I6" i="32"/>
  <c r="I7" i="32"/>
  <c r="I8" i="32"/>
  <c r="I9" i="32"/>
  <c r="I10" i="32"/>
  <c r="I11" i="32"/>
  <c r="I12" i="32"/>
  <c r="I13" i="32"/>
  <c r="I14" i="32"/>
  <c r="I15" i="32"/>
  <c r="I16" i="32"/>
  <c r="I17" i="32"/>
  <c r="I18" i="32"/>
  <c r="I19" i="32"/>
  <c r="U30" i="33"/>
  <c r="U28" i="33"/>
  <c r="I6" i="33"/>
  <c r="I7" i="33"/>
  <c r="I8" i="33"/>
  <c r="I9" i="33"/>
  <c r="I10" i="33"/>
  <c r="I11" i="33"/>
  <c r="I12" i="33"/>
  <c r="I13" i="33"/>
  <c r="I14" i="33"/>
  <c r="I15" i="33"/>
  <c r="I16" i="33"/>
  <c r="I17" i="33"/>
  <c r="I18" i="33"/>
  <c r="I19" i="33"/>
  <c r="I20" i="33"/>
  <c r="I21" i="33"/>
  <c r="I22" i="33"/>
  <c r="I23" i="33"/>
  <c r="I24" i="33"/>
  <c r="I25" i="33"/>
  <c r="I5" i="33"/>
  <c r="S29" i="34"/>
  <c r="S28" i="34"/>
  <c r="I6" i="34"/>
  <c r="I7" i="34"/>
  <c r="I8" i="34"/>
  <c r="I9" i="34"/>
  <c r="I10" i="34"/>
  <c r="S29" i="35"/>
  <c r="S28" i="35"/>
  <c r="I6" i="35"/>
  <c r="I7" i="35"/>
  <c r="I8" i="35"/>
  <c r="I9" i="35"/>
  <c r="S30" i="36"/>
  <c r="S28" i="36"/>
  <c r="I5" i="36"/>
  <c r="I6" i="37"/>
  <c r="I7" i="37"/>
  <c r="I8" i="37"/>
  <c r="I9" i="37"/>
  <c r="I10" i="37"/>
  <c r="I11" i="37"/>
  <c r="I12" i="37"/>
  <c r="T28" i="38"/>
  <c r="S29" i="38"/>
  <c r="I7" i="38"/>
  <c r="I8" i="38"/>
  <c r="I9" i="38"/>
  <c r="I10" i="38"/>
  <c r="I11" i="38"/>
  <c r="I12" i="38"/>
  <c r="I6" i="38"/>
  <c r="I7" i="39"/>
  <c r="I8" i="39"/>
  <c r="I9" i="39"/>
  <c r="I10" i="39"/>
  <c r="I11" i="39"/>
  <c r="I6" i="39"/>
  <c r="S29" i="39"/>
  <c r="S28" i="39"/>
  <c r="T28" i="40"/>
  <c r="S29" i="40"/>
  <c r="I6" i="40"/>
  <c r="I7" i="40"/>
  <c r="I8" i="40"/>
  <c r="I9" i="40"/>
  <c r="I10" i="40"/>
  <c r="I11" i="40"/>
  <c r="I12" i="40"/>
  <c r="I13" i="40"/>
  <c r="I14" i="40"/>
  <c r="I6" i="41"/>
  <c r="I7" i="41"/>
  <c r="I8" i="41"/>
  <c r="I9" i="41"/>
  <c r="I10" i="41"/>
  <c r="I11" i="41"/>
  <c r="I12" i="41"/>
  <c r="I13" i="41"/>
  <c r="I14" i="41"/>
  <c r="U28" i="41"/>
  <c r="U30" i="41"/>
  <c r="T28" i="42"/>
  <c r="S29" i="42" s="1"/>
  <c r="S30" i="42"/>
  <c r="I6" i="42"/>
  <c r="I7" i="42"/>
  <c r="I8" i="42"/>
  <c r="I9" i="42"/>
  <c r="I10" i="42"/>
  <c r="I11" i="42"/>
  <c r="I12" i="42"/>
  <c r="I5" i="42"/>
  <c r="I6" i="43"/>
  <c r="I7" i="43"/>
  <c r="I8" i="43"/>
  <c r="I9" i="43"/>
  <c r="I10" i="43"/>
  <c r="I11" i="43"/>
  <c r="I12" i="43"/>
  <c r="I13" i="43"/>
  <c r="I14" i="43"/>
  <c r="I15" i="43"/>
  <c r="I16" i="43"/>
  <c r="I17" i="43"/>
  <c r="V28" i="43"/>
  <c r="T29" i="43" s="1"/>
  <c r="V30" i="43"/>
  <c r="U30" i="44"/>
  <c r="U28" i="44"/>
  <c r="I6" i="44"/>
  <c r="I7" i="44"/>
  <c r="I8" i="44"/>
  <c r="I9" i="44"/>
  <c r="I10" i="44"/>
  <c r="I11" i="44"/>
  <c r="I12" i="44"/>
  <c r="I13" i="44"/>
  <c r="I14" i="44"/>
  <c r="I15" i="44"/>
  <c r="I16" i="44"/>
  <c r="I17" i="44"/>
  <c r="I18" i="44"/>
  <c r="I19" i="44"/>
  <c r="I20" i="44"/>
  <c r="U30" i="45"/>
  <c r="T30" i="45" s="1"/>
  <c r="U28" i="45"/>
  <c r="I6" i="45"/>
  <c r="I7" i="45"/>
  <c r="I8" i="45"/>
  <c r="I9" i="45"/>
  <c r="I10" i="45"/>
  <c r="I11" i="45"/>
  <c r="I12" i="45"/>
  <c r="I13" i="45"/>
  <c r="I14" i="45"/>
  <c r="I15" i="45"/>
  <c r="I16" i="45"/>
  <c r="I17" i="45"/>
  <c r="I18" i="45"/>
  <c r="I19" i="45"/>
  <c r="I20" i="45"/>
  <c r="I5" i="45"/>
  <c r="U30" i="46"/>
  <c r="U28" i="46"/>
  <c r="I6" i="46"/>
  <c r="I7" i="46"/>
  <c r="I8" i="46"/>
  <c r="I9" i="46"/>
  <c r="I10" i="46"/>
  <c r="I11" i="46"/>
  <c r="I12" i="46"/>
  <c r="I13" i="46"/>
  <c r="I14" i="46"/>
  <c r="I15" i="46"/>
  <c r="I5" i="46"/>
  <c r="I6" i="47"/>
  <c r="I7" i="47"/>
  <c r="I8" i="47"/>
  <c r="I9" i="47"/>
  <c r="I10" i="47"/>
  <c r="I11" i="47"/>
  <c r="I12" i="47"/>
  <c r="I13" i="47"/>
  <c r="I14" i="47"/>
  <c r="I15" i="47"/>
  <c r="I16" i="47"/>
  <c r="I17" i="47"/>
  <c r="I18" i="47"/>
  <c r="I19" i="47"/>
  <c r="I20" i="47"/>
  <c r="I21" i="47"/>
  <c r="U28" i="47"/>
  <c r="U30" i="47"/>
  <c r="I6" i="48"/>
  <c r="I7" i="48"/>
  <c r="I8" i="48"/>
  <c r="I9" i="48"/>
  <c r="I10" i="48"/>
  <c r="I11" i="48"/>
  <c r="I12" i="48"/>
  <c r="I13" i="48"/>
  <c r="I14" i="48"/>
  <c r="I15" i="48"/>
  <c r="I16" i="48"/>
  <c r="I17" i="48"/>
  <c r="U30" i="48"/>
  <c r="U28" i="48"/>
  <c r="I6" i="49"/>
  <c r="I7" i="49"/>
  <c r="I8" i="49"/>
  <c r="I9" i="49"/>
  <c r="I10" i="49"/>
  <c r="I11" i="49"/>
  <c r="I12" i="49"/>
  <c r="I13" i="49"/>
  <c r="I14" i="49"/>
  <c r="I15" i="49"/>
  <c r="I16" i="49"/>
  <c r="I17" i="49"/>
  <c r="I5" i="49"/>
  <c r="U30" i="50"/>
  <c r="U28" i="50"/>
  <c r="I6" i="50"/>
  <c r="I7" i="50"/>
  <c r="I8" i="50"/>
  <c r="I9" i="50"/>
  <c r="I10" i="50"/>
  <c r="I11" i="50"/>
  <c r="I12" i="50"/>
  <c r="I13" i="50"/>
  <c r="I14" i="50"/>
  <c r="I15" i="50"/>
  <c r="I16" i="50"/>
  <c r="I17" i="50"/>
  <c r="I18" i="50"/>
  <c r="I19" i="50"/>
  <c r="I20" i="50"/>
  <c r="I21" i="50"/>
  <c r="S30" i="79"/>
  <c r="T30" i="79" s="1"/>
  <c r="T32" i="79" s="1"/>
  <c r="I6" i="79"/>
  <c r="I7" i="79"/>
  <c r="I8" i="79"/>
  <c r="I9" i="79"/>
  <c r="U28" i="52"/>
  <c r="U32" i="52" s="1"/>
  <c r="S30" i="52"/>
  <c r="I6" i="51"/>
  <c r="I7" i="51"/>
  <c r="I8" i="51"/>
  <c r="I9" i="51"/>
  <c r="I10" i="51"/>
  <c r="I11" i="51"/>
  <c r="I12" i="51"/>
  <c r="I13" i="51"/>
  <c r="I14" i="51"/>
  <c r="I15" i="51"/>
  <c r="I16" i="51"/>
  <c r="I17" i="51"/>
  <c r="S29" i="51"/>
  <c r="S28" i="51"/>
  <c r="I6" i="52"/>
  <c r="I7" i="52"/>
  <c r="I8" i="52"/>
  <c r="I9" i="52"/>
  <c r="I6" i="53"/>
  <c r="I7" i="53"/>
  <c r="I8" i="53"/>
  <c r="I9" i="53"/>
  <c r="I10" i="53"/>
  <c r="U28" i="53"/>
  <c r="U30" i="53"/>
  <c r="I7" i="54"/>
  <c r="I8" i="54"/>
  <c r="I9" i="54"/>
  <c r="I10" i="54"/>
  <c r="I11" i="54"/>
  <c r="I12" i="54"/>
  <c r="I6" i="54"/>
  <c r="S29" i="54"/>
  <c r="T28" i="54"/>
  <c r="S29" i="55"/>
  <c r="T28" i="55"/>
  <c r="I6" i="55"/>
  <c r="I7" i="55"/>
  <c r="I8" i="55"/>
  <c r="I9" i="55"/>
  <c r="I10" i="55"/>
  <c r="I11" i="55"/>
  <c r="I12" i="55"/>
  <c r="I13" i="55"/>
  <c r="I14" i="55"/>
  <c r="I6" i="56"/>
  <c r="I7" i="56"/>
  <c r="I8" i="56"/>
  <c r="I9" i="56"/>
  <c r="I10" i="56"/>
  <c r="I11" i="56"/>
  <c r="I12" i="56"/>
  <c r="I13" i="56"/>
  <c r="I14" i="56"/>
  <c r="I15" i="56"/>
  <c r="I16" i="56"/>
  <c r="I17" i="56"/>
  <c r="U28" i="56"/>
  <c r="U30" i="56"/>
  <c r="U30" i="57"/>
  <c r="T30" i="57" s="1"/>
  <c r="U28" i="57"/>
  <c r="T29" i="57" s="1"/>
  <c r="I6" i="57"/>
  <c r="I7" i="57"/>
  <c r="I8" i="57"/>
  <c r="I9" i="57"/>
  <c r="I10" i="57"/>
  <c r="I11" i="57"/>
  <c r="I12" i="57"/>
  <c r="I13" i="57"/>
  <c r="I14" i="57"/>
  <c r="I15" i="57"/>
  <c r="I16" i="57"/>
  <c r="I17" i="57"/>
  <c r="I18" i="57"/>
  <c r="I19" i="57"/>
  <c r="I20" i="57"/>
  <c r="I21" i="57"/>
  <c r="I22" i="57"/>
  <c r="I23" i="57"/>
  <c r="I24" i="57"/>
  <c r="I25" i="57"/>
  <c r="S28" i="58"/>
  <c r="S30" i="58"/>
  <c r="U28" i="61"/>
  <c r="U30" i="61"/>
  <c r="I6" i="62"/>
  <c r="I7" i="62"/>
  <c r="I8" i="62"/>
  <c r="I9" i="62"/>
  <c r="I10" i="62"/>
  <c r="I11" i="62"/>
  <c r="I12" i="62"/>
  <c r="I13" i="62"/>
  <c r="I14" i="62"/>
  <c r="I15" i="62"/>
  <c r="I16" i="62"/>
  <c r="I17" i="62"/>
  <c r="I18" i="62"/>
  <c r="I19" i="62"/>
  <c r="I20" i="62"/>
  <c r="U30" i="62"/>
  <c r="U28" i="62"/>
  <c r="T28" i="62" s="1"/>
  <c r="T30" i="64"/>
  <c r="U23" i="64"/>
  <c r="S32" i="64"/>
  <c r="T22" i="65"/>
  <c r="S30" i="65" s="1"/>
  <c r="U30" i="65" s="1"/>
  <c r="T30" i="65" s="1"/>
  <c r="R22" i="65"/>
  <c r="S28" i="65" s="1"/>
  <c r="U28" i="65" s="1"/>
  <c r="T28" i="65" s="1"/>
  <c r="S29" i="66"/>
  <c r="S28" i="66"/>
  <c r="I6" i="67"/>
  <c r="I7" i="67"/>
  <c r="I8" i="67"/>
  <c r="I9" i="67"/>
  <c r="I10" i="67"/>
  <c r="I11" i="67"/>
  <c r="I12" i="67"/>
  <c r="I13" i="67"/>
  <c r="I14" i="67"/>
  <c r="I15" i="67"/>
  <c r="U30" i="67"/>
  <c r="T30" i="67" s="1"/>
  <c r="U28" i="67"/>
  <c r="T28" i="67" s="1"/>
  <c r="S28" i="83"/>
  <c r="S27" i="83"/>
  <c r="S29" i="68"/>
  <c r="S28" i="68"/>
  <c r="S27" i="85"/>
  <c r="T27" i="85" s="1"/>
  <c r="S28" i="85"/>
  <c r="U28" i="69"/>
  <c r="T29" i="69" s="1"/>
  <c r="U30" i="69"/>
  <c r="T30" i="69" s="1"/>
  <c r="U28" i="70"/>
  <c r="T29" i="70" s="1"/>
  <c r="U30" i="70"/>
  <c r="T30" i="70" s="1"/>
  <c r="I6" i="58"/>
  <c r="I7" i="58"/>
  <c r="I8" i="58"/>
  <c r="I9" i="58"/>
  <c r="I10" i="58"/>
  <c r="I11" i="58"/>
  <c r="I12" i="58"/>
  <c r="I13" i="58"/>
  <c r="I14" i="58"/>
  <c r="I15" i="58"/>
  <c r="I16" i="58"/>
  <c r="I17" i="58"/>
  <c r="I18" i="58"/>
  <c r="I19" i="58"/>
  <c r="I20" i="58"/>
  <c r="I21" i="58"/>
  <c r="I6" i="59"/>
  <c r="I7" i="59"/>
  <c r="I8" i="59"/>
  <c r="I9" i="59"/>
  <c r="I10" i="59"/>
  <c r="I11" i="59"/>
  <c r="I12" i="59"/>
  <c r="I13" i="59"/>
  <c r="I14" i="59"/>
  <c r="I15" i="59"/>
  <c r="I16" i="59"/>
  <c r="I17" i="59"/>
  <c r="I18" i="59"/>
  <c r="I19" i="59"/>
  <c r="I20" i="59"/>
  <c r="I6" i="60"/>
  <c r="I7" i="60"/>
  <c r="I8" i="60"/>
  <c r="I9" i="60"/>
  <c r="I10" i="60"/>
  <c r="I11" i="60"/>
  <c r="I12" i="60"/>
  <c r="I13" i="60"/>
  <c r="I14" i="60"/>
  <c r="I15" i="60"/>
  <c r="I16" i="60"/>
  <c r="I17" i="60"/>
  <c r="I6" i="61"/>
  <c r="I7" i="61"/>
  <c r="I8" i="61"/>
  <c r="I9" i="61"/>
  <c r="I10" i="61"/>
  <c r="I11" i="61"/>
  <c r="I12" i="61"/>
  <c r="I13" i="61"/>
  <c r="I14" i="61"/>
  <c r="I15" i="61"/>
  <c r="I16" i="61"/>
  <c r="I17" i="61"/>
  <c r="I18" i="61"/>
  <c r="I6" i="64"/>
  <c r="I7" i="64"/>
  <c r="I8" i="64"/>
  <c r="I9" i="64"/>
  <c r="I10" i="64"/>
  <c r="I11" i="64"/>
  <c r="I12" i="64"/>
  <c r="I13" i="64"/>
  <c r="I5" i="64"/>
  <c r="I6" i="65"/>
  <c r="I7" i="65"/>
  <c r="I8" i="65"/>
  <c r="I9" i="65"/>
  <c r="I10" i="65"/>
  <c r="I11" i="65"/>
  <c r="I12" i="65"/>
  <c r="I13" i="65"/>
  <c r="I14" i="65"/>
  <c r="I15" i="65"/>
  <c r="I16" i="65"/>
  <c r="I17" i="65"/>
  <c r="I18" i="65"/>
  <c r="I19" i="65"/>
  <c r="I6" i="66"/>
  <c r="I7" i="66"/>
  <c r="I8" i="66"/>
  <c r="I9" i="66"/>
  <c r="I10" i="66"/>
  <c r="I11" i="66"/>
  <c r="I12" i="66"/>
  <c r="I13" i="66"/>
  <c r="I7" i="83"/>
  <c r="I8" i="83"/>
  <c r="I9" i="83"/>
  <c r="I6" i="83"/>
  <c r="I7" i="68"/>
  <c r="I8" i="68"/>
  <c r="I9" i="68"/>
  <c r="I10" i="68"/>
  <c r="I11" i="68"/>
  <c r="I12" i="68"/>
  <c r="I13" i="68"/>
  <c r="I6" i="68"/>
  <c r="I6" i="86"/>
  <c r="I7" i="86"/>
  <c r="I8" i="86"/>
  <c r="I9" i="86"/>
  <c r="I10" i="86"/>
  <c r="I11" i="86"/>
  <c r="I12" i="86"/>
  <c r="I13" i="86"/>
  <c r="I14" i="86"/>
  <c r="I15" i="86"/>
  <c r="I16" i="86"/>
  <c r="I17" i="86"/>
  <c r="I18" i="86"/>
  <c r="I19" i="86"/>
  <c r="I5" i="86"/>
  <c r="I6" i="85"/>
  <c r="I7" i="85"/>
  <c r="I8" i="85"/>
  <c r="I9" i="85"/>
  <c r="I10" i="85"/>
  <c r="I11" i="85"/>
  <c r="I12" i="85"/>
  <c r="I13" i="85"/>
  <c r="I14" i="85"/>
  <c r="I15" i="85"/>
  <c r="I16" i="85"/>
  <c r="I17" i="85"/>
  <c r="I18" i="85"/>
  <c r="I19" i="85"/>
  <c r="I20" i="85"/>
  <c r="I5" i="85"/>
  <c r="I6" i="69"/>
  <c r="I7" i="69"/>
  <c r="I8" i="69"/>
  <c r="I9" i="69"/>
  <c r="I10" i="69"/>
  <c r="I11" i="69"/>
  <c r="I12" i="69"/>
  <c r="I13" i="69"/>
  <c r="I14" i="69"/>
  <c r="I15" i="69"/>
  <c r="I16" i="69"/>
  <c r="I17" i="69"/>
  <c r="I18" i="69"/>
  <c r="I19" i="69"/>
  <c r="I20" i="69"/>
  <c r="I21" i="69"/>
  <c r="I22" i="69"/>
  <c r="I6" i="70"/>
  <c r="I7" i="70"/>
  <c r="I8" i="70"/>
  <c r="I9" i="70"/>
  <c r="I10" i="70"/>
  <c r="I11" i="70"/>
  <c r="I12" i="70"/>
  <c r="I13" i="70"/>
  <c r="I14" i="70"/>
  <c r="I15" i="70"/>
  <c r="I16" i="70"/>
  <c r="I17" i="70"/>
  <c r="I18" i="70"/>
  <c r="I19" i="70"/>
  <c r="I20" i="70"/>
  <c r="I21" i="70"/>
  <c r="I22" i="70"/>
  <c r="I23" i="70"/>
  <c r="I6" i="71"/>
  <c r="I7" i="71"/>
  <c r="I8" i="71"/>
  <c r="I9" i="71"/>
  <c r="I10" i="71"/>
  <c r="I11" i="71"/>
  <c r="I12" i="71"/>
  <c r="I13" i="71"/>
  <c r="I14" i="71"/>
  <c r="I15" i="71"/>
  <c r="I6" i="72"/>
  <c r="I7" i="72"/>
  <c r="I8" i="72"/>
  <c r="I9" i="72"/>
  <c r="I10" i="72"/>
  <c r="I11" i="72"/>
  <c r="I12" i="72"/>
  <c r="I13" i="72"/>
  <c r="I14" i="72"/>
  <c r="I15" i="72"/>
  <c r="I16" i="72"/>
  <c r="I17" i="72"/>
  <c r="I18" i="72"/>
  <c r="I19" i="72"/>
  <c r="I20" i="72"/>
  <c r="I21" i="72"/>
  <c r="I22" i="72"/>
  <c r="I23" i="72"/>
  <c r="I24" i="72"/>
  <c r="I25" i="72"/>
  <c r="I26" i="72"/>
  <c r="I27" i="72"/>
  <c r="I6" i="73"/>
  <c r="I7" i="73"/>
  <c r="I8" i="73"/>
  <c r="I9" i="73"/>
  <c r="I10" i="73"/>
  <c r="I6" i="74"/>
  <c r="I7" i="74"/>
  <c r="I8" i="74"/>
  <c r="I9" i="74"/>
  <c r="I10" i="74"/>
  <c r="I11" i="74"/>
  <c r="I12" i="74"/>
  <c r="I13" i="74"/>
  <c r="I14" i="74"/>
  <c r="I15" i="74"/>
  <c r="I16" i="74"/>
  <c r="I17" i="74"/>
  <c r="I18" i="74"/>
  <c r="I19" i="74"/>
  <c r="I20" i="74"/>
  <c r="I21" i="74"/>
  <c r="I6" i="75"/>
  <c r="I6" i="77"/>
  <c r="I7" i="77"/>
  <c r="I8" i="77"/>
  <c r="I9" i="77"/>
  <c r="I10" i="77"/>
  <c r="I6" i="88"/>
  <c r="I7" i="88"/>
  <c r="I8" i="88"/>
  <c r="I9" i="88"/>
  <c r="I10" i="88"/>
  <c r="I11" i="88"/>
  <c r="I12" i="88"/>
  <c r="I13" i="88"/>
  <c r="I14" i="88"/>
  <c r="I15" i="88"/>
  <c r="I6" i="78"/>
  <c r="I7" i="78"/>
  <c r="I8" i="78"/>
  <c r="I9" i="78"/>
  <c r="I10" i="78"/>
  <c r="I11" i="78"/>
  <c r="I12" i="78"/>
  <c r="I13" i="78"/>
  <c r="I14" i="78"/>
  <c r="I6" i="84"/>
  <c r="I7" i="84"/>
  <c r="I8" i="84"/>
  <c r="I9" i="84"/>
  <c r="J5" i="29"/>
  <c r="J5" i="32"/>
  <c r="J5" i="58"/>
  <c r="J5" i="60"/>
  <c r="J5" i="62"/>
  <c r="J5" i="65"/>
  <c r="J5" i="67"/>
  <c r="J5" i="71"/>
  <c r="J5" i="75"/>
  <c r="I5" i="3"/>
  <c r="I5" i="4"/>
  <c r="I5" i="6"/>
  <c r="I5" i="5"/>
  <c r="I5" i="7"/>
  <c r="I5" i="8"/>
  <c r="I5" i="9"/>
  <c r="I5" i="10"/>
  <c r="I5" i="15"/>
  <c r="I5" i="16"/>
  <c r="I5" i="19"/>
  <c r="I5" i="17"/>
  <c r="I5" i="18"/>
  <c r="I5" i="20"/>
  <c r="I5" i="21"/>
  <c r="I5" i="22"/>
  <c r="I5" i="23"/>
  <c r="I5" i="25"/>
  <c r="I5" i="27"/>
  <c r="I5" i="28"/>
  <c r="I5" i="29"/>
  <c r="I5" i="30"/>
  <c r="I5" i="32"/>
  <c r="I5" i="34"/>
  <c r="I5" i="35"/>
  <c r="I5" i="37"/>
  <c r="I5" i="41"/>
  <c r="I5" i="43"/>
  <c r="I5" i="44"/>
  <c r="I5" i="47"/>
  <c r="I5" i="48"/>
  <c r="I5" i="50"/>
  <c r="I5" i="79"/>
  <c r="I5" i="51"/>
  <c r="I5" i="53"/>
  <c r="I5" i="56"/>
  <c r="I5" i="57"/>
  <c r="I5" i="58"/>
  <c r="I5" i="59"/>
  <c r="I5" i="60"/>
  <c r="I5" i="61"/>
  <c r="I5" i="62"/>
  <c r="I5" i="65"/>
  <c r="I5" i="66"/>
  <c r="I5" i="67"/>
  <c r="I5" i="69"/>
  <c r="I5" i="70"/>
  <c r="I5" i="71"/>
  <c r="I5" i="72"/>
  <c r="I5" i="73"/>
  <c r="I5" i="74"/>
  <c r="I5" i="75"/>
  <c r="I5" i="77"/>
  <c r="I5" i="88"/>
  <c r="J93" i="1"/>
  <c r="J6" i="25" s="1"/>
  <c r="K93" i="1"/>
  <c r="N93" i="1" s="1"/>
  <c r="L93" i="1"/>
  <c r="O93" i="1" s="1"/>
  <c r="S28" i="67" l="1"/>
  <c r="S30" i="35"/>
  <c r="U32" i="45"/>
  <c r="T30" i="20"/>
  <c r="S30" i="20"/>
  <c r="S30" i="51"/>
  <c r="T29" i="20"/>
  <c r="U32" i="46"/>
  <c r="S32" i="30"/>
  <c r="T29" i="30"/>
  <c r="T29" i="29"/>
  <c r="S28" i="29"/>
  <c r="T28" i="29"/>
  <c r="T28" i="16"/>
  <c r="T32" i="16" s="1"/>
  <c r="T8" i="91"/>
  <c r="T30" i="30"/>
  <c r="T29" i="6"/>
  <c r="U28" i="6"/>
  <c r="S29" i="83"/>
  <c r="S30" i="68"/>
  <c r="S30" i="66"/>
  <c r="U32" i="25"/>
  <c r="S32" i="9"/>
  <c r="U32" i="9" s="1"/>
  <c r="AF29" i="53"/>
  <c r="AB29" i="53"/>
  <c r="S32" i="58"/>
  <c r="S37" i="58" s="1"/>
  <c r="S38" i="58" s="1"/>
  <c r="S30" i="39"/>
  <c r="S29" i="87"/>
  <c r="T27" i="87" s="1"/>
  <c r="T29" i="87" s="1"/>
  <c r="E1" i="87" s="1"/>
  <c r="S30" i="10"/>
  <c r="S30" i="89"/>
  <c r="S28" i="8"/>
  <c r="S32" i="36"/>
  <c r="S30" i="34"/>
  <c r="S30" i="23"/>
  <c r="S30" i="91"/>
  <c r="S30" i="12"/>
  <c r="T30" i="12" s="1"/>
  <c r="S29" i="85"/>
  <c r="T29" i="85" s="1"/>
  <c r="S32" i="79"/>
  <c r="T32" i="31"/>
  <c r="U29" i="31"/>
  <c r="U32" i="31" s="1"/>
  <c r="S32" i="22"/>
  <c r="S29" i="82"/>
  <c r="S32" i="4"/>
  <c r="U32" i="4" s="1"/>
  <c r="G54" i="1"/>
  <c r="J5" i="30"/>
  <c r="J147" i="1"/>
  <c r="J5" i="22" s="1"/>
  <c r="J146" i="1"/>
  <c r="J6" i="75" s="1"/>
  <c r="J143" i="1"/>
  <c r="J142" i="1"/>
  <c r="J80" i="1"/>
  <c r="J37" i="6" s="1"/>
  <c r="G106" i="1"/>
  <c r="F116" i="8"/>
  <c r="F117" i="8"/>
  <c r="F118" i="8"/>
  <c r="F119" i="8"/>
  <c r="F120" i="8"/>
  <c r="F121" i="8"/>
  <c r="F122" i="8"/>
  <c r="F123" i="8"/>
  <c r="F124" i="8"/>
  <c r="F125" i="8"/>
  <c r="F126" i="8"/>
  <c r="F127" i="8"/>
  <c r="F128" i="8"/>
  <c r="F129" i="8"/>
  <c r="F130" i="8"/>
  <c r="F131" i="8"/>
  <c r="F132" i="8"/>
  <c r="F133" i="8"/>
  <c r="F115" i="8"/>
  <c r="B116" i="8"/>
  <c r="C116" i="8"/>
  <c r="D116" i="8"/>
  <c r="B117" i="8"/>
  <c r="C117" i="8"/>
  <c r="D117" i="8"/>
  <c r="B118" i="8"/>
  <c r="C118" i="8"/>
  <c r="D118" i="8"/>
  <c r="B119" i="8"/>
  <c r="C119" i="8"/>
  <c r="D119" i="8"/>
  <c r="B120" i="8"/>
  <c r="C120" i="8"/>
  <c r="D120" i="8"/>
  <c r="B121" i="8"/>
  <c r="C121" i="8"/>
  <c r="D121" i="8"/>
  <c r="B122" i="8"/>
  <c r="C122" i="8"/>
  <c r="D122" i="8"/>
  <c r="B123" i="8"/>
  <c r="C123" i="8"/>
  <c r="D123" i="8"/>
  <c r="B124" i="8"/>
  <c r="C124" i="8"/>
  <c r="D124" i="8"/>
  <c r="B125" i="8"/>
  <c r="C125" i="8"/>
  <c r="D125" i="8"/>
  <c r="B126" i="8"/>
  <c r="C126" i="8"/>
  <c r="D126" i="8"/>
  <c r="B127" i="8"/>
  <c r="C127" i="8"/>
  <c r="D127" i="8"/>
  <c r="B128" i="8"/>
  <c r="C128" i="8"/>
  <c r="D128" i="8"/>
  <c r="B129" i="8"/>
  <c r="C129" i="8"/>
  <c r="D129" i="8"/>
  <c r="B130" i="8"/>
  <c r="C130" i="8"/>
  <c r="D130" i="8"/>
  <c r="B131" i="8"/>
  <c r="C131" i="8"/>
  <c r="D131" i="8"/>
  <c r="B132" i="8"/>
  <c r="C132" i="8"/>
  <c r="D132" i="8"/>
  <c r="B133" i="8"/>
  <c r="C133" i="8"/>
  <c r="D133" i="8"/>
  <c r="C115" i="8"/>
  <c r="B115" i="8"/>
  <c r="N51" i="2"/>
  <c r="K13" i="2"/>
  <c r="N13" i="2" s="1"/>
  <c r="L13" i="2"/>
  <c r="O13" i="2" s="1"/>
  <c r="K60" i="2"/>
  <c r="N60" i="2" s="1"/>
  <c r="G6" i="2"/>
  <c r="K6" i="2" s="1"/>
  <c r="N6" i="2" s="1"/>
  <c r="J33" i="1"/>
  <c r="J30" i="1"/>
  <c r="J29" i="1"/>
  <c r="J28" i="5" s="1"/>
  <c r="G74" i="1"/>
  <c r="AO1" i="30" l="1"/>
  <c r="AM1" i="30"/>
  <c r="J20" i="86"/>
  <c r="J21" i="85"/>
  <c r="D52" i="87"/>
  <c r="G1" i="87"/>
  <c r="I1" i="87" s="1"/>
  <c r="C52" i="87" s="1"/>
  <c r="AD28" i="29"/>
  <c r="AC28" i="29"/>
  <c r="AB28" i="29"/>
  <c r="J6" i="2"/>
  <c r="AR12" i="22" s="1"/>
  <c r="AD28" i="30"/>
  <c r="AB28" i="30"/>
  <c r="L6" i="2"/>
  <c r="O6" i="2" s="1"/>
  <c r="T30" i="91"/>
  <c r="L106" i="1"/>
  <c r="O106" i="1" s="1"/>
  <c r="K106" i="1"/>
  <c r="N106" i="1" s="1"/>
  <c r="T32" i="8"/>
  <c r="U29" i="8"/>
  <c r="U32" i="8" s="1"/>
  <c r="J5" i="19"/>
  <c r="J5" i="49"/>
  <c r="J5" i="59"/>
  <c r="J5" i="48"/>
  <c r="J5" i="33"/>
  <c r="J5" i="23"/>
  <c r="J5" i="7"/>
  <c r="J5" i="44"/>
  <c r="J5" i="46"/>
  <c r="J5" i="4"/>
  <c r="J5" i="5"/>
  <c r="J5" i="20"/>
  <c r="J5" i="66"/>
  <c r="J5" i="88"/>
  <c r="J5" i="6"/>
  <c r="J5" i="73"/>
  <c r="J5" i="21"/>
  <c r="J5" i="34"/>
  <c r="J5" i="26"/>
  <c r="J5" i="28"/>
  <c r="J5" i="18"/>
  <c r="J5" i="25"/>
  <c r="J5" i="47"/>
  <c r="J5" i="3"/>
  <c r="J5" i="37"/>
  <c r="J5" i="41"/>
  <c r="J5" i="10"/>
  <c r="J5" i="17"/>
  <c r="J5" i="35"/>
  <c r="J5" i="9"/>
  <c r="J5" i="11"/>
  <c r="J5" i="8"/>
  <c r="J5" i="79"/>
  <c r="J5" i="51"/>
  <c r="J5" i="53"/>
  <c r="J5" i="56"/>
  <c r="J5" i="57"/>
  <c r="J5" i="61"/>
  <c r="J5" i="15"/>
  <c r="J5" i="69"/>
  <c r="J5" i="70"/>
  <c r="J5" i="72"/>
  <c r="J5" i="36"/>
  <c r="J5" i="74"/>
  <c r="J5" i="43"/>
  <c r="J5" i="77"/>
  <c r="J16" i="16"/>
  <c r="J17" i="17"/>
  <c r="J9" i="18"/>
  <c r="J15" i="21"/>
  <c r="J17" i="23"/>
  <c r="J13" i="33"/>
  <c r="J10" i="34"/>
  <c r="J11" i="45"/>
  <c r="J17" i="51"/>
  <c r="J16" i="57"/>
  <c r="J7" i="82"/>
  <c r="J7" i="66"/>
  <c r="J11" i="44"/>
  <c r="J7" i="83"/>
  <c r="J16" i="70"/>
  <c r="J23" i="72"/>
  <c r="J20" i="3"/>
  <c r="J10" i="77"/>
  <c r="J12" i="88"/>
  <c r="J7" i="84"/>
  <c r="J14" i="5"/>
  <c r="J16" i="8"/>
  <c r="J17" i="19"/>
  <c r="J19" i="59"/>
  <c r="J7" i="74"/>
  <c r="J16" i="86"/>
  <c r="J15" i="20"/>
  <c r="J16" i="7"/>
  <c r="J31" i="1"/>
  <c r="G16" i="1"/>
  <c r="G27" i="1"/>
  <c r="J27" i="1" s="1"/>
  <c r="G32" i="1"/>
  <c r="J19" i="1"/>
  <c r="J21" i="11" s="1"/>
  <c r="G35" i="1"/>
  <c r="J46" i="2"/>
  <c r="AR16" i="9" s="1"/>
  <c r="J61" i="2"/>
  <c r="AR7" i="9" s="1"/>
  <c r="J42" i="2"/>
  <c r="AR15" i="22" s="1"/>
  <c r="J53" i="2"/>
  <c r="AR9" i="9" s="1"/>
  <c r="J49" i="2"/>
  <c r="AR19" i="9" s="1"/>
  <c r="J51" i="2"/>
  <c r="AR11" i="18" s="1"/>
  <c r="J54" i="2"/>
  <c r="J122" i="1"/>
  <c r="J120" i="1"/>
  <c r="J110" i="1"/>
  <c r="J16" i="62" s="1"/>
  <c r="J115" i="1"/>
  <c r="J116" i="1"/>
  <c r="J6" i="73" s="1"/>
  <c r="J130" i="1"/>
  <c r="J37" i="49" s="1"/>
  <c r="J113" i="1"/>
  <c r="J123" i="1"/>
  <c r="J9" i="86" s="1"/>
  <c r="J114" i="1"/>
  <c r="AM5" i="30" l="1"/>
  <c r="AO5" i="30" s="1"/>
  <c r="AP5" i="30" s="1"/>
  <c r="AM6" i="30"/>
  <c r="AO6" i="30" s="1"/>
  <c r="AP6" i="30" s="1"/>
  <c r="AS6" i="30" s="1"/>
  <c r="AT6" i="30" s="1"/>
  <c r="AM7" i="30"/>
  <c r="AO7" i="30" s="1"/>
  <c r="AP7" i="30" s="1"/>
  <c r="AS7" i="30" s="1"/>
  <c r="AT7" i="30" s="1"/>
  <c r="AM8" i="30"/>
  <c r="AO8" i="30" s="1"/>
  <c r="AP8" i="30" s="1"/>
  <c r="AS8" i="30" s="1"/>
  <c r="AT8" i="30" s="1"/>
  <c r="AM10" i="30"/>
  <c r="AO10" i="30" s="1"/>
  <c r="AP10" i="30" s="1"/>
  <c r="AS10" i="30" s="1"/>
  <c r="AT10" i="30" s="1"/>
  <c r="AM13" i="30"/>
  <c r="AO13" i="30" s="1"/>
  <c r="AP13" i="30" s="1"/>
  <c r="AS13" i="30" s="1"/>
  <c r="AT13" i="30" s="1"/>
  <c r="AM12" i="30"/>
  <c r="AO12" i="30" s="1"/>
  <c r="AP12" i="30" s="1"/>
  <c r="AS12" i="30" s="1"/>
  <c r="AT12" i="30" s="1"/>
  <c r="AM11" i="30"/>
  <c r="AO11" i="30" s="1"/>
  <c r="AP11" i="30" s="1"/>
  <c r="AS11" i="30" s="1"/>
  <c r="AT11" i="30" s="1"/>
  <c r="AM9" i="30"/>
  <c r="AO9" i="30" s="1"/>
  <c r="AP9" i="30" s="1"/>
  <c r="AS9" i="30" s="1"/>
  <c r="AT9" i="30" s="1"/>
  <c r="J37" i="75"/>
  <c r="L37" i="75" s="1"/>
  <c r="J37" i="43"/>
  <c r="J14" i="11"/>
  <c r="J13" i="75"/>
  <c r="C53" i="87"/>
  <c r="D53" i="87" s="1"/>
  <c r="J32" i="1"/>
  <c r="J11" i="88" s="1"/>
  <c r="K32" i="1"/>
  <c r="N32" i="1" s="1"/>
  <c r="L32" i="1"/>
  <c r="O32" i="1" s="1"/>
  <c r="AR13" i="43"/>
  <c r="AR8" i="9"/>
  <c r="J16" i="75"/>
  <c r="J26" i="11"/>
  <c r="J37" i="62"/>
  <c r="J37" i="35"/>
  <c r="J37" i="60"/>
  <c r="J37" i="59"/>
  <c r="J37" i="57"/>
  <c r="J37" i="48"/>
  <c r="J37" i="47"/>
  <c r="J37" i="46"/>
  <c r="J37" i="44"/>
  <c r="J37" i="41"/>
  <c r="J37" i="29"/>
  <c r="J37" i="72"/>
  <c r="J37" i="25"/>
  <c r="J37" i="23"/>
  <c r="J37" i="20"/>
  <c r="J37" i="18"/>
  <c r="J37" i="19"/>
  <c r="J37" i="15"/>
  <c r="J37" i="10"/>
  <c r="J37" i="9"/>
  <c r="J37" i="5"/>
  <c r="J37" i="56"/>
  <c r="J37" i="4"/>
  <c r="J37" i="3"/>
  <c r="J37" i="7"/>
  <c r="J37" i="70"/>
  <c r="J37" i="69"/>
  <c r="J37" i="8"/>
  <c r="J9" i="83"/>
  <c r="J9" i="84"/>
  <c r="J9" i="82"/>
  <c r="J20" i="50"/>
  <c r="J18" i="16"/>
  <c r="J11" i="61"/>
  <c r="J15" i="8"/>
  <c r="J16" i="32"/>
  <c r="J25" i="17"/>
  <c r="J11" i="39"/>
  <c r="J13" i="21"/>
  <c r="J11" i="91"/>
  <c r="J10" i="89"/>
  <c r="J7" i="73"/>
  <c r="J13" i="12"/>
  <c r="J21" i="72"/>
  <c r="J8" i="3"/>
  <c r="J19" i="72"/>
  <c r="J11" i="8"/>
  <c r="J7" i="27"/>
  <c r="J16" i="51"/>
  <c r="J8" i="5"/>
  <c r="J10" i="15"/>
  <c r="J7" i="14"/>
  <c r="J13" i="18"/>
  <c r="J7" i="26"/>
  <c r="J8" i="28"/>
  <c r="J5" i="86"/>
  <c r="J7" i="38"/>
  <c r="J8" i="47"/>
  <c r="J7" i="54"/>
  <c r="J13" i="56"/>
  <c r="J10" i="57"/>
  <c r="J9" i="59"/>
  <c r="J8" i="70"/>
  <c r="J15" i="87"/>
  <c r="J7" i="12"/>
  <c r="J14" i="18"/>
  <c r="J18" i="17"/>
  <c r="J19" i="58"/>
  <c r="J16" i="47"/>
  <c r="J21" i="3"/>
  <c r="J14" i="51"/>
  <c r="J8" i="38"/>
  <c r="J8" i="54"/>
  <c r="J17" i="28"/>
  <c r="J12" i="37"/>
  <c r="J12" i="57"/>
  <c r="J19" i="17"/>
  <c r="J12" i="58"/>
  <c r="J15" i="47"/>
  <c r="J15" i="18"/>
  <c r="J12" i="72"/>
  <c r="J8" i="14"/>
  <c r="J79" i="1"/>
  <c r="J38" i="33" s="1"/>
  <c r="J81" i="1"/>
  <c r="J37" i="33" s="1"/>
  <c r="J77" i="1"/>
  <c r="J78" i="1"/>
  <c r="I95" i="1"/>
  <c r="G95" i="1"/>
  <c r="J94" i="1"/>
  <c r="G44" i="2"/>
  <c r="J44" i="2" s="1"/>
  <c r="AR17" i="9" s="1"/>
  <c r="J87" i="1"/>
  <c r="G86" i="1"/>
  <c r="J86" i="1" s="1"/>
  <c r="J24" i="70" l="1"/>
  <c r="J21" i="59"/>
  <c r="J20" i="26"/>
  <c r="J25" i="28"/>
  <c r="J26" i="33"/>
  <c r="C54" i="87"/>
  <c r="J7" i="25"/>
  <c r="J37" i="71"/>
  <c r="J37" i="28"/>
  <c r="J8" i="57"/>
  <c r="J14" i="86"/>
  <c r="J11" i="28"/>
  <c r="J22" i="3"/>
  <c r="J17" i="44"/>
  <c r="J19" i="8"/>
  <c r="J15" i="19"/>
  <c r="J11" i="6"/>
  <c r="J16" i="5"/>
  <c r="J17" i="45"/>
  <c r="J12" i="49"/>
  <c r="J11" i="56"/>
  <c r="J15" i="60"/>
  <c r="J10" i="18"/>
  <c r="J18" i="20"/>
  <c r="J16" i="21"/>
  <c r="J24" i="72"/>
  <c r="J17" i="31"/>
  <c r="J13" i="41"/>
  <c r="J17" i="5"/>
  <c r="J10" i="61"/>
  <c r="J23" i="8"/>
  <c r="J8" i="27"/>
  <c r="J11" i="19"/>
  <c r="J28" i="17"/>
  <c r="J16" i="50"/>
  <c r="J8" i="26"/>
  <c r="J14" i="56"/>
  <c r="J14" i="21"/>
  <c r="J13" i="57"/>
  <c r="J16" i="49"/>
  <c r="J8" i="18"/>
  <c r="J14" i="69"/>
  <c r="J95" i="1"/>
  <c r="G14" i="2"/>
  <c r="J14" i="2" s="1"/>
  <c r="AR9" i="36" s="1"/>
  <c r="G17" i="2"/>
  <c r="J17" i="2" s="1"/>
  <c r="AR10" i="22" s="1"/>
  <c r="G15" i="2"/>
  <c r="J15" i="2" s="1"/>
  <c r="AR13" i="56" s="1"/>
  <c r="G12" i="2"/>
  <c r="J12" i="2" s="1"/>
  <c r="G18" i="1"/>
  <c r="J18" i="1" s="1"/>
  <c r="G21" i="1"/>
  <c r="J21" i="1" s="1"/>
  <c r="G26" i="1"/>
  <c r="J26" i="1" s="1"/>
  <c r="G25" i="1"/>
  <c r="J25" i="1" s="1"/>
  <c r="G22" i="1"/>
  <c r="J22" i="1" s="1"/>
  <c r="J12" i="5" s="1"/>
  <c r="G24" i="1"/>
  <c r="J24" i="1" s="1"/>
  <c r="J14" i="92" s="1"/>
  <c r="G20" i="1"/>
  <c r="J20" i="1" s="1"/>
  <c r="G23" i="1"/>
  <c r="J23" i="1" s="1"/>
  <c r="G17" i="1"/>
  <c r="J17" i="1" s="1"/>
  <c r="J106" i="1"/>
  <c r="J5" i="50" s="1"/>
  <c r="G108" i="1"/>
  <c r="G104" i="1"/>
  <c r="G103" i="1"/>
  <c r="I107" i="1"/>
  <c r="G107" i="1"/>
  <c r="G105" i="1"/>
  <c r="D54" i="87" l="1"/>
  <c r="C55" i="87"/>
  <c r="D55" i="87" s="1"/>
  <c r="J108" i="1"/>
  <c r="J6" i="84" s="1"/>
  <c r="L108" i="1"/>
  <c r="O108" i="1" s="1"/>
  <c r="K108" i="1"/>
  <c r="N108" i="1" s="1"/>
  <c r="J104" i="1"/>
  <c r="J5" i="45" s="1"/>
  <c r="L104" i="1"/>
  <c r="O104" i="1" s="1"/>
  <c r="K104" i="1"/>
  <c r="N104" i="1" s="1"/>
  <c r="J103" i="1"/>
  <c r="J5" i="16" s="1"/>
  <c r="L103" i="1"/>
  <c r="O103" i="1" s="1"/>
  <c r="K103" i="1"/>
  <c r="N103" i="1" s="1"/>
  <c r="L107" i="1"/>
  <c r="O107" i="1" s="1"/>
  <c r="K107" i="1"/>
  <c r="N107" i="1" s="1"/>
  <c r="J105" i="1"/>
  <c r="J5" i="64" s="1"/>
  <c r="L105" i="1"/>
  <c r="O105" i="1" s="1"/>
  <c r="K105" i="1"/>
  <c r="N105" i="1" s="1"/>
  <c r="AR13" i="73"/>
  <c r="AR11" i="22"/>
  <c r="AR18" i="9"/>
  <c r="AR13" i="6"/>
  <c r="AR12" i="53"/>
  <c r="AR13" i="21"/>
  <c r="J13" i="16"/>
  <c r="J19" i="65"/>
  <c r="J9" i="64"/>
  <c r="J8" i="42"/>
  <c r="J16" i="69"/>
  <c r="J9" i="30"/>
  <c r="J19" i="32"/>
  <c r="J13" i="43"/>
  <c r="J13" i="71"/>
  <c r="J8" i="33"/>
  <c r="J8" i="46"/>
  <c r="J13" i="45"/>
  <c r="J13" i="44"/>
  <c r="J9" i="41"/>
  <c r="J13" i="26"/>
  <c r="J13" i="27"/>
  <c r="J8" i="45"/>
  <c r="J8" i="44"/>
  <c r="J7" i="34"/>
  <c r="J9" i="50"/>
  <c r="J14" i="20"/>
  <c r="J9" i="48"/>
  <c r="J9" i="44"/>
  <c r="J10" i="27"/>
  <c r="J15" i="56"/>
  <c r="J15" i="23"/>
  <c r="J10" i="41"/>
  <c r="J10" i="26"/>
  <c r="J10" i="65"/>
  <c r="J9" i="45"/>
  <c r="J9" i="61"/>
  <c r="J14" i="60"/>
  <c r="J9" i="29"/>
  <c r="J9" i="62"/>
  <c r="J14" i="7"/>
  <c r="J9" i="66"/>
  <c r="J11" i="87"/>
  <c r="J13" i="32"/>
  <c r="J10" i="51"/>
  <c r="J9" i="31"/>
  <c r="J20" i="85"/>
  <c r="J21" i="70"/>
  <c r="J9" i="19"/>
  <c r="J7" i="77"/>
  <c r="J9" i="88"/>
  <c r="J9" i="26"/>
  <c r="J13" i="31"/>
  <c r="J10" i="37"/>
  <c r="J8" i="41"/>
  <c r="J17" i="50"/>
  <c r="J9" i="53"/>
  <c r="J6" i="56"/>
  <c r="J15" i="61"/>
  <c r="J25" i="57"/>
  <c r="J17" i="86"/>
  <c r="J17" i="8"/>
  <c r="J22" i="69"/>
  <c r="J27" i="17"/>
  <c r="J6" i="18"/>
  <c r="J16" i="72"/>
  <c r="J17" i="21"/>
  <c r="J9" i="27"/>
  <c r="J9" i="56"/>
  <c r="J13" i="5"/>
  <c r="J13" i="8"/>
  <c r="J8" i="56"/>
  <c r="J7" i="86"/>
  <c r="J11" i="5"/>
  <c r="J12" i="8"/>
  <c r="J16" i="43"/>
  <c r="J16" i="31"/>
  <c r="J11" i="41"/>
  <c r="J10" i="53"/>
  <c r="J11" i="37"/>
  <c r="J7" i="56"/>
  <c r="J14" i="8"/>
  <c r="J14" i="61"/>
  <c r="J18" i="32"/>
  <c r="J7" i="18"/>
  <c r="J11" i="65"/>
  <c r="J10" i="5"/>
  <c r="J20" i="44"/>
  <c r="J15" i="86"/>
  <c r="J14" i="27"/>
  <c r="J14" i="26"/>
  <c r="J20" i="45"/>
  <c r="J7" i="21"/>
  <c r="J6" i="53"/>
  <c r="J6" i="21"/>
  <c r="J6" i="82"/>
  <c r="J6" i="83"/>
  <c r="J107" i="1"/>
  <c r="J5" i="27" s="1"/>
  <c r="G75" i="1"/>
  <c r="J75" i="1" s="1"/>
  <c r="J17" i="48" s="1"/>
  <c r="J72" i="1"/>
  <c r="J38" i="9" s="1"/>
  <c r="G73" i="1"/>
  <c r="J73" i="1" s="1"/>
  <c r="J8" i="85" s="1"/>
  <c r="G69" i="1"/>
  <c r="J69" i="1" s="1"/>
  <c r="J38" i="30" s="1"/>
  <c r="G71" i="1"/>
  <c r="J71" i="1" s="1"/>
  <c r="J15" i="7" s="1"/>
  <c r="G70" i="1"/>
  <c r="J70" i="1" s="1"/>
  <c r="J6" i="74" s="1"/>
  <c r="J74" i="1"/>
  <c r="J10" i="87" s="1"/>
  <c r="J8" i="79" l="1"/>
  <c r="J19" i="86"/>
  <c r="J12" i="13"/>
  <c r="J12" i="40"/>
  <c r="J6" i="79"/>
  <c r="J12" i="55"/>
  <c r="J9" i="85"/>
  <c r="J12" i="78"/>
  <c r="J13" i="2"/>
  <c r="AR13" i="36" s="1"/>
  <c r="G16" i="2"/>
  <c r="J16" i="2" s="1"/>
  <c r="J39" i="2"/>
  <c r="J40" i="2"/>
  <c r="J65" i="1"/>
  <c r="J67" i="1"/>
  <c r="D51" i="84"/>
  <c r="C51" i="84"/>
  <c r="E131" i="16"/>
  <c r="E132" i="16"/>
  <c r="E133" i="16"/>
  <c r="E134" i="16"/>
  <c r="E135" i="16"/>
  <c r="E136" i="16"/>
  <c r="E137" i="16"/>
  <c r="E138" i="16"/>
  <c r="E139" i="16"/>
  <c r="E140" i="16"/>
  <c r="E141" i="16"/>
  <c r="E142" i="16"/>
  <c r="E130" i="16"/>
  <c r="E129" i="16"/>
  <c r="AR18" i="72" l="1"/>
  <c r="AR8" i="73"/>
  <c r="AR8" i="41"/>
  <c r="AR8" i="53"/>
  <c r="AR8" i="3"/>
  <c r="AR13" i="47"/>
  <c r="AR8" i="69"/>
  <c r="AR8" i="56"/>
  <c r="AR8" i="8"/>
  <c r="AR13" i="79"/>
  <c r="AR8" i="61"/>
  <c r="AT8" i="61" s="1"/>
  <c r="AR18" i="57"/>
  <c r="AR8" i="25"/>
  <c r="AR8" i="70"/>
  <c r="AR8" i="15"/>
  <c r="AR8" i="37"/>
  <c r="AR8" i="26"/>
  <c r="AR18" i="28"/>
  <c r="AR8" i="21"/>
  <c r="AR18" i="18"/>
  <c r="AR6" i="9"/>
  <c r="AR8" i="6"/>
  <c r="AR8" i="17"/>
  <c r="AR9" i="8"/>
  <c r="AR9" i="56"/>
  <c r="AR19" i="57"/>
  <c r="AR9" i="37"/>
  <c r="AR17" i="47"/>
  <c r="AR9" i="69"/>
  <c r="AR9" i="70"/>
  <c r="AR9" i="3"/>
  <c r="AR19" i="28"/>
  <c r="AR9" i="26"/>
  <c r="AR9" i="25"/>
  <c r="AR9" i="21"/>
  <c r="AR9" i="41"/>
  <c r="AR19" i="72"/>
  <c r="AR19" i="18"/>
  <c r="AR9" i="15"/>
  <c r="AR9" i="61"/>
  <c r="AT9" i="61" s="1"/>
  <c r="AR9" i="53"/>
  <c r="AR9" i="6"/>
  <c r="AR9" i="73"/>
  <c r="AR9" i="17"/>
  <c r="AR12" i="8"/>
  <c r="AR12" i="69"/>
  <c r="AR15" i="58"/>
  <c r="AR20" i="9"/>
  <c r="AR13" i="28"/>
  <c r="AR12" i="56"/>
  <c r="AR16" i="47"/>
  <c r="AR13" i="57"/>
  <c r="AR13" i="18"/>
  <c r="AR12" i="17"/>
  <c r="AR16" i="25"/>
  <c r="AR12" i="26"/>
  <c r="AR13" i="72"/>
  <c r="AR12" i="41"/>
  <c r="AR12" i="15"/>
  <c r="AR12" i="70"/>
  <c r="AR16" i="17"/>
  <c r="J19" i="18"/>
  <c r="J18" i="8"/>
  <c r="J8" i="10"/>
  <c r="J15" i="17"/>
  <c r="J19" i="28"/>
  <c r="J8" i="35"/>
  <c r="J20" i="47"/>
  <c r="J14" i="49"/>
  <c r="J15" i="50"/>
  <c r="J17" i="56"/>
  <c r="J18" i="57"/>
  <c r="J18" i="62"/>
  <c r="J16" i="65"/>
  <c r="J17" i="85"/>
  <c r="J19" i="69"/>
  <c r="J14" i="3"/>
  <c r="J15" i="15"/>
  <c r="J7" i="10"/>
  <c r="J18" i="23"/>
  <c r="J18" i="26"/>
  <c r="J18" i="27"/>
  <c r="J18" i="28"/>
  <c r="J7" i="35"/>
  <c r="J10" i="44"/>
  <c r="J10" i="45"/>
  <c r="J17" i="49"/>
  <c r="J21" i="58"/>
  <c r="J17" i="59"/>
  <c r="J18" i="86"/>
  <c r="J18" i="70"/>
  <c r="J27" i="72"/>
  <c r="J102" i="80" l="1"/>
  <c r="J82" i="80"/>
  <c r="J66" i="80"/>
  <c r="J38" i="80"/>
  <c r="J55" i="2"/>
  <c r="AR7" i="36" s="1"/>
  <c r="J56" i="2"/>
  <c r="AR6" i="36" s="1"/>
  <c r="J58" i="2"/>
  <c r="AR6" i="43" s="1"/>
  <c r="J52" i="2"/>
  <c r="AR14" i="79" s="1"/>
  <c r="J57" i="2"/>
  <c r="AR19" i="79" s="1"/>
  <c r="J59" i="2"/>
  <c r="AR7" i="43" s="1"/>
  <c r="J127" i="1"/>
  <c r="J119" i="1"/>
  <c r="J22" i="11" s="1"/>
  <c r="J112" i="1"/>
  <c r="J133" i="1"/>
  <c r="J10" i="88" s="1"/>
  <c r="J136" i="1"/>
  <c r="J9" i="79" s="1"/>
  <c r="J140" i="1"/>
  <c r="J121" i="1"/>
  <c r="J14" i="37" s="1"/>
  <c r="J126" i="1"/>
  <c r="J6" i="71" s="1"/>
  <c r="J118" i="1"/>
  <c r="J14" i="50" s="1"/>
  <c r="J131" i="1"/>
  <c r="J125" i="1"/>
  <c r="J124" i="1"/>
  <c r="J39" i="61" s="1"/>
  <c r="L39" i="61" s="1"/>
  <c r="J139" i="1"/>
  <c r="J135" i="1"/>
  <c r="J37" i="61" s="1"/>
  <c r="L37" i="61" s="1"/>
  <c r="W35" i="61" s="1"/>
  <c r="J117" i="1"/>
  <c r="J19" i="31" s="1"/>
  <c r="J134" i="1"/>
  <c r="J111" i="1"/>
  <c r="J138" i="1"/>
  <c r="J132" i="1"/>
  <c r="J10" i="2"/>
  <c r="J7" i="2"/>
  <c r="AR10" i="43" s="1"/>
  <c r="J3" i="2"/>
  <c r="J5" i="2"/>
  <c r="AR15" i="79" s="1"/>
  <c r="J8" i="2"/>
  <c r="AR12" i="79" s="1"/>
  <c r="J9" i="2"/>
  <c r="AR11" i="43" s="1"/>
  <c r="J4" i="2"/>
  <c r="J12" i="1"/>
  <c r="J38" i="49" s="1"/>
  <c r="J10" i="1"/>
  <c r="J20" i="11" s="1"/>
  <c r="K4" i="1"/>
  <c r="N4" i="1" s="1"/>
  <c r="O4" i="1"/>
  <c r="J7" i="1"/>
  <c r="J9" i="1"/>
  <c r="J14" i="1"/>
  <c r="J25" i="11" s="1"/>
  <c r="J6" i="1"/>
  <c r="J23" i="11" s="1"/>
  <c r="J8" i="1"/>
  <c r="J13" i="47" s="1"/>
  <c r="J4" i="1"/>
  <c r="J18" i="61" s="1"/>
  <c r="J5" i="1"/>
  <c r="J3" i="1"/>
  <c r="J8" i="92" l="1"/>
  <c r="J15" i="37"/>
  <c r="J38" i="26"/>
  <c r="J38" i="61"/>
  <c r="L38" i="61" s="1"/>
  <c r="AR7" i="8"/>
  <c r="AR7" i="73"/>
  <c r="AR7" i="21"/>
  <c r="AR7" i="17"/>
  <c r="AR7" i="79"/>
  <c r="AR7" i="70"/>
  <c r="AR7" i="61"/>
  <c r="AT7" i="61" s="1"/>
  <c r="AR7" i="15"/>
  <c r="AR17" i="72"/>
  <c r="AR17" i="18"/>
  <c r="AR7" i="3"/>
  <c r="AR7" i="69"/>
  <c r="AR7" i="6"/>
  <c r="AR7" i="41"/>
  <c r="AR8" i="43"/>
  <c r="AR7" i="37"/>
  <c r="AR7" i="26"/>
  <c r="AR17" i="57"/>
  <c r="AR7" i="56"/>
  <c r="AR17" i="28"/>
  <c r="AR7" i="53"/>
  <c r="AR7" i="25"/>
  <c r="AR16" i="22"/>
  <c r="AR7" i="47"/>
  <c r="AR6" i="41"/>
  <c r="AR6" i="70"/>
  <c r="AR6" i="73"/>
  <c r="AR16" i="72"/>
  <c r="AR6" i="3"/>
  <c r="AR6" i="69"/>
  <c r="AR6" i="61"/>
  <c r="AT6" i="61" s="1"/>
  <c r="AR16" i="57"/>
  <c r="AR6" i="17"/>
  <c r="AR6" i="56"/>
  <c r="AR6" i="53"/>
  <c r="AR16" i="28"/>
  <c r="AR6" i="25"/>
  <c r="AR6" i="79"/>
  <c r="AR6" i="26"/>
  <c r="AR6" i="8"/>
  <c r="AR6" i="21"/>
  <c r="AR6" i="47"/>
  <c r="AR16" i="18"/>
  <c r="AR6" i="37"/>
  <c r="AR6" i="15"/>
  <c r="AR6" i="6"/>
  <c r="AR8" i="57"/>
  <c r="AR17" i="79"/>
  <c r="AR14" i="47"/>
  <c r="AR8" i="28"/>
  <c r="AR8" i="18"/>
  <c r="AR15" i="47"/>
  <c r="AR9" i="43"/>
  <c r="AR8" i="72"/>
  <c r="AR13" i="17"/>
  <c r="J14" i="75"/>
  <c r="J7" i="92"/>
  <c r="J15" i="11"/>
  <c r="J27" i="11"/>
  <c r="J19" i="75"/>
  <c r="J39" i="26"/>
  <c r="J28" i="11"/>
  <c r="J37" i="79"/>
  <c r="J37" i="26"/>
  <c r="J38" i="71"/>
  <c r="J38" i="70"/>
  <c r="J38" i="66"/>
  <c r="J38" i="60"/>
  <c r="J38" i="57"/>
  <c r="J38" i="48"/>
  <c r="J37" i="32"/>
  <c r="J38" i="28"/>
  <c r="J38" i="20"/>
  <c r="J38" i="8"/>
  <c r="J15" i="75"/>
  <c r="J6" i="92"/>
  <c r="J6" i="11"/>
  <c r="J6" i="22"/>
  <c r="J12" i="17"/>
  <c r="J19" i="15"/>
  <c r="J11" i="13"/>
  <c r="J11" i="24"/>
  <c r="J11" i="55"/>
  <c r="J11" i="40"/>
  <c r="J11" i="68"/>
  <c r="J11" i="78"/>
  <c r="J7" i="68"/>
  <c r="J7" i="55"/>
  <c r="J7" i="24"/>
  <c r="J7" i="40"/>
  <c r="J8" i="52"/>
  <c r="J7" i="78"/>
  <c r="J7" i="13"/>
  <c r="J9" i="3"/>
  <c r="J7" i="45"/>
  <c r="J13" i="74"/>
  <c r="J12" i="18"/>
  <c r="J7" i="43"/>
  <c r="J7" i="69"/>
  <c r="J8" i="23"/>
  <c r="J6" i="26"/>
  <c r="J13" i="88"/>
  <c r="J6" i="27"/>
  <c r="J7" i="71"/>
  <c r="J13" i="17"/>
  <c r="J9" i="5"/>
  <c r="J9" i="70"/>
  <c r="J10" i="8"/>
  <c r="J19" i="85"/>
  <c r="J20" i="72"/>
  <c r="J9" i="28"/>
  <c r="J6" i="6"/>
  <c r="J9" i="65"/>
  <c r="J8" i="20"/>
  <c r="J27" i="5"/>
  <c r="J7" i="61"/>
  <c r="J7" i="29"/>
  <c r="J8" i="7"/>
  <c r="J7" i="49"/>
  <c r="J8" i="60"/>
  <c r="J7" i="58"/>
  <c r="J6" i="67"/>
  <c r="J7" i="59"/>
  <c r="J7" i="31"/>
  <c r="J7" i="62"/>
  <c r="J11" i="57"/>
  <c r="J9" i="47"/>
  <c r="J10" i="56"/>
  <c r="J7" i="44"/>
  <c r="J13" i="51"/>
  <c r="J9" i="15"/>
  <c r="J17" i="32"/>
  <c r="J7" i="33"/>
  <c r="J6" i="86"/>
  <c r="J14" i="16"/>
  <c r="J7" i="48"/>
  <c r="J7" i="19"/>
  <c r="J6" i="46"/>
  <c r="J7" i="41"/>
  <c r="J7" i="50"/>
  <c r="J12" i="46"/>
  <c r="J8" i="43"/>
  <c r="J18" i="45"/>
  <c r="J18" i="44"/>
  <c r="J10" i="3"/>
  <c r="J15" i="59"/>
  <c r="J11" i="72"/>
  <c r="J22" i="15"/>
  <c r="J10" i="28"/>
  <c r="J10" i="70"/>
  <c r="J15" i="51"/>
  <c r="J10" i="24"/>
  <c r="J7" i="5"/>
  <c r="J7" i="8"/>
  <c r="J10" i="68"/>
  <c r="J9" i="67"/>
  <c r="J22" i="31"/>
  <c r="J10" i="55"/>
  <c r="J10" i="40"/>
  <c r="J5" i="85"/>
  <c r="J9" i="87"/>
  <c r="J10" i="66"/>
  <c r="J23" i="15"/>
  <c r="J9" i="37"/>
  <c r="J10" i="78"/>
  <c r="J10" i="13"/>
  <c r="J9" i="23"/>
  <c r="J13" i="86"/>
  <c r="J21" i="31"/>
  <c r="J9" i="40"/>
  <c r="J8" i="37"/>
  <c r="J6" i="85"/>
  <c r="J25" i="15"/>
  <c r="J9" i="55"/>
  <c r="J9" i="8"/>
  <c r="J8" i="87"/>
  <c r="J8" i="67"/>
  <c r="J9" i="68"/>
  <c r="J12" i="86"/>
  <c r="J9" i="13"/>
  <c r="J9" i="78"/>
  <c r="J9" i="24"/>
  <c r="J8" i="68"/>
  <c r="J7" i="87"/>
  <c r="J7" i="37"/>
  <c r="J8" i="78"/>
  <c r="J7" i="85"/>
  <c r="J7" i="67"/>
  <c r="J8" i="40"/>
  <c r="J24" i="15"/>
  <c r="J8" i="13"/>
  <c r="J11" i="86"/>
  <c r="J8" i="55"/>
  <c r="J8" i="8"/>
  <c r="J8" i="24"/>
  <c r="J20" i="31"/>
  <c r="J6" i="14"/>
  <c r="J6" i="38"/>
  <c r="J6" i="39"/>
  <c r="J23" i="31"/>
  <c r="J6" i="52"/>
  <c r="J6" i="89"/>
  <c r="J6" i="54"/>
  <c r="J6" i="91"/>
  <c r="J6" i="12"/>
  <c r="J6" i="13"/>
  <c r="J6" i="78"/>
  <c r="J6" i="24"/>
  <c r="J8" i="86"/>
  <c r="J7" i="52"/>
  <c r="J6" i="40"/>
  <c r="J7" i="79"/>
  <c r="J10" i="4"/>
  <c r="J6" i="68"/>
  <c r="J6" i="55"/>
  <c r="J13" i="46"/>
  <c r="J20" i="18"/>
  <c r="J7" i="3"/>
  <c r="J8" i="48"/>
  <c r="J8" i="31"/>
  <c r="J18" i="31"/>
  <c r="J7" i="20"/>
  <c r="J7" i="57"/>
  <c r="J6" i="88"/>
  <c r="J8" i="50"/>
  <c r="J22" i="72"/>
  <c r="J11" i="51"/>
  <c r="J7" i="23"/>
  <c r="J7" i="7"/>
  <c r="J7" i="70"/>
  <c r="J7" i="28"/>
  <c r="J6" i="65"/>
  <c r="J8" i="69"/>
  <c r="J5" i="87"/>
  <c r="J8" i="29"/>
  <c r="J7" i="60"/>
  <c r="J8" i="32"/>
  <c r="J7" i="47"/>
  <c r="J8" i="61"/>
  <c r="J8" i="59"/>
  <c r="J8" i="62"/>
  <c r="J6" i="43"/>
  <c r="J6" i="69"/>
  <c r="J10" i="17"/>
  <c r="J6" i="5"/>
  <c r="J7" i="15"/>
  <c r="J18" i="72"/>
  <c r="J12" i="42"/>
  <c r="J6" i="59"/>
  <c r="J6" i="45"/>
  <c r="J6" i="37"/>
  <c r="J6" i="58"/>
  <c r="J8" i="16"/>
  <c r="J10" i="67"/>
  <c r="J6" i="28"/>
  <c r="J7" i="46"/>
  <c r="J18" i="85"/>
  <c r="J16" i="27"/>
  <c r="J6" i="87"/>
  <c r="J6" i="47"/>
  <c r="J11" i="18"/>
  <c r="J13" i="30"/>
  <c r="J6" i="31"/>
  <c r="J6" i="48"/>
  <c r="J6" i="23"/>
  <c r="J6" i="44"/>
  <c r="J6" i="19"/>
  <c r="J6" i="49"/>
  <c r="J6" i="62"/>
  <c r="J6" i="60"/>
  <c r="J6" i="20"/>
  <c r="J6" i="70"/>
  <c r="J6" i="50"/>
  <c r="J6" i="33"/>
  <c r="J7" i="65"/>
  <c r="J6" i="57"/>
  <c r="J6" i="3"/>
  <c r="J6" i="8"/>
  <c r="J6" i="7"/>
  <c r="J6" i="29"/>
  <c r="J6" i="32"/>
  <c r="J16" i="26"/>
  <c r="J20" i="69"/>
  <c r="J14" i="71"/>
  <c r="J17" i="62"/>
  <c r="J20" i="62"/>
  <c r="J17" i="29"/>
  <c r="J17" i="61"/>
  <c r="J13" i="64"/>
  <c r="J17" i="65"/>
  <c r="J11" i="67"/>
  <c r="J14" i="74"/>
  <c r="J6" i="30"/>
  <c r="J14" i="43"/>
  <c r="J5" i="42"/>
  <c r="J7" i="16"/>
  <c r="J6" i="64"/>
  <c r="J12" i="33"/>
  <c r="J18" i="69"/>
  <c r="J12" i="27"/>
  <c r="J10" i="71"/>
  <c r="J12" i="26"/>
  <c r="J21" i="15"/>
  <c r="J26" i="72"/>
  <c r="J13" i="58"/>
  <c r="J13" i="28"/>
  <c r="J8" i="15"/>
  <c r="J22" i="70"/>
  <c r="J14" i="23"/>
  <c r="J14" i="88"/>
  <c r="J18" i="3"/>
  <c r="J7" i="30"/>
  <c r="J14" i="44"/>
  <c r="J14" i="45"/>
  <c r="J14" i="58"/>
  <c r="J12" i="19"/>
  <c r="J6" i="16"/>
  <c r="J15" i="43"/>
  <c r="J15" i="27"/>
  <c r="J17" i="69"/>
  <c r="J9" i="49"/>
  <c r="J15" i="57"/>
  <c r="J14" i="41"/>
  <c r="J15" i="26"/>
  <c r="J9" i="33"/>
  <c r="J7" i="64"/>
  <c r="J14" i="15"/>
  <c r="J23" i="28"/>
  <c r="J13" i="29"/>
  <c r="J14" i="47"/>
  <c r="J11" i="71"/>
  <c r="J14" i="46"/>
  <c r="J18" i="59"/>
  <c r="J19" i="3"/>
  <c r="J6" i="42"/>
  <c r="J15" i="70"/>
  <c r="J8" i="6"/>
  <c r="J11" i="17"/>
  <c r="J8" i="72"/>
  <c r="J16" i="19"/>
  <c r="J17" i="57"/>
  <c r="J12" i="16"/>
  <c r="J16" i="48"/>
  <c r="J10" i="33"/>
  <c r="J21" i="47"/>
  <c r="J19" i="62"/>
  <c r="J9" i="54"/>
  <c r="J9" i="14"/>
  <c r="J10" i="85"/>
  <c r="J6" i="15"/>
  <c r="J19" i="27"/>
  <c r="J12" i="87"/>
  <c r="J7" i="42"/>
  <c r="J8" i="30"/>
  <c r="J19" i="45"/>
  <c r="J6" i="41"/>
  <c r="J14" i="29"/>
  <c r="J17" i="18"/>
  <c r="J15" i="67"/>
  <c r="J19" i="26"/>
  <c r="J15" i="46"/>
  <c r="J20" i="70"/>
  <c r="J16" i="58"/>
  <c r="J15" i="69"/>
  <c r="J19" i="44"/>
  <c r="J12" i="61"/>
  <c r="J24" i="31"/>
  <c r="J9" i="38"/>
  <c r="J15" i="71"/>
  <c r="J20" i="59"/>
  <c r="J16" i="60"/>
  <c r="J12" i="43"/>
  <c r="J16" i="20"/>
  <c r="J25" i="72"/>
  <c r="J7" i="32"/>
  <c r="J22" i="8"/>
  <c r="J16" i="56"/>
  <c r="J19" i="5"/>
  <c r="J20" i="17"/>
  <c r="J17" i="7"/>
  <c r="J8" i="65"/>
  <c r="J22" i="28"/>
  <c r="J8" i="64"/>
  <c r="J17" i="3"/>
  <c r="J18" i="50"/>
  <c r="J13" i="49"/>
  <c r="J34" i="2"/>
  <c r="J31" i="2"/>
  <c r="AR14" i="43" s="1"/>
  <c r="J30" i="2"/>
  <c r="J32" i="2"/>
  <c r="J29" i="2"/>
  <c r="J28" i="2"/>
  <c r="J27" i="2"/>
  <c r="AR8" i="36" s="1"/>
  <c r="J26" i="2"/>
  <c r="J25" i="2"/>
  <c r="J24" i="2"/>
  <c r="J23" i="2"/>
  <c r="J22" i="2"/>
  <c r="J33" i="2"/>
  <c r="AR12" i="36" s="1"/>
  <c r="J36" i="2"/>
  <c r="J35" i="2"/>
  <c r="AR10" i="36" s="1"/>
  <c r="J37" i="2"/>
  <c r="J21" i="2"/>
  <c r="AR11" i="58" s="1"/>
  <c r="J20" i="2"/>
  <c r="AR11" i="36" s="1"/>
  <c r="J19" i="2"/>
  <c r="J35" i="1"/>
  <c r="J18" i="75" s="1"/>
  <c r="J49" i="1"/>
  <c r="J55" i="1"/>
  <c r="J8" i="53" s="1"/>
  <c r="J50" i="1"/>
  <c r="J9" i="12" s="1"/>
  <c r="J51" i="1"/>
  <c r="J53" i="1"/>
  <c r="J48" i="1"/>
  <c r="J6" i="17" s="1"/>
  <c r="J39" i="1"/>
  <c r="J40" i="1"/>
  <c r="J17" i="92" s="1"/>
  <c r="J43" i="1"/>
  <c r="J41" i="1"/>
  <c r="J11" i="92" s="1"/>
  <c r="J42" i="1"/>
  <c r="J9" i="4" s="1"/>
  <c r="J60" i="1"/>
  <c r="J20" i="75" s="1"/>
  <c r="J52" i="1"/>
  <c r="J57" i="1"/>
  <c r="J21" i="75" s="1"/>
  <c r="J38" i="1"/>
  <c r="J19" i="92" s="1"/>
  <c r="J37" i="1"/>
  <c r="J61" i="1"/>
  <c r="J19" i="11" s="1"/>
  <c r="J46" i="1"/>
  <c r="J7" i="4" s="1"/>
  <c r="J45" i="1"/>
  <c r="J44" i="1"/>
  <c r="J47" i="1"/>
  <c r="J56" i="1"/>
  <c r="J58" i="1"/>
  <c r="J101" i="1"/>
  <c r="J100" i="1"/>
  <c r="J99" i="1"/>
  <c r="B95" i="42"/>
  <c r="C95" i="42"/>
  <c r="D95" i="42"/>
  <c r="B96" i="42"/>
  <c r="C96" i="42"/>
  <c r="D96" i="42"/>
  <c r="B97" i="42"/>
  <c r="C97" i="42"/>
  <c r="D97" i="42"/>
  <c r="B98" i="42"/>
  <c r="C98" i="42"/>
  <c r="D98" i="42"/>
  <c r="B99" i="42"/>
  <c r="C99" i="42"/>
  <c r="D99" i="42"/>
  <c r="B100" i="42"/>
  <c r="C100" i="42"/>
  <c r="D100" i="42"/>
  <c r="B101" i="42"/>
  <c r="C101" i="42"/>
  <c r="D101" i="42"/>
  <c r="C94" i="42"/>
  <c r="D94" i="42"/>
  <c r="F95" i="42"/>
  <c r="F96" i="42"/>
  <c r="F97" i="42"/>
  <c r="F98" i="42"/>
  <c r="F99" i="42"/>
  <c r="F100" i="42"/>
  <c r="F101" i="42"/>
  <c r="F94" i="42"/>
  <c r="B94" i="42"/>
  <c r="AL38" i="1"/>
  <c r="AL40" i="1"/>
  <c r="AL44" i="1"/>
  <c r="AL42" i="1"/>
  <c r="AL32" i="1"/>
  <c r="D5" i="92"/>
  <c r="D65" i="92" s="1"/>
  <c r="F87" i="92"/>
  <c r="F88" i="92"/>
  <c r="F89" i="92"/>
  <c r="F90" i="92"/>
  <c r="F91" i="92"/>
  <c r="F92" i="92"/>
  <c r="F93" i="92"/>
  <c r="F94" i="92"/>
  <c r="F95" i="92"/>
  <c r="F96" i="92"/>
  <c r="F97" i="92"/>
  <c r="F98" i="92"/>
  <c r="F99" i="92"/>
  <c r="F100" i="92"/>
  <c r="F86" i="92"/>
  <c r="F66" i="92"/>
  <c r="F67" i="92"/>
  <c r="F68" i="92"/>
  <c r="F69" i="92"/>
  <c r="F70" i="92"/>
  <c r="F71" i="92"/>
  <c r="F72" i="92"/>
  <c r="F73" i="92"/>
  <c r="F74" i="92"/>
  <c r="F75" i="92"/>
  <c r="F76" i="92"/>
  <c r="F77" i="92"/>
  <c r="F78" i="92"/>
  <c r="F79" i="92"/>
  <c r="F65" i="92"/>
  <c r="AN38" i="1"/>
  <c r="AL37" i="1"/>
  <c r="AL43" i="1"/>
  <c r="AL45" i="1"/>
  <c r="AL48" i="1"/>
  <c r="AL54" i="1"/>
  <c r="AL24" i="1"/>
  <c r="F133" i="7"/>
  <c r="F134" i="7"/>
  <c r="F135" i="7"/>
  <c r="F136" i="7"/>
  <c r="F137" i="7"/>
  <c r="F138" i="7"/>
  <c r="F139" i="7"/>
  <c r="F140" i="7"/>
  <c r="F141" i="7"/>
  <c r="F142" i="7"/>
  <c r="F143" i="7"/>
  <c r="F144" i="7"/>
  <c r="F145" i="7"/>
  <c r="F146" i="7"/>
  <c r="F132" i="7"/>
  <c r="B133" i="7"/>
  <c r="C133" i="7"/>
  <c r="D133" i="7"/>
  <c r="B134" i="7"/>
  <c r="C134" i="7"/>
  <c r="D134" i="7"/>
  <c r="B135" i="7"/>
  <c r="C135" i="7"/>
  <c r="D135" i="7"/>
  <c r="B136" i="7"/>
  <c r="C136" i="7"/>
  <c r="D136" i="7"/>
  <c r="B137" i="7"/>
  <c r="C137" i="7"/>
  <c r="D137" i="7"/>
  <c r="B138" i="7"/>
  <c r="C138" i="7"/>
  <c r="D138" i="7"/>
  <c r="B139" i="7"/>
  <c r="C139" i="7"/>
  <c r="D139" i="7"/>
  <c r="B140" i="7"/>
  <c r="C140" i="7"/>
  <c r="D140" i="7"/>
  <c r="B141" i="7"/>
  <c r="C141" i="7"/>
  <c r="D141" i="7"/>
  <c r="B142" i="7"/>
  <c r="C142" i="7"/>
  <c r="D142" i="7"/>
  <c r="B143" i="7"/>
  <c r="C143" i="7"/>
  <c r="D143" i="7"/>
  <c r="B144" i="7"/>
  <c r="C144" i="7"/>
  <c r="D144" i="7"/>
  <c r="B145" i="7"/>
  <c r="C145" i="7"/>
  <c r="D145" i="7"/>
  <c r="B146" i="7"/>
  <c r="C146" i="7"/>
  <c r="D146" i="7"/>
  <c r="C132" i="7"/>
  <c r="B132" i="7"/>
  <c r="D51" i="64"/>
  <c r="C51" i="64"/>
  <c r="J16" i="4" l="1"/>
  <c r="J16" i="37"/>
  <c r="J18" i="92"/>
  <c r="J8" i="4"/>
  <c r="J10" i="92"/>
  <c r="J12" i="4"/>
  <c r="J6" i="4"/>
  <c r="AR15" i="25"/>
  <c r="AR12" i="47"/>
  <c r="AR9" i="72"/>
  <c r="AR9" i="57"/>
  <c r="AR9" i="18"/>
  <c r="AR9" i="28"/>
  <c r="AR6" i="60"/>
  <c r="AR6" i="71"/>
  <c r="AR17" i="22"/>
  <c r="AR6" i="58"/>
  <c r="AR6" i="29"/>
  <c r="AR11" i="28"/>
  <c r="AR11" i="57"/>
  <c r="AR7" i="71"/>
  <c r="AR7" i="58"/>
  <c r="AR7" i="29"/>
  <c r="AR7" i="60"/>
  <c r="AR13" i="3"/>
  <c r="AR15" i="17"/>
  <c r="AR14" i="17"/>
  <c r="AR8" i="29"/>
  <c r="AR12" i="3"/>
  <c r="AR12" i="9"/>
  <c r="AR12" i="73"/>
  <c r="AR6" i="18"/>
  <c r="AR6" i="28"/>
  <c r="AR12" i="25"/>
  <c r="AR8" i="79"/>
  <c r="AR8" i="60"/>
  <c r="AR8" i="71"/>
  <c r="AR13" i="37"/>
  <c r="AR14" i="58"/>
  <c r="AR6" i="57"/>
  <c r="AR8" i="47"/>
  <c r="AR6" i="72"/>
  <c r="AR7" i="22"/>
  <c r="AR12" i="6"/>
  <c r="AR12" i="29"/>
  <c r="AR7" i="72"/>
  <c r="AR11" i="9"/>
  <c r="AR9" i="79"/>
  <c r="AR12" i="58"/>
  <c r="AR7" i="18"/>
  <c r="AR7" i="28"/>
  <c r="AR8" i="22"/>
  <c r="AR13" i="25"/>
  <c r="AR7" i="57"/>
  <c r="AR12" i="60"/>
  <c r="AR9" i="47"/>
  <c r="AR12" i="71"/>
  <c r="AR15" i="72"/>
  <c r="AR15" i="18"/>
  <c r="AR15" i="28"/>
  <c r="AR14" i="25"/>
  <c r="AR15" i="57"/>
  <c r="AR14" i="72"/>
  <c r="AR14" i="28"/>
  <c r="AR14" i="57"/>
  <c r="AR14" i="18"/>
  <c r="AR16" i="79"/>
  <c r="AR11" i="25"/>
  <c r="AR12" i="21"/>
  <c r="AR10" i="9"/>
  <c r="AR12" i="61"/>
  <c r="AT12" i="61" s="1"/>
  <c r="AR12" i="37"/>
  <c r="AR13" i="58"/>
  <c r="AR10" i="72"/>
  <c r="AR10" i="18"/>
  <c r="AR13" i="29"/>
  <c r="AR10" i="28"/>
  <c r="AR13" i="71"/>
  <c r="AR13" i="60"/>
  <c r="AR10" i="57"/>
  <c r="AR12" i="28"/>
  <c r="AR12" i="57"/>
  <c r="AR15" i="43"/>
  <c r="AR10" i="41"/>
  <c r="AR10" i="25"/>
  <c r="AR10" i="58"/>
  <c r="AR10" i="56"/>
  <c r="AR12" i="72"/>
  <c r="AR10" i="37"/>
  <c r="AR10" i="47"/>
  <c r="AR10" i="53"/>
  <c r="AR10" i="21"/>
  <c r="AR10" i="29"/>
  <c r="AR13" i="22"/>
  <c r="AR10" i="79"/>
  <c r="AR10" i="70"/>
  <c r="AR10" i="3"/>
  <c r="AR10" i="26"/>
  <c r="AR10" i="60"/>
  <c r="AR10" i="8"/>
  <c r="AR10" i="61"/>
  <c r="AT10" i="61" s="1"/>
  <c r="AR12" i="18"/>
  <c r="AR10" i="73"/>
  <c r="AR10" i="15"/>
  <c r="AR10" i="69"/>
  <c r="AR10" i="71"/>
  <c r="AR13" i="9"/>
  <c r="AR10" i="6"/>
  <c r="AR10" i="17"/>
  <c r="AR16" i="43"/>
  <c r="AR11" i="79"/>
  <c r="AR11" i="37"/>
  <c r="AR11" i="71"/>
  <c r="AR9" i="22"/>
  <c r="AR11" i="21"/>
  <c r="AR17" i="43"/>
  <c r="AR11" i="41"/>
  <c r="AR11" i="61"/>
  <c r="AT11" i="61" s="1"/>
  <c r="AR11" i="72"/>
  <c r="AR11" i="60"/>
  <c r="AR11" i="8"/>
  <c r="AR11" i="15"/>
  <c r="AR11" i="29"/>
  <c r="AR11" i="73"/>
  <c r="AR11" i="70"/>
  <c r="AR14" i="9"/>
  <c r="AR11" i="53"/>
  <c r="AR11" i="6"/>
  <c r="AR11" i="26"/>
  <c r="AR11" i="56"/>
  <c r="AR11" i="47"/>
  <c r="AR11" i="17"/>
  <c r="AR11" i="69"/>
  <c r="AR11" i="3"/>
  <c r="AR9" i="58"/>
  <c r="AR9" i="60"/>
  <c r="AR6" i="22"/>
  <c r="AR9" i="29"/>
  <c r="AR9" i="71"/>
  <c r="J17" i="58"/>
  <c r="J24" i="11"/>
  <c r="J12" i="92"/>
  <c r="J23" i="75"/>
  <c r="J16" i="11"/>
  <c r="J22" i="75"/>
  <c r="J13" i="92"/>
  <c r="J17" i="11"/>
  <c r="J37" i="30"/>
  <c r="J38" i="5"/>
  <c r="J9" i="92"/>
  <c r="J18" i="11"/>
  <c r="J17" i="75"/>
  <c r="J7" i="53"/>
  <c r="J9" i="21"/>
  <c r="J6" i="51"/>
  <c r="J7" i="88"/>
  <c r="J14" i="4"/>
  <c r="J11" i="66"/>
  <c r="J14" i="70"/>
  <c r="J13" i="59"/>
  <c r="J19" i="57"/>
  <c r="J24" i="28"/>
  <c r="J29" i="15"/>
  <c r="J21" i="33"/>
  <c r="J21" i="74"/>
  <c r="J12" i="23"/>
  <c r="J24" i="57"/>
  <c r="J24" i="5"/>
  <c r="J8" i="17"/>
  <c r="J8" i="66"/>
  <c r="J27" i="15"/>
  <c r="J12" i="59"/>
  <c r="J20" i="33"/>
  <c r="J22" i="57"/>
  <c r="J19" i="74"/>
  <c r="J21" i="17"/>
  <c r="J22" i="5"/>
  <c r="J9" i="17"/>
  <c r="J12" i="31"/>
  <c r="J10" i="74"/>
  <c r="J12" i="20"/>
  <c r="J15" i="65"/>
  <c r="J12" i="7"/>
  <c r="J18" i="58"/>
  <c r="J11" i="32"/>
  <c r="J13" i="62"/>
  <c r="J13" i="48"/>
  <c r="J12" i="60"/>
  <c r="J19" i="29"/>
  <c r="J23" i="5"/>
  <c r="J23" i="57"/>
  <c r="J20" i="74"/>
  <c r="J26" i="15"/>
  <c r="J18" i="33"/>
  <c r="J23" i="70"/>
  <c r="J24" i="17"/>
  <c r="J20" i="15"/>
  <c r="J10" i="47"/>
  <c r="J16" i="59"/>
  <c r="J14" i="17"/>
  <c r="J16" i="18"/>
  <c r="J9" i="57"/>
  <c r="J13" i="15"/>
  <c r="J13" i="85"/>
  <c r="J12" i="70"/>
  <c r="J12" i="28"/>
  <c r="J18" i="47"/>
  <c r="J17" i="74"/>
  <c r="J17" i="33"/>
  <c r="J20" i="57"/>
  <c r="J28" i="15"/>
  <c r="J20" i="5"/>
  <c r="J14" i="19"/>
  <c r="J13" i="67"/>
  <c r="J9" i="46"/>
  <c r="J10" i="39"/>
  <c r="J14" i="78"/>
  <c r="J18" i="87"/>
  <c r="J10" i="62"/>
  <c r="J11" i="74"/>
  <c r="J8" i="73"/>
  <c r="J9" i="7"/>
  <c r="J14" i="31"/>
  <c r="J15" i="72"/>
  <c r="J13" i="69"/>
  <c r="J9" i="20"/>
  <c r="J13" i="68"/>
  <c r="J10" i="86"/>
  <c r="J11" i="21"/>
  <c r="J9" i="89"/>
  <c r="J12" i="32"/>
  <c r="J14" i="55"/>
  <c r="J10" i="91"/>
  <c r="J14" i="65"/>
  <c r="J12" i="45"/>
  <c r="J14" i="40"/>
  <c r="J9" i="60"/>
  <c r="J10" i="43"/>
  <c r="J13" i="24"/>
  <c r="J12" i="12"/>
  <c r="J14" i="13"/>
  <c r="J19" i="50"/>
  <c r="J11" i="49"/>
  <c r="J12" i="44"/>
  <c r="J14" i="33"/>
  <c r="J10" i="48"/>
  <c r="J15" i="5"/>
  <c r="J21" i="8"/>
  <c r="J18" i="29"/>
  <c r="J14" i="85"/>
  <c r="J10" i="16"/>
  <c r="J10" i="14"/>
  <c r="J11" i="64"/>
  <c r="J10" i="38"/>
  <c r="J10" i="54"/>
  <c r="J9" i="58"/>
  <c r="J8" i="71"/>
  <c r="J10" i="42"/>
  <c r="J9" i="6"/>
  <c r="J11" i="30"/>
  <c r="J18" i="74"/>
  <c r="J21" i="57"/>
  <c r="J21" i="5"/>
  <c r="J19" i="33"/>
  <c r="J11" i="59"/>
  <c r="J7" i="17"/>
  <c r="J8" i="74"/>
  <c r="J6" i="77"/>
  <c r="J8" i="88"/>
  <c r="J11" i="3"/>
  <c r="J9" i="10"/>
  <c r="J9" i="32"/>
  <c r="J12" i="14"/>
  <c r="J12" i="15"/>
  <c r="J10" i="7"/>
  <c r="J10" i="20"/>
  <c r="J23" i="17"/>
  <c r="J10" i="21"/>
  <c r="J10" i="23"/>
  <c r="J9" i="35"/>
  <c r="J15" i="28"/>
  <c r="J11" i="29"/>
  <c r="J11" i="31"/>
  <c r="J6" i="34"/>
  <c r="J10" i="58"/>
  <c r="J12" i="38"/>
  <c r="J11" i="47"/>
  <c r="J11" i="48"/>
  <c r="J7" i="51"/>
  <c r="J12" i="54"/>
  <c r="J11" i="62"/>
  <c r="J14" i="67"/>
  <c r="J10" i="60"/>
  <c r="J13" i="65"/>
  <c r="J6" i="66"/>
  <c r="J11" i="85"/>
  <c r="J11" i="70"/>
  <c r="J13" i="72"/>
  <c r="J10" i="73"/>
  <c r="J10" i="32"/>
  <c r="J12" i="3"/>
  <c r="J12" i="29"/>
  <c r="J10" i="31"/>
  <c r="J12" i="65"/>
  <c r="J13" i="23"/>
  <c r="J22" i="17"/>
  <c r="J19" i="47"/>
  <c r="J16" i="28"/>
  <c r="J12" i="62"/>
  <c r="J12" i="48"/>
  <c r="J11" i="60"/>
  <c r="J8" i="34"/>
  <c r="J11" i="58"/>
  <c r="J9" i="51"/>
  <c r="J12" i="66"/>
  <c r="J8" i="77"/>
  <c r="J11" i="20"/>
  <c r="J17" i="70"/>
  <c r="J14" i="72"/>
  <c r="J11" i="7"/>
  <c r="J9" i="74"/>
  <c r="J11" i="15"/>
  <c r="J13" i="3"/>
  <c r="J8" i="58"/>
  <c r="J14" i="87"/>
  <c r="J14" i="28"/>
  <c r="J10" i="59"/>
  <c r="J6" i="72"/>
  <c r="J8" i="25"/>
  <c r="J12" i="85"/>
  <c r="J7" i="91"/>
  <c r="J8" i="19"/>
  <c r="J13" i="87"/>
  <c r="J8" i="21"/>
  <c r="J7" i="39"/>
  <c r="J8" i="49"/>
  <c r="J7" i="89"/>
  <c r="J10" i="50"/>
  <c r="J16" i="29"/>
  <c r="J21" i="50"/>
  <c r="J17" i="26"/>
  <c r="J12" i="51"/>
  <c r="J9" i="52"/>
  <c r="J16" i="23"/>
  <c r="J9" i="91"/>
  <c r="J11" i="54"/>
  <c r="J13" i="55"/>
  <c r="J12" i="56"/>
  <c r="J14" i="57"/>
  <c r="J12" i="21"/>
  <c r="J19" i="20"/>
  <c r="J13" i="20"/>
  <c r="J9" i="39"/>
  <c r="J16" i="17"/>
  <c r="J15" i="62"/>
  <c r="J16" i="61"/>
  <c r="J12" i="67"/>
  <c r="J18" i="18"/>
  <c r="J9" i="34"/>
  <c r="J13" i="19"/>
  <c r="J15" i="58"/>
  <c r="J17" i="16"/>
  <c r="J11" i="16"/>
  <c r="J10" i="6"/>
  <c r="J16" i="15"/>
  <c r="J11" i="14"/>
  <c r="J13" i="13"/>
  <c r="J11" i="12"/>
  <c r="J13" i="40"/>
  <c r="J12" i="69"/>
  <c r="J13" i="60"/>
  <c r="J12" i="64"/>
  <c r="J6" i="10"/>
  <c r="J18" i="65"/>
  <c r="J8" i="89"/>
  <c r="J16" i="45"/>
  <c r="J13" i="66"/>
  <c r="J8" i="83"/>
  <c r="J12" i="68"/>
  <c r="J11" i="46"/>
  <c r="J11" i="42"/>
  <c r="J12" i="30"/>
  <c r="J11" i="38"/>
  <c r="J12" i="24"/>
  <c r="J16" i="85"/>
  <c r="J8" i="82"/>
  <c r="J19" i="87"/>
  <c r="J20" i="8"/>
  <c r="J17" i="47"/>
  <c r="J19" i="70"/>
  <c r="J19" i="7"/>
  <c r="J13" i="7"/>
  <c r="J12" i="71"/>
  <c r="J21" i="28"/>
  <c r="J7" i="72"/>
  <c r="J25" i="33"/>
  <c r="J6" i="35"/>
  <c r="J15" i="48"/>
  <c r="J26" i="5"/>
  <c r="J9" i="73"/>
  <c r="J11" i="43"/>
  <c r="J11" i="33"/>
  <c r="J10" i="49"/>
  <c r="J18" i="5"/>
  <c r="J12" i="74"/>
  <c r="J9" i="77"/>
  <c r="J17" i="27"/>
  <c r="J13" i="4"/>
  <c r="J16" i="44"/>
  <c r="J16" i="3"/>
  <c r="J14" i="32"/>
  <c r="J13" i="78"/>
  <c r="J13" i="50"/>
  <c r="J8" i="84"/>
  <c r="J9" i="43"/>
  <c r="J9" i="69"/>
  <c r="J10" i="12"/>
  <c r="J11" i="50"/>
  <c r="J15" i="85"/>
  <c r="J11" i="69"/>
  <c r="J17" i="15"/>
  <c r="J8" i="91"/>
  <c r="J12" i="41"/>
  <c r="J8" i="39"/>
  <c r="J6" i="61"/>
  <c r="J13" i="61"/>
  <c r="J10" i="69"/>
  <c r="J12" i="50"/>
  <c r="AL82" i="1"/>
  <c r="AL81" i="1"/>
  <c r="AL80" i="1"/>
  <c r="AL79" i="1"/>
  <c r="AL77" i="1"/>
  <c r="AN83" i="1"/>
  <c r="AL83" i="1"/>
  <c r="AL84" i="1"/>
  <c r="AL86" i="1"/>
  <c r="AL87" i="1"/>
  <c r="AL85" i="1"/>
  <c r="J106" i="80"/>
  <c r="G147" i="88"/>
  <c r="E147" i="88"/>
  <c r="C147" i="88"/>
  <c r="G130" i="88"/>
  <c r="E130" i="88"/>
  <c r="G113" i="88"/>
  <c r="E113" i="88"/>
  <c r="C113" i="88" s="1"/>
  <c r="G94" i="88"/>
  <c r="E94" i="88"/>
  <c r="C94" i="88" s="1"/>
  <c r="G77" i="88"/>
  <c r="E77" i="88"/>
  <c r="C77" i="88"/>
  <c r="O127" i="1"/>
  <c r="K127" i="1"/>
  <c r="N127" i="1" s="1"/>
  <c r="V35" i="61" l="1"/>
  <c r="C130" i="88"/>
  <c r="AL73" i="1"/>
  <c r="AL64" i="1"/>
  <c r="AL65" i="1"/>
  <c r="AL66" i="1"/>
  <c r="AL67" i="1"/>
  <c r="AL68" i="1"/>
  <c r="AL69" i="1"/>
  <c r="AL70" i="1"/>
  <c r="AL71" i="1"/>
  <c r="AL72" i="1"/>
  <c r="AL76" i="1"/>
  <c r="AL75" i="1"/>
  <c r="AL74" i="1"/>
  <c r="AL63" i="1"/>
  <c r="AL62" i="1"/>
  <c r="J49" i="80"/>
  <c r="F113" i="50"/>
  <c r="F114" i="50"/>
  <c r="F115" i="50"/>
  <c r="F116" i="50"/>
  <c r="F117" i="50"/>
  <c r="F118" i="50"/>
  <c r="F119" i="50"/>
  <c r="F120" i="50"/>
  <c r="F121" i="50"/>
  <c r="F122" i="50"/>
  <c r="F123" i="50"/>
  <c r="F124" i="50"/>
  <c r="F125" i="50"/>
  <c r="F126" i="50"/>
  <c r="F127" i="50"/>
  <c r="F128" i="50"/>
  <c r="B113" i="50"/>
  <c r="C113" i="50"/>
  <c r="D113" i="50"/>
  <c r="B114" i="50"/>
  <c r="C114" i="50"/>
  <c r="D114" i="50"/>
  <c r="B115" i="50"/>
  <c r="C115" i="50"/>
  <c r="D115" i="50"/>
  <c r="B116" i="50"/>
  <c r="C116" i="50"/>
  <c r="D116" i="50"/>
  <c r="B117" i="50"/>
  <c r="C117" i="50"/>
  <c r="D117" i="50"/>
  <c r="B118" i="50"/>
  <c r="C118" i="50"/>
  <c r="D118" i="50"/>
  <c r="B119" i="50"/>
  <c r="C119" i="50"/>
  <c r="D119" i="50"/>
  <c r="B120" i="50"/>
  <c r="C120" i="50"/>
  <c r="D120" i="50"/>
  <c r="B121" i="50"/>
  <c r="C121" i="50"/>
  <c r="D121" i="50"/>
  <c r="B122" i="50"/>
  <c r="C122" i="50"/>
  <c r="D122" i="50"/>
  <c r="B123" i="50"/>
  <c r="C123" i="50"/>
  <c r="D123" i="50"/>
  <c r="B124" i="50"/>
  <c r="C124" i="50"/>
  <c r="D124" i="50"/>
  <c r="B125" i="50"/>
  <c r="C125" i="50"/>
  <c r="D125" i="50"/>
  <c r="B126" i="50"/>
  <c r="C126" i="50"/>
  <c r="D126" i="50"/>
  <c r="B127" i="50"/>
  <c r="C127" i="50"/>
  <c r="D127" i="50"/>
  <c r="B128" i="50"/>
  <c r="C128" i="50"/>
  <c r="D128" i="50"/>
  <c r="F112" i="50"/>
  <c r="C112" i="50"/>
  <c r="B112" i="50"/>
  <c r="AL55" i="1"/>
  <c r="AL57" i="1"/>
  <c r="AL61" i="1"/>
  <c r="AL60" i="1"/>
  <c r="D51" i="92"/>
  <c r="R44" i="92" s="1"/>
  <c r="U44" i="92" s="1"/>
  <c r="W44" i="92" s="1"/>
  <c r="C51" i="92"/>
  <c r="D100" i="92"/>
  <c r="C100" i="92"/>
  <c r="B100" i="92"/>
  <c r="D99" i="92"/>
  <c r="C99" i="92"/>
  <c r="B99" i="92"/>
  <c r="D98" i="92"/>
  <c r="C98" i="92"/>
  <c r="B98" i="92"/>
  <c r="D97" i="92"/>
  <c r="C97" i="92"/>
  <c r="B97" i="92"/>
  <c r="D96" i="92"/>
  <c r="C96" i="92"/>
  <c r="B96" i="92"/>
  <c r="D95" i="92"/>
  <c r="C95" i="92"/>
  <c r="B95" i="92"/>
  <c r="D94" i="92"/>
  <c r="C94" i="92"/>
  <c r="B94" i="92"/>
  <c r="D93" i="92"/>
  <c r="C93" i="92"/>
  <c r="B93" i="92"/>
  <c r="D92" i="92"/>
  <c r="C92" i="92"/>
  <c r="B92" i="92"/>
  <c r="D91" i="92"/>
  <c r="C91" i="92"/>
  <c r="B91" i="92"/>
  <c r="D90" i="92"/>
  <c r="C90" i="92"/>
  <c r="B90" i="92"/>
  <c r="D89" i="92"/>
  <c r="C89" i="92"/>
  <c r="B89" i="92"/>
  <c r="D88" i="92"/>
  <c r="C88" i="92"/>
  <c r="B88" i="92"/>
  <c r="D87" i="92"/>
  <c r="C87" i="92"/>
  <c r="B87" i="92"/>
  <c r="C86" i="92"/>
  <c r="B86" i="92"/>
  <c r="D79" i="92"/>
  <c r="C79" i="92"/>
  <c r="B79" i="92"/>
  <c r="D78" i="92"/>
  <c r="C78" i="92"/>
  <c r="B78" i="92"/>
  <c r="D77" i="92"/>
  <c r="C77" i="92"/>
  <c r="B77" i="92"/>
  <c r="D76" i="92"/>
  <c r="C76" i="92"/>
  <c r="B76" i="92"/>
  <c r="D75" i="92"/>
  <c r="C75" i="92"/>
  <c r="B75" i="92"/>
  <c r="D74" i="92"/>
  <c r="C74" i="92"/>
  <c r="B74" i="92"/>
  <c r="D73" i="92"/>
  <c r="C73" i="92"/>
  <c r="B73" i="92"/>
  <c r="D72" i="92"/>
  <c r="C72" i="92"/>
  <c r="B72" i="92"/>
  <c r="D71" i="92"/>
  <c r="C71" i="92"/>
  <c r="B71" i="92"/>
  <c r="D70" i="92"/>
  <c r="C70" i="92"/>
  <c r="B70" i="92"/>
  <c r="D69" i="92"/>
  <c r="C69" i="92"/>
  <c r="B69" i="92"/>
  <c r="D68" i="92"/>
  <c r="C68" i="92"/>
  <c r="B68" i="92"/>
  <c r="D67" i="92"/>
  <c r="C67" i="92"/>
  <c r="B67" i="92"/>
  <c r="D66" i="92"/>
  <c r="C66" i="92"/>
  <c r="B66" i="92"/>
  <c r="C65" i="92"/>
  <c r="B65" i="92"/>
  <c r="B66" i="89"/>
  <c r="C66" i="89"/>
  <c r="D66" i="89"/>
  <c r="F66" i="89"/>
  <c r="B67" i="89"/>
  <c r="C67" i="89"/>
  <c r="D67" i="89"/>
  <c r="F67" i="89"/>
  <c r="B68" i="89"/>
  <c r="C68" i="89"/>
  <c r="D68" i="89"/>
  <c r="F68" i="89"/>
  <c r="B69" i="89"/>
  <c r="C69" i="89"/>
  <c r="D69" i="89"/>
  <c r="F69" i="89"/>
  <c r="F65" i="89"/>
  <c r="C65" i="89"/>
  <c r="D65" i="89"/>
  <c r="B65" i="89"/>
  <c r="AN11" i="1"/>
  <c r="AL11" i="1"/>
  <c r="AN26" i="1"/>
  <c r="F70" i="91"/>
  <c r="D70" i="91"/>
  <c r="C70" i="91"/>
  <c r="B70" i="91"/>
  <c r="F69" i="91"/>
  <c r="D69" i="91"/>
  <c r="C69" i="91"/>
  <c r="B69" i="91"/>
  <c r="F68" i="91"/>
  <c r="D68" i="91"/>
  <c r="C68" i="91"/>
  <c r="B68" i="91"/>
  <c r="F67" i="91"/>
  <c r="D67" i="91"/>
  <c r="C67" i="91"/>
  <c r="B67" i="91"/>
  <c r="F66" i="91"/>
  <c r="D66" i="91"/>
  <c r="C66" i="91"/>
  <c r="B66" i="91"/>
  <c r="F65" i="91"/>
  <c r="D65" i="91"/>
  <c r="C65" i="91"/>
  <c r="B65" i="91"/>
  <c r="D51" i="91"/>
  <c r="C51" i="91"/>
  <c r="D51" i="89"/>
  <c r="C51" i="89"/>
  <c r="J3" i="80"/>
  <c r="E37" i="3"/>
  <c r="AL16" i="1"/>
  <c r="AL58" i="1"/>
  <c r="AL56" i="1"/>
  <c r="AL59" i="1"/>
  <c r="AL53" i="1"/>
  <c r="AL52" i="1"/>
  <c r="AL51" i="1"/>
  <c r="AL50" i="1"/>
  <c r="AL49" i="1"/>
  <c r="AL47" i="1"/>
  <c r="AL46" i="1"/>
  <c r="AL35" i="1"/>
  <c r="AL33" i="1"/>
  <c r="AL31" i="1"/>
  <c r="AL30" i="1"/>
  <c r="AL29" i="1"/>
  <c r="AL19" i="1"/>
  <c r="AL17" i="1"/>
  <c r="AL15" i="1"/>
  <c r="AL14" i="1"/>
  <c r="AL13" i="1"/>
  <c r="AL10" i="1"/>
  <c r="AL9" i="1"/>
  <c r="AL8" i="1"/>
  <c r="AL7" i="1"/>
  <c r="AL6" i="1"/>
  <c r="AL4" i="1"/>
  <c r="L9" i="2"/>
  <c r="K9" i="2"/>
  <c r="L7" i="2"/>
  <c r="K7" i="2"/>
  <c r="L31" i="2"/>
  <c r="K31" i="2"/>
  <c r="J98" i="80"/>
  <c r="J99" i="80"/>
  <c r="J100" i="80"/>
  <c r="J101" i="80"/>
  <c r="J112" i="80"/>
  <c r="N100" i="80" s="1"/>
  <c r="J109" i="80"/>
  <c r="N98" i="80" s="1"/>
  <c r="J105" i="80"/>
  <c r="N99" i="80" s="1"/>
  <c r="J97" i="80"/>
  <c r="J92" i="80"/>
  <c r="N80" i="80" s="1"/>
  <c r="J87" i="80"/>
  <c r="J88" i="80"/>
  <c r="J89" i="80"/>
  <c r="J90" i="80"/>
  <c r="J84" i="80"/>
  <c r="N82" i="80" s="1"/>
  <c r="J86" i="80"/>
  <c r="J80" i="80"/>
  <c r="J81" i="80"/>
  <c r="J79" i="80"/>
  <c r="J73" i="80"/>
  <c r="J74" i="80"/>
  <c r="J72" i="80"/>
  <c r="J61" i="80"/>
  <c r="J62" i="80"/>
  <c r="J63" i="80"/>
  <c r="J64" i="80"/>
  <c r="J65" i="80"/>
  <c r="J60" i="80"/>
  <c r="J55" i="80"/>
  <c r="N39" i="80" s="1"/>
  <c r="J52" i="80"/>
  <c r="N41" i="80" s="1"/>
  <c r="J48" i="80"/>
  <c r="J47" i="80"/>
  <c r="J39" i="80"/>
  <c r="J40" i="80"/>
  <c r="J41" i="80"/>
  <c r="J42" i="80"/>
  <c r="J43" i="80"/>
  <c r="J44" i="80"/>
  <c r="J33" i="80"/>
  <c r="N23" i="80" s="1"/>
  <c r="J30" i="80"/>
  <c r="N22" i="80" s="1"/>
  <c r="J27" i="80"/>
  <c r="J26" i="80"/>
  <c r="J21" i="80"/>
  <c r="J22" i="80"/>
  <c r="J23" i="80"/>
  <c r="J20" i="80"/>
  <c r="J15" i="80"/>
  <c r="N5" i="80" s="1"/>
  <c r="J11" i="80"/>
  <c r="J12" i="80"/>
  <c r="J10" i="80"/>
  <c r="J4" i="80"/>
  <c r="J5" i="80"/>
  <c r="J6" i="80"/>
  <c r="J7" i="80"/>
  <c r="B66" i="22"/>
  <c r="C66" i="22"/>
  <c r="D66" i="22"/>
  <c r="F66" i="22"/>
  <c r="G144" i="16"/>
  <c r="E144" i="16"/>
  <c r="K114" i="1"/>
  <c r="K110" i="1"/>
  <c r="F145" i="88"/>
  <c r="D145" i="88"/>
  <c r="C145" i="88"/>
  <c r="B145" i="88"/>
  <c r="F144" i="88"/>
  <c r="D144" i="88"/>
  <c r="C144" i="88"/>
  <c r="B144" i="88"/>
  <c r="F143" i="88"/>
  <c r="D143" i="88"/>
  <c r="C143" i="88"/>
  <c r="B143" i="88"/>
  <c r="F142" i="88"/>
  <c r="D142" i="88"/>
  <c r="C142" i="88"/>
  <c r="B142" i="88"/>
  <c r="F141" i="88"/>
  <c r="D141" i="88"/>
  <c r="C141" i="88"/>
  <c r="B141" i="88"/>
  <c r="F140" i="88"/>
  <c r="D140" i="88"/>
  <c r="C140" i="88"/>
  <c r="B140" i="88"/>
  <c r="F139" i="88"/>
  <c r="D139" i="88"/>
  <c r="C139" i="88"/>
  <c r="B139" i="88"/>
  <c r="F138" i="88"/>
  <c r="D138" i="88"/>
  <c r="C138" i="88"/>
  <c r="B138" i="88"/>
  <c r="F137" i="88"/>
  <c r="D137" i="88"/>
  <c r="C137" i="88"/>
  <c r="B137" i="88"/>
  <c r="F136" i="88"/>
  <c r="D136" i="88"/>
  <c r="C136" i="88"/>
  <c r="B136" i="88"/>
  <c r="F135" i="88"/>
  <c r="C135" i="88"/>
  <c r="B135" i="88"/>
  <c r="F128" i="88"/>
  <c r="D128" i="88"/>
  <c r="C128" i="88"/>
  <c r="B128" i="88"/>
  <c r="F127" i="88"/>
  <c r="D127" i="88"/>
  <c r="C127" i="88"/>
  <c r="B127" i="88"/>
  <c r="F126" i="88"/>
  <c r="D126" i="88"/>
  <c r="C126" i="88"/>
  <c r="B126" i="88"/>
  <c r="F125" i="88"/>
  <c r="D125" i="88"/>
  <c r="C125" i="88"/>
  <c r="B125" i="88"/>
  <c r="F124" i="88"/>
  <c r="D124" i="88"/>
  <c r="C124" i="88"/>
  <c r="B124" i="88"/>
  <c r="F123" i="88"/>
  <c r="D123" i="88"/>
  <c r="C123" i="88"/>
  <c r="B123" i="88"/>
  <c r="F122" i="88"/>
  <c r="D122" i="88"/>
  <c r="C122" i="88"/>
  <c r="B122" i="88"/>
  <c r="F121" i="88"/>
  <c r="D121" i="88"/>
  <c r="C121" i="88"/>
  <c r="B121" i="88"/>
  <c r="F120" i="88"/>
  <c r="D120" i="88"/>
  <c r="C120" i="88"/>
  <c r="B120" i="88"/>
  <c r="F119" i="88"/>
  <c r="D119" i="88"/>
  <c r="C119" i="88"/>
  <c r="B119" i="88"/>
  <c r="F118" i="88"/>
  <c r="C118" i="88"/>
  <c r="B118" i="88"/>
  <c r="F111" i="88"/>
  <c r="D111" i="88"/>
  <c r="C111" i="88"/>
  <c r="B111" i="88"/>
  <c r="F110" i="88"/>
  <c r="D110" i="88"/>
  <c r="C110" i="88"/>
  <c r="B110" i="88"/>
  <c r="F109" i="88"/>
  <c r="D109" i="88"/>
  <c r="C109" i="88"/>
  <c r="B109" i="88"/>
  <c r="F108" i="88"/>
  <c r="D108" i="88"/>
  <c r="C108" i="88"/>
  <c r="B108" i="88"/>
  <c r="F107" i="88"/>
  <c r="D107" i="88"/>
  <c r="C107" i="88"/>
  <c r="B107" i="88"/>
  <c r="F106" i="88"/>
  <c r="D106" i="88"/>
  <c r="C106" i="88"/>
  <c r="B106" i="88"/>
  <c r="F105" i="88"/>
  <c r="D105" i="88"/>
  <c r="C105" i="88"/>
  <c r="B105" i="88"/>
  <c r="F104" i="88"/>
  <c r="D104" i="88"/>
  <c r="C104" i="88"/>
  <c r="B104" i="88"/>
  <c r="F103" i="88"/>
  <c r="D103" i="88"/>
  <c r="C103" i="88"/>
  <c r="B103" i="88"/>
  <c r="F102" i="88"/>
  <c r="D102" i="88"/>
  <c r="C102" i="88"/>
  <c r="B102" i="88"/>
  <c r="F101" i="88"/>
  <c r="C101" i="88"/>
  <c r="B101" i="88"/>
  <c r="F92" i="88"/>
  <c r="D92" i="88"/>
  <c r="C92" i="88"/>
  <c r="B92" i="88"/>
  <c r="F91" i="88"/>
  <c r="D91" i="88"/>
  <c r="C91" i="88"/>
  <c r="B91" i="88"/>
  <c r="F90" i="88"/>
  <c r="D90" i="88"/>
  <c r="C90" i="88"/>
  <c r="B90" i="88"/>
  <c r="F89" i="88"/>
  <c r="D89" i="88"/>
  <c r="C89" i="88"/>
  <c r="B89" i="88"/>
  <c r="F88" i="88"/>
  <c r="D88" i="88"/>
  <c r="C88" i="88"/>
  <c r="B88" i="88"/>
  <c r="F87" i="88"/>
  <c r="D87" i="88"/>
  <c r="C87" i="88"/>
  <c r="B87" i="88"/>
  <c r="F86" i="88"/>
  <c r="D86" i="88"/>
  <c r="C86" i="88"/>
  <c r="B86" i="88"/>
  <c r="F85" i="88"/>
  <c r="D85" i="88"/>
  <c r="C85" i="88"/>
  <c r="B85" i="88"/>
  <c r="F84" i="88"/>
  <c r="D84" i="88"/>
  <c r="C84" i="88"/>
  <c r="B84" i="88"/>
  <c r="F83" i="88"/>
  <c r="D83" i="88"/>
  <c r="C83" i="88"/>
  <c r="B83" i="88"/>
  <c r="F82" i="88"/>
  <c r="C82" i="88"/>
  <c r="B82" i="88"/>
  <c r="F75" i="88"/>
  <c r="D75" i="88"/>
  <c r="C75" i="88"/>
  <c r="B75" i="88"/>
  <c r="F74" i="88"/>
  <c r="D74" i="88"/>
  <c r="C74" i="88"/>
  <c r="B74" i="88"/>
  <c r="F73" i="88"/>
  <c r="D73" i="88"/>
  <c r="C73" i="88"/>
  <c r="B73" i="88"/>
  <c r="F72" i="88"/>
  <c r="D72" i="88"/>
  <c r="C72" i="88"/>
  <c r="B72" i="88"/>
  <c r="F71" i="88"/>
  <c r="D71" i="88"/>
  <c r="C71" i="88"/>
  <c r="B71" i="88"/>
  <c r="F70" i="88"/>
  <c r="D70" i="88"/>
  <c r="C70" i="88"/>
  <c r="B70" i="88"/>
  <c r="F69" i="88"/>
  <c r="D69" i="88"/>
  <c r="C69" i="88"/>
  <c r="B69" i="88"/>
  <c r="F68" i="88"/>
  <c r="D68" i="88"/>
  <c r="C68" i="88"/>
  <c r="B68" i="88"/>
  <c r="F67" i="88"/>
  <c r="D67" i="88"/>
  <c r="C67" i="88"/>
  <c r="B67" i="88"/>
  <c r="F66" i="88"/>
  <c r="D66" i="88"/>
  <c r="C66" i="88"/>
  <c r="B66" i="88"/>
  <c r="F65" i="88"/>
  <c r="C65" i="88"/>
  <c r="B65" i="88"/>
  <c r="V44" i="88"/>
  <c r="U44" i="88"/>
  <c r="E37" i="88"/>
  <c r="S29" i="88"/>
  <c r="T29" i="88" s="1"/>
  <c r="AA28" i="88"/>
  <c r="S28" i="88"/>
  <c r="R25" i="88"/>
  <c r="G90" i="66"/>
  <c r="E90" i="66"/>
  <c r="G107" i="66"/>
  <c r="E107" i="66"/>
  <c r="E123" i="66"/>
  <c r="G123" i="66"/>
  <c r="G155" i="66"/>
  <c r="G139" i="66"/>
  <c r="E155" i="66"/>
  <c r="E139" i="66"/>
  <c r="D55" i="11"/>
  <c r="D54" i="11"/>
  <c r="D53" i="11"/>
  <c r="G98" i="77"/>
  <c r="E98" i="77"/>
  <c r="G84" i="77"/>
  <c r="E84" i="77"/>
  <c r="G72" i="77"/>
  <c r="C72" i="77" s="1"/>
  <c r="E72" i="77"/>
  <c r="U30" i="72"/>
  <c r="T30" i="72" s="1"/>
  <c r="U28" i="72"/>
  <c r="T29" i="72" s="1"/>
  <c r="S30" i="73"/>
  <c r="S28" i="73"/>
  <c r="G75" i="66"/>
  <c r="E75" i="66"/>
  <c r="E119" i="51"/>
  <c r="E138" i="51"/>
  <c r="G138" i="51"/>
  <c r="G119" i="51"/>
  <c r="G98" i="51"/>
  <c r="E98" i="51"/>
  <c r="C98" i="51"/>
  <c r="G79" i="51"/>
  <c r="C79" i="51" s="1"/>
  <c r="E79" i="51"/>
  <c r="E37" i="79"/>
  <c r="D51" i="42"/>
  <c r="C51" i="42"/>
  <c r="D5" i="36"/>
  <c r="G95" i="35"/>
  <c r="C95" i="35" s="1"/>
  <c r="E95" i="35"/>
  <c r="G81" i="35"/>
  <c r="E81" i="35"/>
  <c r="C81" i="35"/>
  <c r="G71" i="35"/>
  <c r="E71" i="35"/>
  <c r="G98" i="34"/>
  <c r="E98" i="34"/>
  <c r="G84" i="34"/>
  <c r="E84" i="34"/>
  <c r="G72" i="34"/>
  <c r="E72" i="34"/>
  <c r="D51" i="31"/>
  <c r="C51" i="31"/>
  <c r="C144" i="16"/>
  <c r="B144" i="16"/>
  <c r="B101" i="10"/>
  <c r="C101" i="10"/>
  <c r="D101" i="10"/>
  <c r="B102" i="10"/>
  <c r="C102" i="10"/>
  <c r="D102" i="10"/>
  <c r="B103" i="10"/>
  <c r="C103" i="10"/>
  <c r="D103" i="10"/>
  <c r="B104" i="10"/>
  <c r="C104" i="10"/>
  <c r="D104" i="10"/>
  <c r="C100" i="10"/>
  <c r="F101" i="10"/>
  <c r="F102" i="10"/>
  <c r="F103" i="10"/>
  <c r="F104" i="10"/>
  <c r="F100" i="10"/>
  <c r="B100" i="10"/>
  <c r="S32" i="73" l="1"/>
  <c r="N97" i="80"/>
  <c r="N81" i="80"/>
  <c r="N79" i="80"/>
  <c r="N61" i="80"/>
  <c r="N60" i="80"/>
  <c r="N40" i="80"/>
  <c r="N38" i="80"/>
  <c r="N21" i="80"/>
  <c r="N20" i="80"/>
  <c r="N4" i="80"/>
  <c r="N3" i="80"/>
  <c r="D86" i="92"/>
  <c r="J51" i="92"/>
  <c r="I51" i="92" s="1"/>
  <c r="H51" i="92" s="1"/>
  <c r="V44" i="92"/>
  <c r="S30" i="92"/>
  <c r="J52" i="92" s="1"/>
  <c r="T30" i="92"/>
  <c r="E1" i="89"/>
  <c r="T29" i="89"/>
  <c r="T28" i="91"/>
  <c r="T29" i="91"/>
  <c r="T28" i="89"/>
  <c r="N9" i="2"/>
  <c r="O9" i="2"/>
  <c r="N7" i="2"/>
  <c r="O7" i="2"/>
  <c r="N31" i="2"/>
  <c r="O31" i="2"/>
  <c r="N110" i="1"/>
  <c r="O114" i="1"/>
  <c r="N114" i="1"/>
  <c r="O110" i="1"/>
  <c r="T28" i="88"/>
  <c r="W44" i="88"/>
  <c r="J51" i="88" s="1"/>
  <c r="I51" i="88" s="1"/>
  <c r="D5" i="88" s="1"/>
  <c r="S30" i="88"/>
  <c r="F37" i="88"/>
  <c r="H37" i="88" s="1"/>
  <c r="C90" i="66"/>
  <c r="F37" i="79"/>
  <c r="C98" i="77"/>
  <c r="C84" i="77"/>
  <c r="C155" i="66"/>
  <c r="C139" i="66"/>
  <c r="C123" i="66"/>
  <c r="C107" i="66"/>
  <c r="C75" i="66"/>
  <c r="C138" i="51"/>
  <c r="C119" i="51"/>
  <c r="T28" i="39"/>
  <c r="T29" i="39"/>
  <c r="C71" i="35"/>
  <c r="C98" i="34"/>
  <c r="C84" i="34"/>
  <c r="C72" i="34"/>
  <c r="H144" i="16"/>
  <c r="AO1" i="53"/>
  <c r="G1" i="89" l="1"/>
  <c r="I1" i="89" s="1"/>
  <c r="D52" i="89"/>
  <c r="B71" i="89" s="1"/>
  <c r="K37" i="88"/>
  <c r="U28" i="88"/>
  <c r="U30" i="88" s="1"/>
  <c r="J53" i="92"/>
  <c r="B81" i="92" s="1"/>
  <c r="I52" i="92"/>
  <c r="H52" i="92" s="1"/>
  <c r="U30" i="92"/>
  <c r="E1" i="92" s="1"/>
  <c r="G1" i="92" s="1"/>
  <c r="I1" i="92" s="1"/>
  <c r="C52" i="92" s="1"/>
  <c r="E1" i="91"/>
  <c r="T30" i="89"/>
  <c r="H37" i="79"/>
  <c r="T30" i="39"/>
  <c r="AC28" i="88"/>
  <c r="AC29" i="88" s="1"/>
  <c r="D118" i="88"/>
  <c r="D65" i="88"/>
  <c r="D82" i="88"/>
  <c r="D101" i="88"/>
  <c r="D135" i="88"/>
  <c r="J52" i="88"/>
  <c r="D1" i="88"/>
  <c r="T30" i="88"/>
  <c r="D51" i="38"/>
  <c r="D51" i="39"/>
  <c r="C51" i="39"/>
  <c r="D51" i="40"/>
  <c r="D51" i="24"/>
  <c r="D51" i="14"/>
  <c r="D51" i="13"/>
  <c r="C51" i="13"/>
  <c r="D51" i="12"/>
  <c r="C51" i="12"/>
  <c r="D51" i="82"/>
  <c r="C51" i="82"/>
  <c r="B132" i="16"/>
  <c r="C132" i="16"/>
  <c r="D132" i="16"/>
  <c r="F132" i="16"/>
  <c r="G132" i="16"/>
  <c r="B133" i="16"/>
  <c r="C133" i="16"/>
  <c r="D133" i="16"/>
  <c r="F133" i="16"/>
  <c r="B134" i="16"/>
  <c r="C134" i="16"/>
  <c r="D134" i="16"/>
  <c r="F134" i="16"/>
  <c r="B135" i="16"/>
  <c r="C135" i="16"/>
  <c r="D135" i="16"/>
  <c r="F135" i="16"/>
  <c r="G135" i="16"/>
  <c r="B136" i="16"/>
  <c r="C136" i="16"/>
  <c r="D136" i="16"/>
  <c r="F136" i="16"/>
  <c r="B137" i="16"/>
  <c r="C137" i="16"/>
  <c r="D137" i="16"/>
  <c r="F137" i="16"/>
  <c r="G137" i="16"/>
  <c r="B138" i="16"/>
  <c r="C138" i="16"/>
  <c r="D138" i="16"/>
  <c r="F138" i="16"/>
  <c r="G138" i="16"/>
  <c r="B139" i="16"/>
  <c r="C139" i="16"/>
  <c r="D139" i="16"/>
  <c r="F139" i="16"/>
  <c r="B140" i="16"/>
  <c r="C140" i="16"/>
  <c r="D140" i="16"/>
  <c r="G140" i="16" s="1"/>
  <c r="F140" i="16"/>
  <c r="B141" i="16"/>
  <c r="C141" i="16"/>
  <c r="D141" i="16"/>
  <c r="F141" i="16"/>
  <c r="G141" i="16"/>
  <c r="B142" i="16"/>
  <c r="C142" i="16"/>
  <c r="D142" i="16"/>
  <c r="F142" i="16"/>
  <c r="B114" i="16"/>
  <c r="C114" i="16"/>
  <c r="D114" i="16"/>
  <c r="F114" i="16"/>
  <c r="B115" i="16"/>
  <c r="C115" i="16"/>
  <c r="D115" i="16"/>
  <c r="F115" i="16"/>
  <c r="B116" i="16"/>
  <c r="C116" i="16"/>
  <c r="D116" i="16"/>
  <c r="F116" i="16"/>
  <c r="B117" i="16"/>
  <c r="C117" i="16"/>
  <c r="D117" i="16"/>
  <c r="F117" i="16"/>
  <c r="B118" i="16"/>
  <c r="C118" i="16"/>
  <c r="D118" i="16"/>
  <c r="F118" i="16"/>
  <c r="B119" i="16"/>
  <c r="C119" i="16"/>
  <c r="D119" i="16"/>
  <c r="F119" i="16"/>
  <c r="B120" i="16"/>
  <c r="C120" i="16"/>
  <c r="D120" i="16"/>
  <c r="F120" i="16"/>
  <c r="B121" i="16"/>
  <c r="C121" i="16"/>
  <c r="D121" i="16"/>
  <c r="F121" i="16"/>
  <c r="B99" i="16"/>
  <c r="C99" i="16"/>
  <c r="D99" i="16"/>
  <c r="F99" i="16"/>
  <c r="B95" i="16"/>
  <c r="C95" i="16"/>
  <c r="D95" i="16"/>
  <c r="F95" i="16"/>
  <c r="B96" i="16"/>
  <c r="C96" i="16"/>
  <c r="D96" i="16"/>
  <c r="F96" i="16"/>
  <c r="B97" i="16"/>
  <c r="C97" i="16"/>
  <c r="D97" i="16"/>
  <c r="F97" i="16"/>
  <c r="B98" i="16"/>
  <c r="C98" i="16"/>
  <c r="D98" i="16"/>
  <c r="F98" i="16"/>
  <c r="B78" i="16"/>
  <c r="C78" i="16"/>
  <c r="D78" i="16"/>
  <c r="F78" i="16"/>
  <c r="B79" i="16"/>
  <c r="C79" i="16"/>
  <c r="D79" i="16"/>
  <c r="F79" i="16"/>
  <c r="B75" i="16"/>
  <c r="C75" i="16"/>
  <c r="D75" i="16"/>
  <c r="F75" i="16"/>
  <c r="B76" i="16"/>
  <c r="C76" i="16"/>
  <c r="D76" i="16"/>
  <c r="F76" i="16"/>
  <c r="B77" i="16"/>
  <c r="C77" i="16"/>
  <c r="D77" i="16"/>
  <c r="F77" i="16"/>
  <c r="AN28" i="1"/>
  <c r="AN29" i="1"/>
  <c r="AN30" i="1"/>
  <c r="AN31" i="1"/>
  <c r="AN32" i="1"/>
  <c r="AN33" i="1"/>
  <c r="AN34" i="1"/>
  <c r="AN35" i="1"/>
  <c r="AN36" i="1"/>
  <c r="AN37" i="1"/>
  <c r="AN39" i="1"/>
  <c r="AN40" i="1"/>
  <c r="AN41" i="1"/>
  <c r="AN42" i="1"/>
  <c r="AN43" i="1"/>
  <c r="AN44" i="1"/>
  <c r="AN45" i="1"/>
  <c r="AN46" i="1"/>
  <c r="AN47" i="1"/>
  <c r="AN48" i="1"/>
  <c r="AN49" i="1"/>
  <c r="AN50" i="1"/>
  <c r="AN51" i="1"/>
  <c r="AN52" i="1"/>
  <c r="AN53" i="1"/>
  <c r="AN54" i="1"/>
  <c r="AN55" i="1"/>
  <c r="AN56" i="1"/>
  <c r="AN57" i="1"/>
  <c r="AN58" i="1"/>
  <c r="AN59" i="1"/>
  <c r="AN60" i="1"/>
  <c r="AN61" i="1"/>
  <c r="AN62" i="1"/>
  <c r="AN63" i="1"/>
  <c r="AN64" i="1"/>
  <c r="AN65" i="1"/>
  <c r="AN66" i="1"/>
  <c r="AN67" i="1"/>
  <c r="AN68" i="1"/>
  <c r="AN69" i="1"/>
  <c r="AN70" i="1"/>
  <c r="AN71" i="1"/>
  <c r="AN72" i="1"/>
  <c r="AN73" i="1"/>
  <c r="AN74" i="1"/>
  <c r="AN75" i="1"/>
  <c r="AN76" i="1"/>
  <c r="AN77" i="1"/>
  <c r="AN78" i="1"/>
  <c r="AN79" i="1"/>
  <c r="AN80" i="1"/>
  <c r="AN81" i="1"/>
  <c r="AN82" i="1"/>
  <c r="AN84" i="1"/>
  <c r="AN85" i="1"/>
  <c r="AN20" i="1"/>
  <c r="AN19" i="1"/>
  <c r="E37" i="72"/>
  <c r="F37" i="72" s="1"/>
  <c r="H37" i="72" s="1"/>
  <c r="E38" i="71"/>
  <c r="F38" i="71" s="1"/>
  <c r="H38" i="71" s="1"/>
  <c r="K38" i="71" s="1"/>
  <c r="L38" i="71" s="1"/>
  <c r="E37" i="71"/>
  <c r="F37" i="71" s="1"/>
  <c r="E38" i="70"/>
  <c r="F38" i="70" s="1"/>
  <c r="E37" i="70"/>
  <c r="F37" i="70" s="1"/>
  <c r="H37" i="70" s="1"/>
  <c r="E37" i="69"/>
  <c r="F37" i="69" s="1"/>
  <c r="H37" i="69" s="1"/>
  <c r="D52" i="91" l="1"/>
  <c r="B72" i="91" s="1"/>
  <c r="G1" i="91"/>
  <c r="I1" i="91" s="1"/>
  <c r="K37" i="72"/>
  <c r="L37" i="72" s="1"/>
  <c r="W35" i="72" s="1"/>
  <c r="W28" i="72"/>
  <c r="W32" i="72" s="1"/>
  <c r="H37" i="71"/>
  <c r="K37" i="71" s="1"/>
  <c r="L37" i="71" s="1"/>
  <c r="W35" i="71" s="1"/>
  <c r="W28" i="71"/>
  <c r="W32" i="71" s="1"/>
  <c r="K37" i="70"/>
  <c r="L37" i="70" s="1"/>
  <c r="K37" i="69"/>
  <c r="L37" i="69" s="1"/>
  <c r="W35" i="69" s="1"/>
  <c r="W28" i="69"/>
  <c r="W32" i="69" s="1"/>
  <c r="K37" i="79"/>
  <c r="L37" i="79" s="1"/>
  <c r="W35" i="79" s="1"/>
  <c r="W28" i="79"/>
  <c r="W32" i="79" s="1"/>
  <c r="I53" i="92"/>
  <c r="H53" i="92"/>
  <c r="J54" i="92"/>
  <c r="B102" i="92" s="1"/>
  <c r="H5" i="88"/>
  <c r="K5" i="88" s="1"/>
  <c r="L5" i="88" s="1"/>
  <c r="G5" i="88"/>
  <c r="D52" i="92"/>
  <c r="E6" i="89"/>
  <c r="G6" i="89" s="1"/>
  <c r="H6" i="89" s="1"/>
  <c r="K6" i="89" s="1"/>
  <c r="L6" i="89" s="1"/>
  <c r="E7" i="89"/>
  <c r="G7" i="89" s="1"/>
  <c r="H7" i="89" s="1"/>
  <c r="K7" i="89" s="1"/>
  <c r="L7" i="89" s="1"/>
  <c r="E8" i="89"/>
  <c r="G8" i="89" s="1"/>
  <c r="H8" i="89" s="1"/>
  <c r="K8" i="89" s="1"/>
  <c r="L8" i="89" s="1"/>
  <c r="E9" i="89"/>
  <c r="G9" i="89" s="1"/>
  <c r="H9" i="89" s="1"/>
  <c r="K9" i="89" s="1"/>
  <c r="L9" i="89" s="1"/>
  <c r="E10" i="89"/>
  <c r="G10" i="89" s="1"/>
  <c r="H10" i="89" s="1"/>
  <c r="K10" i="89" s="1"/>
  <c r="L10" i="89" s="1"/>
  <c r="C52" i="89"/>
  <c r="I52" i="88"/>
  <c r="E5" i="88" s="1"/>
  <c r="J53" i="88"/>
  <c r="B77" i="88" s="1"/>
  <c r="H77" i="88" s="1"/>
  <c r="C51" i="38"/>
  <c r="H132" i="16"/>
  <c r="H138" i="16"/>
  <c r="G133" i="16"/>
  <c r="H133" i="16" s="1"/>
  <c r="G139" i="16"/>
  <c r="H139" i="16" s="1"/>
  <c r="H141" i="16"/>
  <c r="G136" i="16"/>
  <c r="H136" i="16" s="1"/>
  <c r="H140" i="16"/>
  <c r="G134" i="16"/>
  <c r="H134" i="16" s="1"/>
  <c r="G142" i="16"/>
  <c r="H142" i="16" s="1"/>
  <c r="H135" i="16"/>
  <c r="H137" i="16"/>
  <c r="H38" i="70"/>
  <c r="K38" i="70" s="1"/>
  <c r="L38" i="70" s="1"/>
  <c r="D51" i="54"/>
  <c r="D51" i="55"/>
  <c r="C51" i="55"/>
  <c r="W28" i="70" l="1"/>
  <c r="W32" i="70" s="1"/>
  <c r="W35" i="70"/>
  <c r="E66" i="89"/>
  <c r="E67" i="89"/>
  <c r="E68" i="89"/>
  <c r="E69" i="89"/>
  <c r="E65" i="89"/>
  <c r="S31" i="89"/>
  <c r="T31" i="89" s="1"/>
  <c r="AC25" i="89" s="1"/>
  <c r="H54" i="92"/>
  <c r="E65" i="92"/>
  <c r="I54" i="92"/>
  <c r="J55" i="92"/>
  <c r="I55" i="92" s="1"/>
  <c r="E7" i="92"/>
  <c r="G7" i="92" s="1"/>
  <c r="H7" i="92" s="1"/>
  <c r="K7" i="92" s="1"/>
  <c r="L7" i="92" s="1"/>
  <c r="E7" i="91"/>
  <c r="G7" i="91" s="1"/>
  <c r="H7" i="91" s="1"/>
  <c r="K7" i="91" s="1"/>
  <c r="L7" i="91" s="1"/>
  <c r="E10" i="91"/>
  <c r="G10" i="91" s="1"/>
  <c r="H10" i="91" s="1"/>
  <c r="K10" i="91" s="1"/>
  <c r="L10" i="91" s="1"/>
  <c r="E6" i="91"/>
  <c r="G6" i="91" s="1"/>
  <c r="H6" i="91" s="1"/>
  <c r="K6" i="91" s="1"/>
  <c r="L6" i="91" s="1"/>
  <c r="E11" i="91"/>
  <c r="G11" i="91" s="1"/>
  <c r="H11" i="91" s="1"/>
  <c r="K11" i="91" s="1"/>
  <c r="L11" i="91" s="1"/>
  <c r="E8" i="91"/>
  <c r="G8" i="91" s="1"/>
  <c r="H8" i="91" s="1"/>
  <c r="K8" i="91" s="1"/>
  <c r="L8" i="91" s="1"/>
  <c r="E13" i="92"/>
  <c r="G13" i="92" s="1"/>
  <c r="H13" i="92" s="1"/>
  <c r="K13" i="92" s="1"/>
  <c r="L13" i="92" s="1"/>
  <c r="E15" i="92"/>
  <c r="G15" i="92" s="1"/>
  <c r="H15" i="92" s="1"/>
  <c r="K15" i="92" s="1"/>
  <c r="E10" i="92"/>
  <c r="G10" i="92" s="1"/>
  <c r="H10" i="92" s="1"/>
  <c r="K10" i="92" s="1"/>
  <c r="L10" i="92" s="1"/>
  <c r="E12" i="92"/>
  <c r="G12" i="92" s="1"/>
  <c r="H12" i="92" s="1"/>
  <c r="K12" i="92" s="1"/>
  <c r="L12" i="92" s="1"/>
  <c r="E11" i="92"/>
  <c r="G11" i="92" s="1"/>
  <c r="H11" i="92" s="1"/>
  <c r="K11" i="92" s="1"/>
  <c r="L11" i="92" s="1"/>
  <c r="E6" i="92"/>
  <c r="G6" i="92" s="1"/>
  <c r="H6" i="92" s="1"/>
  <c r="K6" i="92" s="1"/>
  <c r="L6" i="92" s="1"/>
  <c r="E9" i="92"/>
  <c r="G9" i="92" s="1"/>
  <c r="H9" i="92" s="1"/>
  <c r="K9" i="92" s="1"/>
  <c r="L9" i="92" s="1"/>
  <c r="E8" i="92"/>
  <c r="G8" i="92" s="1"/>
  <c r="H8" i="92" s="1"/>
  <c r="K8" i="92" s="1"/>
  <c r="L8" i="92" s="1"/>
  <c r="E5" i="92"/>
  <c r="G5" i="92" s="1"/>
  <c r="H5" i="92" s="1"/>
  <c r="K5" i="92" s="1"/>
  <c r="L5" i="92" s="1"/>
  <c r="S33" i="92" s="1"/>
  <c r="C53" i="92"/>
  <c r="D53" i="92" s="1"/>
  <c r="E19" i="92"/>
  <c r="G19" i="92" s="1"/>
  <c r="H19" i="92" s="1"/>
  <c r="K19" i="92" s="1"/>
  <c r="L19" i="92" s="1"/>
  <c r="E17" i="92"/>
  <c r="G17" i="92" s="1"/>
  <c r="H17" i="92" s="1"/>
  <c r="K17" i="92" s="1"/>
  <c r="L17" i="92" s="1"/>
  <c r="E18" i="92"/>
  <c r="G18" i="92" s="1"/>
  <c r="H18" i="92" s="1"/>
  <c r="K18" i="92" s="1"/>
  <c r="L18" i="92" s="1"/>
  <c r="E16" i="92"/>
  <c r="G16" i="92" s="1"/>
  <c r="H16" i="92" s="1"/>
  <c r="K16" i="92" s="1"/>
  <c r="E14" i="92"/>
  <c r="G14" i="92" s="1"/>
  <c r="H14" i="92" s="1"/>
  <c r="K14" i="92" s="1"/>
  <c r="L14" i="92" s="1"/>
  <c r="C52" i="91"/>
  <c r="E9" i="91"/>
  <c r="G9" i="91" s="1"/>
  <c r="H9" i="91" s="1"/>
  <c r="K9" i="91" s="1"/>
  <c r="L9" i="91" s="1"/>
  <c r="C53" i="89"/>
  <c r="H52" i="88"/>
  <c r="I53" i="88"/>
  <c r="J54" i="88"/>
  <c r="B94" i="88" s="1"/>
  <c r="H94" i="88" s="1"/>
  <c r="E38" i="66"/>
  <c r="E37" i="66"/>
  <c r="E37" i="62"/>
  <c r="E38" i="60"/>
  <c r="E37" i="60"/>
  <c r="E37" i="59"/>
  <c r="E38" i="57"/>
  <c r="E37" i="57"/>
  <c r="E37" i="56"/>
  <c r="E38" i="49"/>
  <c r="E37" i="49"/>
  <c r="F37" i="49" s="1"/>
  <c r="H37" i="49" s="1"/>
  <c r="E38" i="48"/>
  <c r="E37" i="48"/>
  <c r="E37" i="47"/>
  <c r="E37" i="46"/>
  <c r="E37" i="44"/>
  <c r="E37" i="43"/>
  <c r="E37" i="41"/>
  <c r="F37" i="41" s="1"/>
  <c r="H37" i="41" s="1"/>
  <c r="D51" i="68"/>
  <c r="C51" i="83"/>
  <c r="D51" i="83"/>
  <c r="D51" i="78"/>
  <c r="B79" i="42"/>
  <c r="C79" i="42"/>
  <c r="D79" i="42"/>
  <c r="F79" i="42"/>
  <c r="B80" i="42"/>
  <c r="C80" i="42"/>
  <c r="D80" i="42"/>
  <c r="F80" i="42"/>
  <c r="B81" i="42"/>
  <c r="C81" i="42"/>
  <c r="D81" i="42"/>
  <c r="F81" i="42"/>
  <c r="B82" i="42"/>
  <c r="C82" i="42"/>
  <c r="D82" i="42"/>
  <c r="F82" i="42"/>
  <c r="B83" i="42"/>
  <c r="C83" i="42"/>
  <c r="D83" i="42"/>
  <c r="F83" i="42"/>
  <c r="B84" i="42"/>
  <c r="C84" i="42"/>
  <c r="D84" i="42"/>
  <c r="F84" i="42"/>
  <c r="B85" i="42"/>
  <c r="C85" i="42"/>
  <c r="D85" i="42"/>
  <c r="F85" i="42"/>
  <c r="B86" i="42"/>
  <c r="C86" i="42"/>
  <c r="D86" i="42"/>
  <c r="F86" i="42"/>
  <c r="U30" i="71"/>
  <c r="T30" i="71" s="1"/>
  <c r="U28" i="71"/>
  <c r="T29" i="71" s="1"/>
  <c r="S30" i="74"/>
  <c r="S28" i="74"/>
  <c r="S29" i="75"/>
  <c r="S28" i="75"/>
  <c r="S29" i="77"/>
  <c r="S28" i="77"/>
  <c r="S28" i="84"/>
  <c r="S27" i="84"/>
  <c r="S29" i="78"/>
  <c r="S28" i="78"/>
  <c r="AN87" i="1"/>
  <c r="AN86" i="1"/>
  <c r="AN27" i="1"/>
  <c r="AN25" i="1"/>
  <c r="AN24" i="1"/>
  <c r="AN23" i="1"/>
  <c r="AN22" i="1"/>
  <c r="AN21" i="1"/>
  <c r="AN18" i="1"/>
  <c r="AN17" i="1"/>
  <c r="AN16" i="1"/>
  <c r="AN15" i="1"/>
  <c r="AN14" i="1"/>
  <c r="AN13" i="1"/>
  <c r="AN12" i="1"/>
  <c r="AN10" i="1"/>
  <c r="AN9" i="1"/>
  <c r="AN8" i="1"/>
  <c r="AN7" i="1"/>
  <c r="AN6" i="1"/>
  <c r="AN4" i="1"/>
  <c r="AN3" i="1"/>
  <c r="E37" i="35"/>
  <c r="E38" i="33"/>
  <c r="E37" i="33"/>
  <c r="E37" i="32"/>
  <c r="E38" i="30"/>
  <c r="E37" i="30"/>
  <c r="E37" i="29"/>
  <c r="E38" i="28"/>
  <c r="E37" i="28"/>
  <c r="E39" i="26"/>
  <c r="E38" i="26"/>
  <c r="E37" i="26"/>
  <c r="E37" i="25"/>
  <c r="E37" i="7"/>
  <c r="E38" i="5"/>
  <c r="E37" i="5"/>
  <c r="E37" i="6"/>
  <c r="E38" i="4"/>
  <c r="E37" i="4"/>
  <c r="E38" i="8"/>
  <c r="E37" i="8"/>
  <c r="E38" i="9"/>
  <c r="E37" i="9"/>
  <c r="E37" i="10"/>
  <c r="E37" i="15"/>
  <c r="E37" i="19"/>
  <c r="E37" i="18"/>
  <c r="E38" i="20"/>
  <c r="E37" i="20"/>
  <c r="E38" i="23"/>
  <c r="E37" i="23"/>
  <c r="Q5" i="16"/>
  <c r="AA21" i="92" l="1"/>
  <c r="S31" i="91"/>
  <c r="K37" i="49"/>
  <c r="L37" i="49" s="1"/>
  <c r="K37" i="41"/>
  <c r="L37" i="41" s="1"/>
  <c r="W35" i="41" s="1"/>
  <c r="W28" i="41"/>
  <c r="W32" i="41" s="1"/>
  <c r="C53" i="91"/>
  <c r="D53" i="91" s="1"/>
  <c r="E67" i="91"/>
  <c r="G67" i="91" s="1"/>
  <c r="H67" i="91" s="1"/>
  <c r="E66" i="91"/>
  <c r="G66" i="91" s="1"/>
  <c r="H66" i="91" s="1"/>
  <c r="E68" i="91"/>
  <c r="G68" i="91" s="1"/>
  <c r="H68" i="91" s="1"/>
  <c r="E69" i="91"/>
  <c r="G69" i="91" s="1"/>
  <c r="H69" i="91" s="1"/>
  <c r="E70" i="91"/>
  <c r="G70" i="91" s="1"/>
  <c r="H70" i="91" s="1"/>
  <c r="E65" i="91"/>
  <c r="G65" i="91" s="1"/>
  <c r="H65" i="91" s="1"/>
  <c r="S32" i="74"/>
  <c r="S30" i="77"/>
  <c r="E86" i="92"/>
  <c r="H55" i="92"/>
  <c r="G81" i="92"/>
  <c r="C81" i="92"/>
  <c r="E81" i="92"/>
  <c r="H81" i="92" s="1"/>
  <c r="C54" i="92"/>
  <c r="D54" i="92" s="1"/>
  <c r="E66" i="92"/>
  <c r="G66" i="92" s="1"/>
  <c r="H66" i="92" s="1"/>
  <c r="E67" i="92"/>
  <c r="G67" i="92" s="1"/>
  <c r="H67" i="92" s="1"/>
  <c r="E68" i="92"/>
  <c r="G68" i="92" s="1"/>
  <c r="H68" i="92" s="1"/>
  <c r="E69" i="92"/>
  <c r="G69" i="92" s="1"/>
  <c r="H69" i="92" s="1"/>
  <c r="E70" i="92"/>
  <c r="G70" i="92" s="1"/>
  <c r="H70" i="92" s="1"/>
  <c r="E71" i="92"/>
  <c r="G71" i="92" s="1"/>
  <c r="H71" i="92" s="1"/>
  <c r="E72" i="92"/>
  <c r="G72" i="92" s="1"/>
  <c r="H72" i="92" s="1"/>
  <c r="E73" i="92"/>
  <c r="G73" i="92" s="1"/>
  <c r="H73" i="92" s="1"/>
  <c r="E74" i="92"/>
  <c r="G74" i="92" s="1"/>
  <c r="H74" i="92" s="1"/>
  <c r="E79" i="92"/>
  <c r="G79" i="92" s="1"/>
  <c r="H79" i="92" s="1"/>
  <c r="E78" i="92"/>
  <c r="G78" i="92" s="1"/>
  <c r="H78" i="92" s="1"/>
  <c r="E77" i="92"/>
  <c r="G77" i="92" s="1"/>
  <c r="H77" i="92" s="1"/>
  <c r="G65" i="92"/>
  <c r="E75" i="92"/>
  <c r="G75" i="92" s="1"/>
  <c r="H75" i="92" s="1"/>
  <c r="E76" i="92"/>
  <c r="G76" i="92" s="1"/>
  <c r="H76" i="92" s="1"/>
  <c r="G66" i="89"/>
  <c r="H66" i="89" s="1"/>
  <c r="G67" i="89"/>
  <c r="H67" i="89" s="1"/>
  <c r="G69" i="89"/>
  <c r="H69" i="89" s="1"/>
  <c r="D53" i="89"/>
  <c r="C54" i="89"/>
  <c r="E14" i="88"/>
  <c r="G14" i="88" s="1"/>
  <c r="H14" i="88" s="1"/>
  <c r="K14" i="88" s="1"/>
  <c r="L14" i="88" s="1"/>
  <c r="H53" i="88"/>
  <c r="E65" i="88" s="1"/>
  <c r="E15" i="88"/>
  <c r="G15" i="88" s="1"/>
  <c r="H15" i="88" s="1"/>
  <c r="K15" i="88" s="1"/>
  <c r="E10" i="88"/>
  <c r="G10" i="88" s="1"/>
  <c r="H10" i="88" s="1"/>
  <c r="K10" i="88" s="1"/>
  <c r="L10" i="88" s="1"/>
  <c r="E6" i="88"/>
  <c r="G6" i="88" s="1"/>
  <c r="H6" i="88" s="1"/>
  <c r="K6" i="88" s="1"/>
  <c r="L6" i="88" s="1"/>
  <c r="E7" i="88"/>
  <c r="G7" i="88" s="1"/>
  <c r="H7" i="88" s="1"/>
  <c r="K7" i="88" s="1"/>
  <c r="L7" i="88" s="1"/>
  <c r="E12" i="88"/>
  <c r="G12" i="88" s="1"/>
  <c r="H12" i="88" s="1"/>
  <c r="K12" i="88" s="1"/>
  <c r="L12" i="88" s="1"/>
  <c r="E8" i="88"/>
  <c r="G8" i="88" s="1"/>
  <c r="H8" i="88" s="1"/>
  <c r="K8" i="88" s="1"/>
  <c r="L8" i="88" s="1"/>
  <c r="H1" i="88"/>
  <c r="E9" i="88"/>
  <c r="G9" i="88" s="1"/>
  <c r="H9" i="88" s="1"/>
  <c r="K9" i="88" s="1"/>
  <c r="L9" i="88" s="1"/>
  <c r="E11" i="88"/>
  <c r="G11" i="88" s="1"/>
  <c r="H11" i="88" s="1"/>
  <c r="K11" i="88" s="1"/>
  <c r="L11" i="88" s="1"/>
  <c r="E13" i="88"/>
  <c r="G13" i="88" s="1"/>
  <c r="H13" i="88" s="1"/>
  <c r="K13" i="88" s="1"/>
  <c r="L13" i="88" s="1"/>
  <c r="I54" i="88"/>
  <c r="J55" i="88"/>
  <c r="B113" i="88" s="1"/>
  <c r="H113" i="88" s="1"/>
  <c r="Q6" i="16"/>
  <c r="F38" i="66"/>
  <c r="H38" i="66" s="1"/>
  <c r="K38" i="66" s="1"/>
  <c r="L38" i="66" s="1"/>
  <c r="F37" i="66"/>
  <c r="H37" i="66" s="1"/>
  <c r="F37" i="62"/>
  <c r="H37" i="62" s="1"/>
  <c r="F38" i="60"/>
  <c r="H38" i="60" s="1"/>
  <c r="K38" i="60" s="1"/>
  <c r="L38" i="60" s="1"/>
  <c r="F37" i="60"/>
  <c r="H37" i="60" s="1"/>
  <c r="F37" i="59"/>
  <c r="H37" i="59" s="1"/>
  <c r="F38" i="57"/>
  <c r="H38" i="57" s="1"/>
  <c r="K38" i="57" s="1"/>
  <c r="L38" i="57" s="1"/>
  <c r="F37" i="57"/>
  <c r="H37" i="57" s="1"/>
  <c r="F37" i="56"/>
  <c r="H37" i="56" s="1"/>
  <c r="F38" i="49"/>
  <c r="H38" i="49" s="1"/>
  <c r="V28" i="49" s="1"/>
  <c r="V32" i="49" s="1"/>
  <c r="F38" i="48"/>
  <c r="H38" i="48" s="1"/>
  <c r="K38" i="48" s="1"/>
  <c r="L38" i="48" s="1"/>
  <c r="F37" i="48"/>
  <c r="F37" i="47"/>
  <c r="H37" i="47" s="1"/>
  <c r="F37" i="46"/>
  <c r="H37" i="46" s="1"/>
  <c r="F37" i="44"/>
  <c r="H37" i="44" s="1"/>
  <c r="F37" i="43"/>
  <c r="F38" i="9"/>
  <c r="H38" i="9" s="1"/>
  <c r="K38" i="9" s="1"/>
  <c r="L38" i="9" s="1"/>
  <c r="F37" i="23"/>
  <c r="H37" i="23" s="1"/>
  <c r="F38" i="23"/>
  <c r="H38" i="23" s="1"/>
  <c r="K38" i="23" s="1"/>
  <c r="L38" i="23" s="1"/>
  <c r="F37" i="35"/>
  <c r="H37" i="35" s="1"/>
  <c r="K37" i="35" s="1"/>
  <c r="L37" i="35" s="1"/>
  <c r="F38" i="33"/>
  <c r="H38" i="33" s="1"/>
  <c r="K38" i="33" s="1"/>
  <c r="L38" i="33" s="1"/>
  <c r="F37" i="33"/>
  <c r="H37" i="33" s="1"/>
  <c r="F37" i="32"/>
  <c r="H37" i="32" s="1"/>
  <c r="F38" i="30"/>
  <c r="H38" i="30" s="1"/>
  <c r="K38" i="30" s="1"/>
  <c r="L38" i="30" s="1"/>
  <c r="F37" i="30"/>
  <c r="H37" i="30" s="1"/>
  <c r="F37" i="29"/>
  <c r="H37" i="29" s="1"/>
  <c r="F38" i="28"/>
  <c r="H38" i="28" s="1"/>
  <c r="K38" i="28" s="1"/>
  <c r="L38" i="28" s="1"/>
  <c r="F37" i="28"/>
  <c r="H37" i="28" s="1"/>
  <c r="F39" i="26"/>
  <c r="H39" i="26" s="1"/>
  <c r="K39" i="26" s="1"/>
  <c r="L39" i="26" s="1"/>
  <c r="F38" i="26"/>
  <c r="H38" i="26" s="1"/>
  <c r="K38" i="26" s="1"/>
  <c r="L38" i="26" s="1"/>
  <c r="F37" i="26"/>
  <c r="H37" i="26" s="1"/>
  <c r="F37" i="25"/>
  <c r="H37" i="25" s="1"/>
  <c r="F37" i="7"/>
  <c r="H37" i="7" s="1"/>
  <c r="F38" i="5"/>
  <c r="H38" i="5" s="1"/>
  <c r="K38" i="5" s="1"/>
  <c r="L38" i="5" s="1"/>
  <c r="F37" i="5"/>
  <c r="H37" i="5" s="1"/>
  <c r="K37" i="5" s="1"/>
  <c r="L37" i="5" s="1"/>
  <c r="V35" i="5" s="1"/>
  <c r="F37" i="6"/>
  <c r="H37" i="6" s="1"/>
  <c r="F38" i="4"/>
  <c r="H38" i="4" s="1"/>
  <c r="K38" i="4" s="1"/>
  <c r="F37" i="4"/>
  <c r="H37" i="4" s="1"/>
  <c r="K37" i="4" s="1"/>
  <c r="L37" i="4" s="1"/>
  <c r="F37" i="3"/>
  <c r="H37" i="3" s="1"/>
  <c r="F38" i="8"/>
  <c r="H38" i="8" s="1"/>
  <c r="K38" i="8" s="1"/>
  <c r="L38" i="8" s="1"/>
  <c r="F37" i="8"/>
  <c r="H37" i="8" s="1"/>
  <c r="F37" i="9"/>
  <c r="H37" i="9" s="1"/>
  <c r="F37" i="10"/>
  <c r="H37" i="10" s="1"/>
  <c r="K37" i="10" s="1"/>
  <c r="F37" i="15"/>
  <c r="H37" i="15" s="1"/>
  <c r="F37" i="19"/>
  <c r="H37" i="19" s="1"/>
  <c r="F37" i="18"/>
  <c r="H37" i="18" s="1"/>
  <c r="F38" i="20"/>
  <c r="H38" i="20" s="1"/>
  <c r="K38" i="20" s="1"/>
  <c r="L38" i="20" s="1"/>
  <c r="F37" i="20"/>
  <c r="H37" i="20" s="1"/>
  <c r="K38" i="49" l="1"/>
  <c r="L38" i="49" s="1"/>
  <c r="V35" i="49" s="1"/>
  <c r="C54" i="91"/>
  <c r="T31" i="91"/>
  <c r="AC25" i="91"/>
  <c r="K37" i="66"/>
  <c r="U28" i="66"/>
  <c r="U30" i="66" s="1"/>
  <c r="K37" i="62"/>
  <c r="L37" i="62" s="1"/>
  <c r="V35" i="62" s="1"/>
  <c r="V28" i="62"/>
  <c r="V32" i="62" s="1"/>
  <c r="K37" i="59"/>
  <c r="L37" i="59" s="1"/>
  <c r="V35" i="59" s="1"/>
  <c r="V28" i="59"/>
  <c r="V32" i="59" s="1"/>
  <c r="K37" i="57"/>
  <c r="L37" i="57" s="1"/>
  <c r="W35" i="57" s="1"/>
  <c r="W28" i="57"/>
  <c r="W32" i="57" s="1"/>
  <c r="K37" i="56"/>
  <c r="L37" i="56" s="1"/>
  <c r="W35" i="56" s="1"/>
  <c r="W28" i="56"/>
  <c r="W32" i="56" s="1"/>
  <c r="H37" i="48"/>
  <c r="K37" i="48" s="1"/>
  <c r="L37" i="48" s="1"/>
  <c r="V35" i="48" s="1"/>
  <c r="V28" i="48"/>
  <c r="V32" i="48" s="1"/>
  <c r="K37" i="47"/>
  <c r="L37" i="47" s="1"/>
  <c r="W35" i="47" s="1"/>
  <c r="W28" i="47"/>
  <c r="W32" i="47" s="1"/>
  <c r="K37" i="46"/>
  <c r="L37" i="46" s="1"/>
  <c r="V35" i="46" s="1"/>
  <c r="AC30" i="46" s="1"/>
  <c r="V28" i="46"/>
  <c r="V32" i="46" s="1"/>
  <c r="K37" i="44"/>
  <c r="L37" i="44" s="1"/>
  <c r="V35" i="44" s="1"/>
  <c r="V28" i="44"/>
  <c r="V32" i="44" s="1"/>
  <c r="H37" i="43"/>
  <c r="X28" i="43"/>
  <c r="K37" i="33"/>
  <c r="L37" i="33" s="1"/>
  <c r="V35" i="33" s="1"/>
  <c r="V28" i="33"/>
  <c r="V32" i="33" s="1"/>
  <c r="K37" i="32"/>
  <c r="L37" i="32" s="1"/>
  <c r="V35" i="32" s="1"/>
  <c r="V28" i="32"/>
  <c r="V32" i="32" s="1"/>
  <c r="K37" i="26"/>
  <c r="L37" i="26" s="1"/>
  <c r="W35" i="26" s="1"/>
  <c r="W28" i="26"/>
  <c r="W32" i="26" s="1"/>
  <c r="K37" i="25"/>
  <c r="L37" i="25" s="1"/>
  <c r="W35" i="25" s="1"/>
  <c r="AD30" i="25" s="1"/>
  <c r="W28" i="25"/>
  <c r="W32" i="25" s="1"/>
  <c r="K37" i="23"/>
  <c r="L37" i="23" s="1"/>
  <c r="U33" i="23" s="1"/>
  <c r="U28" i="23"/>
  <c r="U30" i="23" s="1"/>
  <c r="K37" i="7"/>
  <c r="L37" i="7" s="1"/>
  <c r="V35" i="7" s="1"/>
  <c r="V28" i="7"/>
  <c r="V32" i="7" s="1"/>
  <c r="K37" i="60"/>
  <c r="L37" i="60" s="1"/>
  <c r="W35" i="60" s="1"/>
  <c r="AE30" i="60" s="1"/>
  <c r="W28" i="60"/>
  <c r="W32" i="60" s="1"/>
  <c r="K37" i="20"/>
  <c r="L37" i="20" s="1"/>
  <c r="V35" i="20" s="1"/>
  <c r="V28" i="20"/>
  <c r="V32" i="20" s="1"/>
  <c r="K37" i="18"/>
  <c r="L37" i="18" s="1"/>
  <c r="W35" i="18" s="1"/>
  <c r="W28" i="18"/>
  <c r="W32" i="18" s="1"/>
  <c r="K37" i="6"/>
  <c r="L37" i="6" s="1"/>
  <c r="W35" i="6" s="1"/>
  <c r="W28" i="6"/>
  <c r="W32" i="6" s="1"/>
  <c r="K37" i="19"/>
  <c r="L37" i="19" s="1"/>
  <c r="V35" i="19" s="1"/>
  <c r="V28" i="19"/>
  <c r="V32" i="19" s="1"/>
  <c r="K37" i="28"/>
  <c r="L37" i="28" s="1"/>
  <c r="W35" i="28" s="1" a="1"/>
  <c r="W28" i="28"/>
  <c r="W32" i="28" s="1"/>
  <c r="K37" i="9"/>
  <c r="L37" i="9" s="1"/>
  <c r="W35" i="9" s="1"/>
  <c r="AE30" i="9" s="1"/>
  <c r="W28" i="9"/>
  <c r="W32" i="9" s="1"/>
  <c r="K37" i="29"/>
  <c r="L37" i="29" s="1"/>
  <c r="W35" i="29" s="1"/>
  <c r="W28" i="29"/>
  <c r="W32" i="29" s="1"/>
  <c r="K37" i="8"/>
  <c r="L37" i="8" s="1"/>
  <c r="W35" i="8" s="1"/>
  <c r="AE30" i="8" s="1"/>
  <c r="W28" i="8"/>
  <c r="W32" i="8" s="1"/>
  <c r="K37" i="30"/>
  <c r="L37" i="30" s="1"/>
  <c r="W35" i="30" s="1"/>
  <c r="W28" i="30"/>
  <c r="W32" i="30" s="1"/>
  <c r="L37" i="10"/>
  <c r="U33" i="10" s="1"/>
  <c r="U28" i="10"/>
  <c r="U30" i="10" s="1"/>
  <c r="K37" i="15"/>
  <c r="L37" i="15" s="1"/>
  <c r="W35" i="15" s="1"/>
  <c r="W28" i="15"/>
  <c r="W32" i="15" s="1"/>
  <c r="K37" i="3"/>
  <c r="L37" i="3" s="1"/>
  <c r="W35" i="3" s="1"/>
  <c r="W28" i="3"/>
  <c r="W32" i="3" s="1"/>
  <c r="H65" i="92"/>
  <c r="G102" i="92"/>
  <c r="E102" i="92"/>
  <c r="G68" i="89"/>
  <c r="H68" i="89" s="1"/>
  <c r="G65" i="89"/>
  <c r="H65" i="89" s="1"/>
  <c r="C55" i="92"/>
  <c r="D55" i="92" s="1"/>
  <c r="E92" i="92"/>
  <c r="G92" i="92" s="1"/>
  <c r="H92" i="92" s="1"/>
  <c r="E98" i="92"/>
  <c r="G98" i="92" s="1"/>
  <c r="H98" i="92" s="1"/>
  <c r="E96" i="92"/>
  <c r="G96" i="92" s="1"/>
  <c r="H96" i="92" s="1"/>
  <c r="G86" i="92"/>
  <c r="H86" i="92" s="1"/>
  <c r="E100" i="92"/>
  <c r="G100" i="92" s="1"/>
  <c r="H100" i="92" s="1"/>
  <c r="E99" i="92"/>
  <c r="G99" i="92" s="1"/>
  <c r="H99" i="92" s="1"/>
  <c r="E97" i="92"/>
  <c r="G97" i="92" s="1"/>
  <c r="H97" i="92" s="1"/>
  <c r="E91" i="92"/>
  <c r="G91" i="92" s="1"/>
  <c r="H91" i="92" s="1"/>
  <c r="E95" i="92"/>
  <c r="G95" i="92" s="1"/>
  <c r="H95" i="92" s="1"/>
  <c r="E94" i="92"/>
  <c r="G94" i="92" s="1"/>
  <c r="H94" i="92" s="1"/>
  <c r="E93" i="92"/>
  <c r="G93" i="92" s="1"/>
  <c r="H93" i="92" s="1"/>
  <c r="E90" i="92"/>
  <c r="G90" i="92" s="1"/>
  <c r="H90" i="92" s="1"/>
  <c r="E89" i="92"/>
  <c r="G89" i="92" s="1"/>
  <c r="H89" i="92" s="1"/>
  <c r="E88" i="92"/>
  <c r="G88" i="92" s="1"/>
  <c r="H88" i="92" s="1"/>
  <c r="E87" i="92"/>
  <c r="G87" i="92" s="1"/>
  <c r="H87" i="92" s="1"/>
  <c r="D54" i="89"/>
  <c r="C55" i="89"/>
  <c r="E72" i="88"/>
  <c r="G72" i="88" s="1"/>
  <c r="H72" i="88" s="1"/>
  <c r="E73" i="88"/>
  <c r="G73" i="88" s="1"/>
  <c r="H73" i="88" s="1"/>
  <c r="G65" i="88"/>
  <c r="H65" i="88" s="1"/>
  <c r="E66" i="88"/>
  <c r="G66" i="88" s="1"/>
  <c r="H66" i="88" s="1"/>
  <c r="E67" i="88"/>
  <c r="G67" i="88" s="1"/>
  <c r="H67" i="88" s="1"/>
  <c r="E68" i="88"/>
  <c r="G68" i="88" s="1"/>
  <c r="H68" i="88" s="1"/>
  <c r="E69" i="88"/>
  <c r="G69" i="88" s="1"/>
  <c r="H69" i="88" s="1"/>
  <c r="E74" i="88"/>
  <c r="G74" i="88" s="1"/>
  <c r="H74" i="88" s="1"/>
  <c r="E75" i="88"/>
  <c r="G75" i="88" s="1"/>
  <c r="H75" i="88" s="1"/>
  <c r="E70" i="88"/>
  <c r="G70" i="88" s="1"/>
  <c r="H70" i="88" s="1"/>
  <c r="E71" i="88"/>
  <c r="G71" i="88" s="1"/>
  <c r="H71" i="88" s="1"/>
  <c r="I55" i="88"/>
  <c r="H54" i="88"/>
  <c r="J56" i="88"/>
  <c r="B130" i="88" s="1"/>
  <c r="H130" i="88" s="1"/>
  <c r="T30" i="33"/>
  <c r="S30" i="27"/>
  <c r="S30" i="16"/>
  <c r="U30" i="4"/>
  <c r="U28" i="4"/>
  <c r="B96" i="56"/>
  <c r="C96" i="56"/>
  <c r="D96" i="56"/>
  <c r="F96" i="56"/>
  <c r="B97" i="56"/>
  <c r="C97" i="56"/>
  <c r="D97" i="56"/>
  <c r="F97" i="56"/>
  <c r="B76" i="56"/>
  <c r="C76" i="56"/>
  <c r="D76" i="56"/>
  <c r="F76" i="56"/>
  <c r="B77" i="56"/>
  <c r="C77" i="56"/>
  <c r="D77" i="56"/>
  <c r="F77" i="56"/>
  <c r="S28" i="56"/>
  <c r="T28" i="56"/>
  <c r="S30" i="56"/>
  <c r="U53" i="52"/>
  <c r="D5" i="79"/>
  <c r="B125" i="51"/>
  <c r="C125" i="51"/>
  <c r="D125" i="51"/>
  <c r="B126" i="51"/>
  <c r="C126" i="51"/>
  <c r="D126" i="51"/>
  <c r="B127" i="51"/>
  <c r="C127" i="51"/>
  <c r="D127" i="51"/>
  <c r="B128" i="51"/>
  <c r="C128" i="51"/>
  <c r="D128" i="51"/>
  <c r="B129" i="51"/>
  <c r="C129" i="51"/>
  <c r="D129" i="51"/>
  <c r="B130" i="51"/>
  <c r="C130" i="51"/>
  <c r="D130" i="51"/>
  <c r="B131" i="51"/>
  <c r="C131" i="51"/>
  <c r="D131" i="51"/>
  <c r="B132" i="51"/>
  <c r="C132" i="51"/>
  <c r="D132" i="51"/>
  <c r="B133" i="51"/>
  <c r="C133" i="51"/>
  <c r="D133" i="51"/>
  <c r="B134" i="51"/>
  <c r="C134" i="51"/>
  <c r="D134" i="51"/>
  <c r="B135" i="51"/>
  <c r="C135" i="51"/>
  <c r="D135" i="51"/>
  <c r="B136" i="51"/>
  <c r="C136" i="51"/>
  <c r="D136" i="51"/>
  <c r="C124" i="51"/>
  <c r="F125" i="51"/>
  <c r="F126" i="51"/>
  <c r="F127" i="51"/>
  <c r="F128" i="51"/>
  <c r="F129" i="51"/>
  <c r="F130" i="51"/>
  <c r="F131" i="51"/>
  <c r="F132" i="51"/>
  <c r="F133" i="51"/>
  <c r="F134" i="51"/>
  <c r="F135" i="51"/>
  <c r="F136" i="51"/>
  <c r="F124" i="51"/>
  <c r="B124" i="51"/>
  <c r="F89" i="50"/>
  <c r="F90" i="50"/>
  <c r="F91" i="50"/>
  <c r="F92" i="50"/>
  <c r="F93" i="50"/>
  <c r="F94" i="50"/>
  <c r="F95" i="50"/>
  <c r="F96" i="50"/>
  <c r="F97" i="50"/>
  <c r="F98" i="50"/>
  <c r="F99" i="50"/>
  <c r="F100" i="50"/>
  <c r="F101" i="50"/>
  <c r="F102" i="50"/>
  <c r="F103" i="50"/>
  <c r="F104" i="50"/>
  <c r="F107" i="48"/>
  <c r="F108" i="48"/>
  <c r="F109" i="48"/>
  <c r="F110" i="48"/>
  <c r="F111" i="48"/>
  <c r="F112" i="48"/>
  <c r="F113" i="48"/>
  <c r="F114" i="48"/>
  <c r="F115" i="48"/>
  <c r="F116" i="48"/>
  <c r="F117" i="48"/>
  <c r="F118" i="48"/>
  <c r="F106" i="48"/>
  <c r="B107" i="48"/>
  <c r="C107" i="48"/>
  <c r="D107" i="48"/>
  <c r="B108" i="48"/>
  <c r="C108" i="48"/>
  <c r="D108" i="48"/>
  <c r="B109" i="48"/>
  <c r="C109" i="48"/>
  <c r="D109" i="48"/>
  <c r="B110" i="48"/>
  <c r="C110" i="48"/>
  <c r="D110" i="48"/>
  <c r="B111" i="48"/>
  <c r="C111" i="48"/>
  <c r="D111" i="48"/>
  <c r="B112" i="48"/>
  <c r="C112" i="48"/>
  <c r="D112" i="48"/>
  <c r="B113" i="48"/>
  <c r="C113" i="48"/>
  <c r="D113" i="48"/>
  <c r="B114" i="48"/>
  <c r="C114" i="48"/>
  <c r="D114" i="48"/>
  <c r="B115" i="48"/>
  <c r="C115" i="48"/>
  <c r="D115" i="48"/>
  <c r="B116" i="48"/>
  <c r="C116" i="48"/>
  <c r="D116" i="48"/>
  <c r="B117" i="48"/>
  <c r="C117" i="48"/>
  <c r="D117" i="48"/>
  <c r="B118" i="48"/>
  <c r="C118" i="48"/>
  <c r="D118" i="48"/>
  <c r="C106" i="48"/>
  <c r="B106" i="48"/>
  <c r="S31" i="42"/>
  <c r="T31" i="42" s="1"/>
  <c r="T30" i="42"/>
  <c r="T30" i="43"/>
  <c r="T30" i="48"/>
  <c r="U28" i="43"/>
  <c r="D94" i="33"/>
  <c r="D95" i="33"/>
  <c r="D96" i="33"/>
  <c r="D97" i="33"/>
  <c r="D98" i="33"/>
  <c r="D99" i="33"/>
  <c r="D100" i="33"/>
  <c r="D101" i="33"/>
  <c r="D102" i="33"/>
  <c r="D103" i="33"/>
  <c r="D104" i="33"/>
  <c r="D105" i="33"/>
  <c r="D106" i="33"/>
  <c r="D107" i="33"/>
  <c r="D108" i="33"/>
  <c r="D109" i="33"/>
  <c r="D110" i="33"/>
  <c r="D111" i="33"/>
  <c r="D112" i="33"/>
  <c r="V40" i="33"/>
  <c r="R12" i="32"/>
  <c r="R13" i="32" s="1"/>
  <c r="F101" i="32"/>
  <c r="F92" i="31"/>
  <c r="F93" i="31"/>
  <c r="F94" i="31"/>
  <c r="F95" i="31"/>
  <c r="F96" i="31"/>
  <c r="F97" i="31"/>
  <c r="F98" i="31"/>
  <c r="F99" i="31"/>
  <c r="F100" i="31"/>
  <c r="F101" i="31"/>
  <c r="F102" i="31"/>
  <c r="F103" i="31"/>
  <c r="F104" i="31"/>
  <c r="F105" i="31"/>
  <c r="F106" i="31"/>
  <c r="F107" i="31"/>
  <c r="F108" i="31"/>
  <c r="F109" i="31"/>
  <c r="F91" i="31"/>
  <c r="B92" i="31"/>
  <c r="C92" i="31"/>
  <c r="D92" i="31"/>
  <c r="B93" i="31"/>
  <c r="C93" i="31"/>
  <c r="D93" i="31"/>
  <c r="B94" i="31"/>
  <c r="C94" i="31"/>
  <c r="D94" i="31"/>
  <c r="B95" i="31"/>
  <c r="C95" i="31"/>
  <c r="D95" i="31"/>
  <c r="B96" i="31"/>
  <c r="C96" i="31"/>
  <c r="D96" i="31"/>
  <c r="B97" i="31"/>
  <c r="C97" i="31"/>
  <c r="D97" i="31"/>
  <c r="B98" i="31"/>
  <c r="C98" i="31"/>
  <c r="D98" i="31"/>
  <c r="B99" i="31"/>
  <c r="C99" i="31"/>
  <c r="D99" i="31"/>
  <c r="B100" i="31"/>
  <c r="C100" i="31"/>
  <c r="D100" i="31"/>
  <c r="B101" i="31"/>
  <c r="C101" i="31"/>
  <c r="D101" i="31"/>
  <c r="B102" i="31"/>
  <c r="C102" i="31"/>
  <c r="D102" i="31"/>
  <c r="B103" i="31"/>
  <c r="C103" i="31"/>
  <c r="D103" i="31"/>
  <c r="B104" i="31"/>
  <c r="C104" i="31"/>
  <c r="D104" i="31"/>
  <c r="B105" i="31"/>
  <c r="C105" i="31"/>
  <c r="D105" i="31"/>
  <c r="B106" i="31"/>
  <c r="C106" i="31"/>
  <c r="D106" i="31"/>
  <c r="B107" i="31"/>
  <c r="C107" i="31"/>
  <c r="D107" i="31"/>
  <c r="B108" i="31"/>
  <c r="C108" i="31"/>
  <c r="D108" i="31"/>
  <c r="B109" i="31"/>
  <c r="C109" i="31"/>
  <c r="D109" i="31"/>
  <c r="C91" i="31"/>
  <c r="D91" i="31"/>
  <c r="B91" i="31"/>
  <c r="C51" i="26"/>
  <c r="F148" i="23"/>
  <c r="F149" i="23"/>
  <c r="F150" i="23"/>
  <c r="F151" i="23"/>
  <c r="F152" i="23"/>
  <c r="F153" i="23"/>
  <c r="F154" i="23"/>
  <c r="F155" i="23"/>
  <c r="F156" i="23"/>
  <c r="F157" i="23"/>
  <c r="F158" i="23"/>
  <c r="F159" i="23"/>
  <c r="F160" i="23"/>
  <c r="F147" i="23"/>
  <c r="B160" i="23"/>
  <c r="C160" i="23"/>
  <c r="D160" i="23"/>
  <c r="B148" i="23"/>
  <c r="C148" i="23"/>
  <c r="D148" i="23"/>
  <c r="B149" i="23"/>
  <c r="C149" i="23"/>
  <c r="D149" i="23"/>
  <c r="B150" i="23"/>
  <c r="C150" i="23"/>
  <c r="D150" i="23"/>
  <c r="B151" i="23"/>
  <c r="C151" i="23"/>
  <c r="D151" i="23"/>
  <c r="B152" i="23"/>
  <c r="C152" i="23"/>
  <c r="D152" i="23"/>
  <c r="B153" i="23"/>
  <c r="C153" i="23"/>
  <c r="D153" i="23"/>
  <c r="B154" i="23"/>
  <c r="C154" i="23"/>
  <c r="D154" i="23"/>
  <c r="B155" i="23"/>
  <c r="C155" i="23"/>
  <c r="D155" i="23"/>
  <c r="B156" i="23"/>
  <c r="C156" i="23"/>
  <c r="D156" i="23"/>
  <c r="B157" i="23"/>
  <c r="C157" i="23"/>
  <c r="D157" i="23"/>
  <c r="B158" i="23"/>
  <c r="C158" i="23"/>
  <c r="D158" i="23"/>
  <c r="B159" i="23"/>
  <c r="C159" i="23"/>
  <c r="D159" i="23"/>
  <c r="C147" i="23"/>
  <c r="B147" i="23"/>
  <c r="C51" i="69"/>
  <c r="B128" i="23"/>
  <c r="C128" i="23"/>
  <c r="D128" i="23"/>
  <c r="B129" i="23"/>
  <c r="C129" i="23"/>
  <c r="D129" i="23"/>
  <c r="B130" i="23"/>
  <c r="C130" i="23"/>
  <c r="D130" i="23"/>
  <c r="B131" i="23"/>
  <c r="C131" i="23"/>
  <c r="D131" i="23"/>
  <c r="B132" i="23"/>
  <c r="C132" i="23"/>
  <c r="D132" i="23"/>
  <c r="B133" i="23"/>
  <c r="C133" i="23"/>
  <c r="D133" i="23"/>
  <c r="B134" i="23"/>
  <c r="C134" i="23"/>
  <c r="D134" i="23"/>
  <c r="B135" i="23"/>
  <c r="C135" i="23"/>
  <c r="D135" i="23"/>
  <c r="B136" i="23"/>
  <c r="C136" i="23"/>
  <c r="D136" i="23"/>
  <c r="B137" i="23"/>
  <c r="C137" i="23"/>
  <c r="D137" i="23"/>
  <c r="B138" i="23"/>
  <c r="C138" i="23"/>
  <c r="D138" i="23"/>
  <c r="B139" i="23"/>
  <c r="C139" i="23"/>
  <c r="D139" i="23"/>
  <c r="B140" i="23"/>
  <c r="C140" i="23"/>
  <c r="D140" i="23"/>
  <c r="C127" i="23"/>
  <c r="F128" i="23"/>
  <c r="F129" i="23"/>
  <c r="F130" i="23"/>
  <c r="F131" i="23"/>
  <c r="F132" i="23"/>
  <c r="F133" i="23"/>
  <c r="F134" i="23"/>
  <c r="F135" i="23"/>
  <c r="F136" i="23"/>
  <c r="F137" i="23"/>
  <c r="F138" i="23"/>
  <c r="F139" i="23"/>
  <c r="F140" i="23"/>
  <c r="F127" i="23"/>
  <c r="B127" i="23"/>
  <c r="C51" i="22"/>
  <c r="C52" i="22"/>
  <c r="B65" i="17"/>
  <c r="S29" i="84"/>
  <c r="F68" i="83"/>
  <c r="D68" i="83"/>
  <c r="C68" i="83"/>
  <c r="B68" i="83"/>
  <c r="F67" i="83"/>
  <c r="D67" i="83"/>
  <c r="C67" i="83"/>
  <c r="B67" i="83"/>
  <c r="F66" i="83"/>
  <c r="D66" i="83"/>
  <c r="C66" i="83"/>
  <c r="B66" i="83"/>
  <c r="F65" i="83"/>
  <c r="D65" i="83"/>
  <c r="C65" i="83"/>
  <c r="B65" i="83"/>
  <c r="B79" i="6"/>
  <c r="C79" i="6"/>
  <c r="D79" i="6"/>
  <c r="B80" i="6"/>
  <c r="C80" i="6"/>
  <c r="D80" i="6"/>
  <c r="B81" i="6"/>
  <c r="C81" i="6"/>
  <c r="D81" i="6"/>
  <c r="B82" i="6"/>
  <c r="C82" i="6"/>
  <c r="D82" i="6"/>
  <c r="B83" i="6"/>
  <c r="C83" i="6"/>
  <c r="D83" i="6"/>
  <c r="B84" i="6"/>
  <c r="C84" i="6"/>
  <c r="D84" i="6"/>
  <c r="F79" i="6"/>
  <c r="F84" i="6"/>
  <c r="F78" i="6"/>
  <c r="C78" i="6"/>
  <c r="B78" i="6"/>
  <c r="B66" i="74"/>
  <c r="U30" i="74"/>
  <c r="T30" i="74"/>
  <c r="B90" i="59"/>
  <c r="C90" i="59"/>
  <c r="D90" i="59"/>
  <c r="B91" i="59"/>
  <c r="C91" i="59"/>
  <c r="D91" i="59"/>
  <c r="B92" i="59"/>
  <c r="C92" i="59"/>
  <c r="D92" i="59"/>
  <c r="B93" i="59"/>
  <c r="C93" i="59"/>
  <c r="D93" i="59"/>
  <c r="B94" i="59"/>
  <c r="C94" i="59"/>
  <c r="D94" i="59"/>
  <c r="B95" i="59"/>
  <c r="C95" i="59"/>
  <c r="D95" i="59"/>
  <c r="B96" i="59"/>
  <c r="C96" i="59"/>
  <c r="D96" i="59"/>
  <c r="B97" i="59"/>
  <c r="C97" i="59"/>
  <c r="D97" i="59"/>
  <c r="B98" i="59"/>
  <c r="C98" i="59"/>
  <c r="D98" i="59"/>
  <c r="B99" i="59"/>
  <c r="C99" i="59"/>
  <c r="D99" i="59"/>
  <c r="B100" i="59"/>
  <c r="C100" i="59"/>
  <c r="D100" i="59"/>
  <c r="B101" i="59"/>
  <c r="C101" i="59"/>
  <c r="D101" i="59"/>
  <c r="B102" i="59"/>
  <c r="C102" i="59"/>
  <c r="D102" i="59"/>
  <c r="B103" i="59"/>
  <c r="C103" i="59"/>
  <c r="D103" i="59"/>
  <c r="C89" i="59"/>
  <c r="F90" i="59"/>
  <c r="F91" i="59"/>
  <c r="F92" i="59"/>
  <c r="F93" i="59"/>
  <c r="F94" i="59"/>
  <c r="F95" i="59"/>
  <c r="F96" i="59"/>
  <c r="F97" i="59"/>
  <c r="F98" i="59"/>
  <c r="F99" i="59"/>
  <c r="F100" i="59"/>
  <c r="F101" i="59"/>
  <c r="F102" i="59"/>
  <c r="F103" i="59"/>
  <c r="F89" i="59"/>
  <c r="B89" i="59"/>
  <c r="AC55" i="52"/>
  <c r="AB55" i="52"/>
  <c r="E1" i="86"/>
  <c r="O136" i="1"/>
  <c r="B104" i="50"/>
  <c r="C104" i="50"/>
  <c r="D104" i="50"/>
  <c r="B89" i="50"/>
  <c r="C89" i="50"/>
  <c r="D89" i="50"/>
  <c r="B90" i="50"/>
  <c r="C90" i="50"/>
  <c r="D90" i="50"/>
  <c r="B91" i="50"/>
  <c r="C91" i="50"/>
  <c r="D91" i="50"/>
  <c r="B92" i="50"/>
  <c r="C92" i="50"/>
  <c r="D92" i="50"/>
  <c r="B93" i="50"/>
  <c r="C93" i="50"/>
  <c r="D93" i="50"/>
  <c r="B94" i="50"/>
  <c r="C94" i="50"/>
  <c r="D94" i="50"/>
  <c r="B95" i="50"/>
  <c r="C95" i="50"/>
  <c r="D95" i="50"/>
  <c r="B96" i="50"/>
  <c r="C96" i="50"/>
  <c r="D96" i="50"/>
  <c r="B97" i="50"/>
  <c r="C97" i="50"/>
  <c r="D97" i="50"/>
  <c r="B98" i="50"/>
  <c r="C98" i="50"/>
  <c r="D98" i="50"/>
  <c r="B99" i="50"/>
  <c r="C99" i="50"/>
  <c r="D99" i="50"/>
  <c r="B100" i="50"/>
  <c r="C100" i="50"/>
  <c r="D100" i="50"/>
  <c r="B101" i="50"/>
  <c r="C101" i="50"/>
  <c r="D101" i="50"/>
  <c r="B102" i="50"/>
  <c r="C102" i="50"/>
  <c r="D102" i="50"/>
  <c r="B103" i="50"/>
  <c r="C103" i="50"/>
  <c r="D103" i="50"/>
  <c r="C88" i="50"/>
  <c r="F88" i="50"/>
  <c r="B88" i="50"/>
  <c r="B86" i="49"/>
  <c r="C86" i="49"/>
  <c r="D86" i="49"/>
  <c r="B87" i="49"/>
  <c r="C87" i="49"/>
  <c r="D87" i="49"/>
  <c r="B88" i="49"/>
  <c r="C88" i="49"/>
  <c r="D88" i="49"/>
  <c r="B89" i="49"/>
  <c r="C89" i="49"/>
  <c r="D89" i="49"/>
  <c r="B90" i="49"/>
  <c r="C90" i="49"/>
  <c r="D90" i="49"/>
  <c r="B91" i="49"/>
  <c r="C91" i="49"/>
  <c r="D91" i="49"/>
  <c r="B92" i="49"/>
  <c r="C92" i="49"/>
  <c r="D92" i="49"/>
  <c r="B93" i="49"/>
  <c r="C93" i="49"/>
  <c r="D93" i="49"/>
  <c r="B94" i="49"/>
  <c r="C94" i="49"/>
  <c r="D94" i="49"/>
  <c r="B95" i="49"/>
  <c r="C95" i="49"/>
  <c r="D95" i="49"/>
  <c r="B96" i="49"/>
  <c r="C96" i="49"/>
  <c r="D96" i="49"/>
  <c r="B97" i="49"/>
  <c r="C97" i="49"/>
  <c r="D97" i="49"/>
  <c r="C85" i="49"/>
  <c r="F86" i="49"/>
  <c r="F87" i="49"/>
  <c r="F88" i="49"/>
  <c r="F89" i="49"/>
  <c r="F90" i="49"/>
  <c r="F91" i="49"/>
  <c r="F92" i="49"/>
  <c r="F93" i="49"/>
  <c r="F94" i="49"/>
  <c r="F95" i="49"/>
  <c r="F96" i="49"/>
  <c r="F97" i="49"/>
  <c r="F85" i="49"/>
  <c r="B85" i="49"/>
  <c r="F113" i="45"/>
  <c r="F114" i="45"/>
  <c r="F115" i="45"/>
  <c r="F116" i="45"/>
  <c r="F117" i="45"/>
  <c r="F118" i="45"/>
  <c r="F119" i="45"/>
  <c r="F120" i="45"/>
  <c r="F121" i="45"/>
  <c r="F122" i="45"/>
  <c r="F123" i="45"/>
  <c r="F124" i="45"/>
  <c r="F125" i="45"/>
  <c r="F126" i="45"/>
  <c r="F127" i="45"/>
  <c r="F112" i="45"/>
  <c r="B113" i="45"/>
  <c r="C113" i="45"/>
  <c r="D113" i="45"/>
  <c r="B114" i="45"/>
  <c r="C114" i="45"/>
  <c r="D114" i="45"/>
  <c r="B115" i="45"/>
  <c r="C115" i="45"/>
  <c r="D115" i="45"/>
  <c r="B116" i="45"/>
  <c r="C116" i="45"/>
  <c r="D116" i="45"/>
  <c r="B117" i="45"/>
  <c r="C117" i="45"/>
  <c r="D117" i="45"/>
  <c r="B118" i="45"/>
  <c r="C118" i="45"/>
  <c r="D118" i="45"/>
  <c r="B119" i="45"/>
  <c r="C119" i="45"/>
  <c r="D119" i="45"/>
  <c r="B120" i="45"/>
  <c r="C120" i="45"/>
  <c r="D120" i="45"/>
  <c r="B121" i="45"/>
  <c r="C121" i="45"/>
  <c r="D121" i="45"/>
  <c r="B122" i="45"/>
  <c r="C122" i="45"/>
  <c r="D122" i="45"/>
  <c r="B123" i="45"/>
  <c r="C123" i="45"/>
  <c r="D123" i="45"/>
  <c r="B124" i="45"/>
  <c r="C124" i="45"/>
  <c r="D124" i="45"/>
  <c r="B125" i="45"/>
  <c r="C125" i="45"/>
  <c r="D125" i="45"/>
  <c r="B126" i="45"/>
  <c r="C126" i="45"/>
  <c r="D126" i="45"/>
  <c r="B127" i="45"/>
  <c r="C127" i="45"/>
  <c r="D127" i="45"/>
  <c r="C112" i="45"/>
  <c r="B112" i="45"/>
  <c r="S30" i="45"/>
  <c r="B90" i="45"/>
  <c r="C90" i="45"/>
  <c r="F90" i="45"/>
  <c r="S30" i="50"/>
  <c r="T30" i="50"/>
  <c r="F89" i="27"/>
  <c r="F90" i="27"/>
  <c r="F91" i="27"/>
  <c r="F92" i="27"/>
  <c r="F93" i="27"/>
  <c r="F94" i="27"/>
  <c r="F95" i="27"/>
  <c r="F96" i="27"/>
  <c r="F97" i="27"/>
  <c r="F98" i="27"/>
  <c r="F99" i="27"/>
  <c r="F100" i="27"/>
  <c r="F101" i="27"/>
  <c r="F102" i="27"/>
  <c r="B89" i="27"/>
  <c r="C89" i="27"/>
  <c r="D89" i="27"/>
  <c r="B90" i="27"/>
  <c r="C90" i="27"/>
  <c r="D90" i="27"/>
  <c r="B91" i="27"/>
  <c r="C91" i="27"/>
  <c r="D91" i="27"/>
  <c r="B92" i="27"/>
  <c r="C92" i="27"/>
  <c r="D92" i="27"/>
  <c r="B93" i="27"/>
  <c r="C93" i="27"/>
  <c r="D93" i="27"/>
  <c r="B94" i="27"/>
  <c r="C94" i="27"/>
  <c r="D94" i="27"/>
  <c r="B95" i="27"/>
  <c r="C95" i="27"/>
  <c r="D95" i="27"/>
  <c r="B96" i="27"/>
  <c r="C96" i="27"/>
  <c r="D96" i="27"/>
  <c r="B97" i="27"/>
  <c r="C97" i="27"/>
  <c r="D97" i="27"/>
  <c r="B98" i="27"/>
  <c r="C98" i="27"/>
  <c r="D98" i="27"/>
  <c r="B99" i="27"/>
  <c r="C99" i="27"/>
  <c r="D99" i="27"/>
  <c r="B100" i="27"/>
  <c r="C100" i="27"/>
  <c r="D100" i="27"/>
  <c r="B101" i="27"/>
  <c r="C101" i="27"/>
  <c r="D101" i="27"/>
  <c r="B102" i="27"/>
  <c r="C102" i="27"/>
  <c r="D102" i="27"/>
  <c r="C88" i="27"/>
  <c r="F88" i="27"/>
  <c r="B88" i="27"/>
  <c r="B88" i="32"/>
  <c r="C88" i="32"/>
  <c r="D88" i="32"/>
  <c r="B89" i="32"/>
  <c r="C89" i="32"/>
  <c r="D89" i="32"/>
  <c r="B90" i="32"/>
  <c r="C90" i="32"/>
  <c r="D90" i="32"/>
  <c r="B91" i="32"/>
  <c r="C91" i="32"/>
  <c r="D91" i="32"/>
  <c r="B92" i="32"/>
  <c r="C92" i="32"/>
  <c r="D92" i="32"/>
  <c r="B93" i="32"/>
  <c r="C93" i="32"/>
  <c r="D93" i="32"/>
  <c r="B94" i="32"/>
  <c r="C94" i="32"/>
  <c r="D94" i="32"/>
  <c r="B95" i="32"/>
  <c r="C95" i="32"/>
  <c r="D95" i="32"/>
  <c r="B96" i="32"/>
  <c r="C96" i="32"/>
  <c r="D96" i="32"/>
  <c r="B97" i="32"/>
  <c r="C97" i="32"/>
  <c r="D97" i="32"/>
  <c r="B98" i="32"/>
  <c r="C98" i="32"/>
  <c r="D98" i="32"/>
  <c r="B99" i="32"/>
  <c r="C99" i="32"/>
  <c r="D99" i="32"/>
  <c r="B100" i="32"/>
  <c r="C100" i="32"/>
  <c r="D100" i="32"/>
  <c r="B101" i="32"/>
  <c r="C101" i="32"/>
  <c r="D101" i="32"/>
  <c r="C87" i="32"/>
  <c r="F88" i="32"/>
  <c r="F89" i="32"/>
  <c r="F90" i="32"/>
  <c r="F91" i="32"/>
  <c r="F92" i="32"/>
  <c r="F93" i="32"/>
  <c r="F94" i="32"/>
  <c r="F95" i="32"/>
  <c r="F96" i="32"/>
  <c r="F97" i="32"/>
  <c r="F98" i="32"/>
  <c r="F99" i="32"/>
  <c r="F100" i="32"/>
  <c r="F87" i="32"/>
  <c r="B87" i="32"/>
  <c r="D8" i="25"/>
  <c r="D7" i="25"/>
  <c r="D6" i="25"/>
  <c r="O58" i="2"/>
  <c r="K58" i="2"/>
  <c r="N58" i="2" s="1"/>
  <c r="F68" i="82"/>
  <c r="D68" i="82"/>
  <c r="C68" i="82"/>
  <c r="B68" i="82"/>
  <c r="F67" i="82"/>
  <c r="D67" i="82"/>
  <c r="C67" i="82"/>
  <c r="B67" i="82"/>
  <c r="F66" i="82"/>
  <c r="D66" i="82"/>
  <c r="C66" i="82"/>
  <c r="B66" i="82"/>
  <c r="F65" i="82"/>
  <c r="D65" i="82"/>
  <c r="C65" i="82"/>
  <c r="B65" i="82"/>
  <c r="T28" i="50"/>
  <c r="S28" i="50"/>
  <c r="D51" i="50"/>
  <c r="R44" i="50" s="1"/>
  <c r="C51" i="50"/>
  <c r="V40" i="50"/>
  <c r="R44" i="27"/>
  <c r="D51" i="27"/>
  <c r="C51" i="27"/>
  <c r="V40" i="27"/>
  <c r="V40" i="16"/>
  <c r="D51" i="16"/>
  <c r="C51" i="16"/>
  <c r="G1" i="86" l="1"/>
  <c r="E8" i="86" s="1"/>
  <c r="G8" i="86" s="1"/>
  <c r="H8" i="86" s="1"/>
  <c r="K8" i="86" s="1"/>
  <c r="L8" i="86" s="1"/>
  <c r="D52" i="86"/>
  <c r="B83" i="92"/>
  <c r="D54" i="91"/>
  <c r="C55" i="91"/>
  <c r="D55" i="91" s="1"/>
  <c r="X32" i="43"/>
  <c r="K37" i="43"/>
  <c r="L37" i="43" s="1"/>
  <c r="X35" i="43" s="1"/>
  <c r="D7" i="79"/>
  <c r="D6" i="79"/>
  <c r="D8" i="79"/>
  <c r="D9" i="79"/>
  <c r="S32" i="50"/>
  <c r="S32" i="56"/>
  <c r="T32" i="50"/>
  <c r="B62" i="92"/>
  <c r="B63" i="92"/>
  <c r="H102" i="92"/>
  <c r="C102" i="92"/>
  <c r="S28" i="33"/>
  <c r="T28" i="33"/>
  <c r="T32" i="33" s="1"/>
  <c r="B84" i="92"/>
  <c r="D55" i="89"/>
  <c r="E90" i="88"/>
  <c r="G90" i="88" s="1"/>
  <c r="H90" i="88" s="1"/>
  <c r="E92" i="88"/>
  <c r="G92" i="88" s="1"/>
  <c r="H92" i="88" s="1"/>
  <c r="E91" i="88"/>
  <c r="G91" i="88" s="1"/>
  <c r="H91" i="88" s="1"/>
  <c r="E89" i="88"/>
  <c r="G89" i="88" s="1"/>
  <c r="H89" i="88" s="1"/>
  <c r="E88" i="88"/>
  <c r="G88" i="88" s="1"/>
  <c r="H88" i="88" s="1"/>
  <c r="E87" i="88"/>
  <c r="G87" i="88" s="1"/>
  <c r="H87" i="88" s="1"/>
  <c r="E86" i="88"/>
  <c r="G86" i="88" s="1"/>
  <c r="H86" i="88" s="1"/>
  <c r="E85" i="88"/>
  <c r="G85" i="88" s="1"/>
  <c r="H85" i="88" s="1"/>
  <c r="E84" i="88"/>
  <c r="G84" i="88" s="1"/>
  <c r="H84" i="88" s="1"/>
  <c r="E83" i="88"/>
  <c r="G83" i="88" s="1"/>
  <c r="H83" i="88" s="1"/>
  <c r="E82" i="88"/>
  <c r="G82" i="88" s="1"/>
  <c r="H82" i="88" s="1"/>
  <c r="I56" i="88"/>
  <c r="J57" i="88"/>
  <c r="H55" i="88"/>
  <c r="V53" i="52"/>
  <c r="D7" i="52" s="1"/>
  <c r="T30" i="3"/>
  <c r="T32" i="3" s="1"/>
  <c r="E1" i="3" s="1"/>
  <c r="G1" i="3" s="1"/>
  <c r="I1" i="3" s="1"/>
  <c r="S30" i="32"/>
  <c r="T30" i="32"/>
  <c r="S28" i="16"/>
  <c r="S32" i="16" s="1"/>
  <c r="J52" i="16" s="1"/>
  <c r="T29" i="42"/>
  <c r="S28" i="32"/>
  <c r="T28" i="32"/>
  <c r="T30" i="27"/>
  <c r="S28" i="27"/>
  <c r="S32" i="27" s="1"/>
  <c r="T28" i="27"/>
  <c r="R44" i="16"/>
  <c r="E1" i="83"/>
  <c r="E1" i="84"/>
  <c r="D52" i="84" s="1"/>
  <c r="B70" i="84" s="1"/>
  <c r="V44" i="50"/>
  <c r="U44" i="50"/>
  <c r="W44" i="50" s="1"/>
  <c r="J51" i="50" s="1"/>
  <c r="I51" i="50" s="1"/>
  <c r="D5" i="50" s="1"/>
  <c r="V44" i="27"/>
  <c r="U44" i="27"/>
  <c r="W44" i="27" s="1"/>
  <c r="J51" i="27" s="1"/>
  <c r="I51" i="27" s="1"/>
  <c r="D5" i="27" s="1"/>
  <c r="D88" i="27" s="1"/>
  <c r="B110" i="7"/>
  <c r="C110" i="7"/>
  <c r="D110" i="7"/>
  <c r="F110" i="7"/>
  <c r="B111" i="7"/>
  <c r="C111" i="7"/>
  <c r="D111" i="7"/>
  <c r="F111" i="7"/>
  <c r="B112" i="7"/>
  <c r="C112" i="7"/>
  <c r="D112" i="7"/>
  <c r="F112" i="7"/>
  <c r="B113" i="7"/>
  <c r="C113" i="7"/>
  <c r="D113" i="7"/>
  <c r="F113" i="7"/>
  <c r="B114" i="7"/>
  <c r="C114" i="7"/>
  <c r="D114" i="7"/>
  <c r="F114" i="7"/>
  <c r="B115" i="7"/>
  <c r="C115" i="7"/>
  <c r="D115" i="7"/>
  <c r="F115" i="7"/>
  <c r="B116" i="7"/>
  <c r="C116" i="7"/>
  <c r="D116" i="7"/>
  <c r="F116" i="7"/>
  <c r="B117" i="7"/>
  <c r="C117" i="7"/>
  <c r="D117" i="7"/>
  <c r="F117" i="7"/>
  <c r="B118" i="7"/>
  <c r="C118" i="7"/>
  <c r="D118" i="7"/>
  <c r="F118" i="7"/>
  <c r="B119" i="7"/>
  <c r="C119" i="7"/>
  <c r="D119" i="7"/>
  <c r="F119" i="7"/>
  <c r="B120" i="7"/>
  <c r="C120" i="7"/>
  <c r="D120" i="7"/>
  <c r="F120" i="7"/>
  <c r="B121" i="7"/>
  <c r="C121" i="7"/>
  <c r="D121" i="7"/>
  <c r="F121" i="7"/>
  <c r="B122" i="7"/>
  <c r="C122" i="7"/>
  <c r="D122" i="7"/>
  <c r="F122" i="7"/>
  <c r="B123" i="7"/>
  <c r="C123" i="7"/>
  <c r="D123" i="7"/>
  <c r="F123" i="7"/>
  <c r="F109" i="7"/>
  <c r="C109" i="7"/>
  <c r="B109" i="7"/>
  <c r="C52" i="86" l="1"/>
  <c r="C53" i="86" s="1"/>
  <c r="E19" i="86"/>
  <c r="G19" i="86" s="1"/>
  <c r="H19" i="86" s="1"/>
  <c r="K19" i="86" s="1"/>
  <c r="L19" i="86" s="1"/>
  <c r="E17" i="86"/>
  <c r="G17" i="86" s="1"/>
  <c r="H17" i="86" s="1"/>
  <c r="K17" i="86" s="1"/>
  <c r="L17" i="86" s="1"/>
  <c r="E15" i="86"/>
  <c r="G15" i="86" s="1"/>
  <c r="H15" i="86" s="1"/>
  <c r="K15" i="86" s="1"/>
  <c r="L15" i="86" s="1"/>
  <c r="E14" i="86"/>
  <c r="G14" i="86" s="1"/>
  <c r="H14" i="86" s="1"/>
  <c r="K14" i="86" s="1"/>
  <c r="L14" i="86" s="1"/>
  <c r="E13" i="86"/>
  <c r="G13" i="86" s="1"/>
  <c r="H13" i="86" s="1"/>
  <c r="K13" i="86" s="1"/>
  <c r="L13" i="86" s="1"/>
  <c r="E12" i="86"/>
  <c r="G12" i="86" s="1"/>
  <c r="H12" i="86" s="1"/>
  <c r="K12" i="86" s="1"/>
  <c r="L12" i="86" s="1"/>
  <c r="E11" i="86"/>
  <c r="G11" i="86" s="1"/>
  <c r="H11" i="86" s="1"/>
  <c r="K11" i="86" s="1"/>
  <c r="L11" i="86" s="1"/>
  <c r="E10" i="86"/>
  <c r="G10" i="86" s="1"/>
  <c r="H10" i="86" s="1"/>
  <c r="K10" i="86" s="1"/>
  <c r="L10" i="86" s="1"/>
  <c r="E9" i="86"/>
  <c r="G9" i="86" s="1"/>
  <c r="H9" i="86" s="1"/>
  <c r="K9" i="86" s="1"/>
  <c r="L9" i="86" s="1"/>
  <c r="E7" i="86"/>
  <c r="G7" i="86" s="1"/>
  <c r="H7" i="86" s="1"/>
  <c r="K7" i="86" s="1"/>
  <c r="L7" i="86" s="1"/>
  <c r="E6" i="86"/>
  <c r="G6" i="86" s="1"/>
  <c r="H6" i="86" s="1"/>
  <c r="K6" i="86" s="1"/>
  <c r="L6" i="86" s="1"/>
  <c r="E5" i="86"/>
  <c r="G5" i="86" s="1"/>
  <c r="H5" i="86" s="1"/>
  <c r="K5" i="86" s="1"/>
  <c r="L5" i="86" s="1"/>
  <c r="I1" i="86"/>
  <c r="E20" i="86" s="1"/>
  <c r="G20" i="86" s="1"/>
  <c r="H20" i="86" s="1"/>
  <c r="K20" i="86" s="1"/>
  <c r="L20" i="86" s="1"/>
  <c r="E18" i="86"/>
  <c r="G18" i="86" s="1"/>
  <c r="H18" i="86" s="1"/>
  <c r="K18" i="86" s="1"/>
  <c r="L18" i="86" s="1"/>
  <c r="E16" i="86"/>
  <c r="G16" i="86" s="1"/>
  <c r="H16" i="86" s="1"/>
  <c r="K16" i="86" s="1"/>
  <c r="L16" i="86" s="1"/>
  <c r="E1" i="85"/>
  <c r="J52" i="56"/>
  <c r="T32" i="32"/>
  <c r="T32" i="27"/>
  <c r="D88" i="50"/>
  <c r="D112" i="50"/>
  <c r="S32" i="32"/>
  <c r="J52" i="32" s="1"/>
  <c r="I57" i="88"/>
  <c r="B147" i="88"/>
  <c r="H147" i="88" s="1"/>
  <c r="J58" i="88"/>
  <c r="I58" i="88" s="1"/>
  <c r="E101" i="88"/>
  <c r="G101" i="88" s="1"/>
  <c r="H101" i="88" s="1"/>
  <c r="E102" i="88"/>
  <c r="G102" i="88" s="1"/>
  <c r="H102" i="88" s="1"/>
  <c r="E103" i="88"/>
  <c r="G103" i="88" s="1"/>
  <c r="H103" i="88" s="1"/>
  <c r="E104" i="88"/>
  <c r="G104" i="88" s="1"/>
  <c r="H104" i="88" s="1"/>
  <c r="E105" i="88"/>
  <c r="G105" i="88" s="1"/>
  <c r="H105" i="88" s="1"/>
  <c r="E108" i="88"/>
  <c r="G108" i="88" s="1"/>
  <c r="H108" i="88" s="1"/>
  <c r="E109" i="88"/>
  <c r="G109" i="88" s="1"/>
  <c r="H109" i="88" s="1"/>
  <c r="E110" i="88"/>
  <c r="G110" i="88" s="1"/>
  <c r="H110" i="88" s="1"/>
  <c r="E107" i="88"/>
  <c r="G107" i="88" s="1"/>
  <c r="H107" i="88" s="1"/>
  <c r="E111" i="88"/>
  <c r="G111" i="88" s="1"/>
  <c r="H111" i="88" s="1"/>
  <c r="E106" i="88"/>
  <c r="G106" i="88" s="1"/>
  <c r="H106" i="88" s="1"/>
  <c r="H56" i="88"/>
  <c r="U44" i="16"/>
  <c r="W44" i="16" s="1"/>
  <c r="J51" i="16" s="1"/>
  <c r="I51" i="16" s="1"/>
  <c r="D5" i="16" s="1"/>
  <c r="V44" i="16"/>
  <c r="E1" i="82"/>
  <c r="D52" i="83"/>
  <c r="B70" i="83" s="1"/>
  <c r="G1" i="83"/>
  <c r="G1" i="84"/>
  <c r="C52" i="84" s="1"/>
  <c r="C51" i="45"/>
  <c r="D51" i="45"/>
  <c r="R44" i="45" s="1"/>
  <c r="T28" i="45"/>
  <c r="T32" i="45" s="1"/>
  <c r="S28" i="45"/>
  <c r="S32" i="45" s="1"/>
  <c r="V40" i="45"/>
  <c r="O60" i="2"/>
  <c r="K61" i="2"/>
  <c r="N61" i="2" s="1"/>
  <c r="K49" i="2"/>
  <c r="N49" i="2" s="1"/>
  <c r="K55" i="2"/>
  <c r="N55" i="2" s="1"/>
  <c r="K56" i="2"/>
  <c r="N56" i="2" s="1"/>
  <c r="K53" i="2"/>
  <c r="N53" i="2" s="1"/>
  <c r="K54" i="2"/>
  <c r="N54" i="2" s="1"/>
  <c r="L101" i="1"/>
  <c r="O101" i="1" s="1"/>
  <c r="O111" i="1"/>
  <c r="K138" i="1"/>
  <c r="B104" i="58"/>
  <c r="C104" i="58"/>
  <c r="D104" i="58"/>
  <c r="F104" i="58"/>
  <c r="B81" i="58"/>
  <c r="C81" i="58"/>
  <c r="D81" i="58"/>
  <c r="F81" i="58"/>
  <c r="B78" i="61"/>
  <c r="C78" i="61"/>
  <c r="D78" i="61"/>
  <c r="F78" i="61"/>
  <c r="O50" i="2"/>
  <c r="B78" i="50"/>
  <c r="C78" i="50"/>
  <c r="D78" i="50"/>
  <c r="F78" i="50"/>
  <c r="B79" i="50"/>
  <c r="C79" i="50"/>
  <c r="D79" i="50"/>
  <c r="F79" i="50"/>
  <c r="B80" i="50"/>
  <c r="C80" i="50"/>
  <c r="D80" i="50"/>
  <c r="F80" i="50"/>
  <c r="B81" i="50"/>
  <c r="C81" i="50"/>
  <c r="D81" i="50"/>
  <c r="F81" i="50"/>
  <c r="W1" i="79"/>
  <c r="O132" i="1"/>
  <c r="O117" i="1"/>
  <c r="O134" i="1"/>
  <c r="B65" i="45"/>
  <c r="C65" i="45"/>
  <c r="F65" i="45"/>
  <c r="B65" i="50"/>
  <c r="C65" i="50"/>
  <c r="D65" i="50"/>
  <c r="F65" i="50"/>
  <c r="B80" i="32"/>
  <c r="C80" i="32"/>
  <c r="D80" i="32"/>
  <c r="F80" i="32"/>
  <c r="K17" i="2"/>
  <c r="N17" i="2" s="1"/>
  <c r="L17" i="2"/>
  <c r="O17" i="2" s="1"/>
  <c r="O119" i="1"/>
  <c r="K119" i="1"/>
  <c r="N119" i="1" s="1"/>
  <c r="S28" i="40"/>
  <c r="S30" i="40" s="1"/>
  <c r="D79" i="21"/>
  <c r="F79" i="21"/>
  <c r="D80" i="21"/>
  <c r="F80" i="21"/>
  <c r="F78" i="21"/>
  <c r="B79" i="21"/>
  <c r="C79" i="21"/>
  <c r="B80" i="21"/>
  <c r="C80" i="21"/>
  <c r="C78" i="21"/>
  <c r="D78" i="21"/>
  <c r="B78" i="21"/>
  <c r="B82" i="3"/>
  <c r="C82" i="3"/>
  <c r="D82" i="3"/>
  <c r="F82" i="3"/>
  <c r="B106" i="3"/>
  <c r="C106" i="3"/>
  <c r="D106" i="3"/>
  <c r="F106" i="3"/>
  <c r="B134" i="3"/>
  <c r="C134" i="3"/>
  <c r="D134" i="3"/>
  <c r="F134" i="3"/>
  <c r="S28" i="24"/>
  <c r="S30" i="24" s="1"/>
  <c r="AO1" i="9"/>
  <c r="U30" i="9"/>
  <c r="P15" i="79"/>
  <c r="U29" i="79"/>
  <c r="E1" i="75"/>
  <c r="G1" i="75" s="1"/>
  <c r="F74" i="78"/>
  <c r="D74" i="78"/>
  <c r="C74" i="78"/>
  <c r="B74" i="78"/>
  <c r="F73" i="78"/>
  <c r="D73" i="78"/>
  <c r="C73" i="78"/>
  <c r="B73" i="78"/>
  <c r="F72" i="78"/>
  <c r="D72" i="78"/>
  <c r="C72" i="78"/>
  <c r="B72" i="78"/>
  <c r="F71" i="78"/>
  <c r="D71" i="78"/>
  <c r="C71" i="78"/>
  <c r="B71" i="78"/>
  <c r="F70" i="78"/>
  <c r="D70" i="78"/>
  <c r="C70" i="78"/>
  <c r="B70" i="78"/>
  <c r="F69" i="78"/>
  <c r="D69" i="78"/>
  <c r="C69" i="78"/>
  <c r="B69" i="78"/>
  <c r="F68" i="78"/>
  <c r="D68" i="78"/>
  <c r="C68" i="78"/>
  <c r="B68" i="78"/>
  <c r="F67" i="78"/>
  <c r="D67" i="78"/>
  <c r="C67" i="78"/>
  <c r="B67" i="78"/>
  <c r="F66" i="78"/>
  <c r="D66" i="78"/>
  <c r="C66" i="78"/>
  <c r="B66" i="78"/>
  <c r="C51" i="78"/>
  <c r="F96" i="77"/>
  <c r="D96" i="77"/>
  <c r="C96" i="77"/>
  <c r="B96" i="77"/>
  <c r="F95" i="77"/>
  <c r="D95" i="77"/>
  <c r="C95" i="77"/>
  <c r="B95" i="77"/>
  <c r="F94" i="77"/>
  <c r="D94" i="77"/>
  <c r="C94" i="77"/>
  <c r="B94" i="77"/>
  <c r="F93" i="77"/>
  <c r="D93" i="77"/>
  <c r="C93" i="77"/>
  <c r="B93" i="77"/>
  <c r="F92" i="77"/>
  <c r="D92" i="77"/>
  <c r="C92" i="77"/>
  <c r="B92" i="77"/>
  <c r="F91" i="77"/>
  <c r="C91" i="77"/>
  <c r="B91" i="77"/>
  <c r="F82" i="77"/>
  <c r="D82" i="77"/>
  <c r="C82" i="77"/>
  <c r="B82" i="77"/>
  <c r="F81" i="77"/>
  <c r="D81" i="77"/>
  <c r="C81" i="77"/>
  <c r="B81" i="77"/>
  <c r="F80" i="77"/>
  <c r="D80" i="77"/>
  <c r="C80" i="77"/>
  <c r="B80" i="77"/>
  <c r="F79" i="77"/>
  <c r="D79" i="77"/>
  <c r="C79" i="77"/>
  <c r="B79" i="77"/>
  <c r="F78" i="77"/>
  <c r="D78" i="77"/>
  <c r="C78" i="77"/>
  <c r="B78" i="77"/>
  <c r="F77" i="77"/>
  <c r="C77" i="77"/>
  <c r="B77" i="77"/>
  <c r="F70" i="77"/>
  <c r="D70" i="77"/>
  <c r="C70" i="77"/>
  <c r="B70" i="77"/>
  <c r="F69" i="77"/>
  <c r="D69" i="77"/>
  <c r="C69" i="77"/>
  <c r="B69" i="77"/>
  <c r="F68" i="77"/>
  <c r="D68" i="77"/>
  <c r="C68" i="77"/>
  <c r="B68" i="77"/>
  <c r="F67" i="77"/>
  <c r="D67" i="77"/>
  <c r="C67" i="77"/>
  <c r="B67" i="77"/>
  <c r="F66" i="77"/>
  <c r="D66" i="77"/>
  <c r="C66" i="77"/>
  <c r="B66" i="77"/>
  <c r="F65" i="77"/>
  <c r="C65" i="77"/>
  <c r="B65" i="77"/>
  <c r="V44" i="77"/>
  <c r="U44" i="77"/>
  <c r="W44" i="77"/>
  <c r="J51" i="77" s="1"/>
  <c r="I51" i="77" s="1"/>
  <c r="T29" i="77"/>
  <c r="AA28" i="77"/>
  <c r="AB28" i="77" s="1"/>
  <c r="T28" i="77"/>
  <c r="R25" i="77"/>
  <c r="R44" i="75"/>
  <c r="V40" i="75"/>
  <c r="F129" i="74"/>
  <c r="D129" i="74"/>
  <c r="C129" i="74"/>
  <c r="B129" i="74"/>
  <c r="F128" i="74"/>
  <c r="D128" i="74"/>
  <c r="C128" i="74"/>
  <c r="B128" i="74"/>
  <c r="F127" i="74"/>
  <c r="D127" i="74"/>
  <c r="C127" i="74"/>
  <c r="B127" i="74"/>
  <c r="F126" i="74"/>
  <c r="D126" i="74"/>
  <c r="C126" i="74"/>
  <c r="B126" i="74"/>
  <c r="F125" i="74"/>
  <c r="D125" i="74"/>
  <c r="C125" i="74"/>
  <c r="B125" i="74"/>
  <c r="F124" i="74"/>
  <c r="D124" i="74"/>
  <c r="C124" i="74"/>
  <c r="B124" i="74"/>
  <c r="F123" i="74"/>
  <c r="D123" i="74"/>
  <c r="C123" i="74"/>
  <c r="B123" i="74"/>
  <c r="F122" i="74"/>
  <c r="D122" i="74"/>
  <c r="C122" i="74"/>
  <c r="B122" i="74"/>
  <c r="F121" i="74"/>
  <c r="D121" i="74"/>
  <c r="C121" i="74"/>
  <c r="B121" i="74"/>
  <c r="F120" i="74"/>
  <c r="D120" i="74"/>
  <c r="C120" i="74"/>
  <c r="B120" i="74"/>
  <c r="F119" i="74"/>
  <c r="D119" i="74"/>
  <c r="C119" i="74"/>
  <c r="B119" i="74"/>
  <c r="F118" i="74"/>
  <c r="D118" i="74"/>
  <c r="C118" i="74"/>
  <c r="B118" i="74"/>
  <c r="F117" i="74"/>
  <c r="D117" i="74"/>
  <c r="C117" i="74"/>
  <c r="B117" i="74"/>
  <c r="F116" i="74"/>
  <c r="D116" i="74"/>
  <c r="C116" i="74"/>
  <c r="B116" i="74"/>
  <c r="F115" i="74"/>
  <c r="D115" i="74"/>
  <c r="C115" i="74"/>
  <c r="B115" i="74"/>
  <c r="F114" i="74"/>
  <c r="D114" i="74"/>
  <c r="C114" i="74"/>
  <c r="B114" i="74"/>
  <c r="F113" i="74"/>
  <c r="C113" i="74"/>
  <c r="B113" i="74"/>
  <c r="F104" i="74"/>
  <c r="D104" i="74"/>
  <c r="C104" i="74"/>
  <c r="B104" i="74"/>
  <c r="F103" i="74"/>
  <c r="D103" i="74"/>
  <c r="C103" i="74"/>
  <c r="B103" i="74"/>
  <c r="F102" i="74"/>
  <c r="D102" i="74"/>
  <c r="C102" i="74"/>
  <c r="B102" i="74"/>
  <c r="F101" i="74"/>
  <c r="D101" i="74"/>
  <c r="C101" i="74"/>
  <c r="B101" i="74"/>
  <c r="F100" i="74"/>
  <c r="D100" i="74"/>
  <c r="C100" i="74"/>
  <c r="B100" i="74"/>
  <c r="F99" i="74"/>
  <c r="D99" i="74"/>
  <c r="C99" i="74"/>
  <c r="B99" i="74"/>
  <c r="F98" i="74"/>
  <c r="D98" i="74"/>
  <c r="C98" i="74"/>
  <c r="B98" i="74"/>
  <c r="F97" i="74"/>
  <c r="D97" i="74"/>
  <c r="C97" i="74"/>
  <c r="B97" i="74"/>
  <c r="F96" i="74"/>
  <c r="D96" i="74"/>
  <c r="C96" i="74"/>
  <c r="B96" i="74"/>
  <c r="F95" i="74"/>
  <c r="D95" i="74"/>
  <c r="C95" i="74"/>
  <c r="B95" i="74"/>
  <c r="F94" i="74"/>
  <c r="D94" i="74"/>
  <c r="C94" i="74"/>
  <c r="B94" i="74"/>
  <c r="F93" i="74"/>
  <c r="D93" i="74"/>
  <c r="C93" i="74"/>
  <c r="B93" i="74"/>
  <c r="F92" i="74"/>
  <c r="D92" i="74"/>
  <c r="C92" i="74"/>
  <c r="B92" i="74"/>
  <c r="F91" i="74"/>
  <c r="D91" i="74"/>
  <c r="C91" i="74"/>
  <c r="B91" i="74"/>
  <c r="F90" i="74"/>
  <c r="D90" i="74"/>
  <c r="C90" i="74"/>
  <c r="B90" i="74"/>
  <c r="F89" i="74"/>
  <c r="D89" i="74"/>
  <c r="C89" i="74"/>
  <c r="B89" i="74"/>
  <c r="F88" i="74"/>
  <c r="C88" i="74"/>
  <c r="B88" i="74"/>
  <c r="F81" i="74"/>
  <c r="D81" i="74"/>
  <c r="C81" i="74"/>
  <c r="B81" i="74"/>
  <c r="F80" i="74"/>
  <c r="D80" i="74"/>
  <c r="C80" i="74"/>
  <c r="B80" i="74"/>
  <c r="F79" i="74"/>
  <c r="D79" i="74"/>
  <c r="C79" i="74"/>
  <c r="B79" i="74"/>
  <c r="F78" i="74"/>
  <c r="D78" i="74"/>
  <c r="C78" i="74"/>
  <c r="B78" i="74"/>
  <c r="F77" i="74"/>
  <c r="D77" i="74"/>
  <c r="C77" i="74"/>
  <c r="B77" i="74"/>
  <c r="F76" i="74"/>
  <c r="D76" i="74"/>
  <c r="C76" i="74"/>
  <c r="B76" i="74"/>
  <c r="F75" i="74"/>
  <c r="D75" i="74"/>
  <c r="C75" i="74"/>
  <c r="B75" i="74"/>
  <c r="F74" i="74"/>
  <c r="D74" i="74"/>
  <c r="C74" i="74"/>
  <c r="B74" i="74"/>
  <c r="F73" i="74"/>
  <c r="D73" i="74"/>
  <c r="C73" i="74"/>
  <c r="B73" i="74"/>
  <c r="F72" i="74"/>
  <c r="D72" i="74"/>
  <c r="C72" i="74"/>
  <c r="B72" i="74"/>
  <c r="F71" i="74"/>
  <c r="D71" i="74"/>
  <c r="C71" i="74"/>
  <c r="B71" i="74"/>
  <c r="F70" i="74"/>
  <c r="D70" i="74"/>
  <c r="C70" i="74"/>
  <c r="B70" i="74"/>
  <c r="F69" i="74"/>
  <c r="D69" i="74"/>
  <c r="C69" i="74"/>
  <c r="B69" i="74"/>
  <c r="F68" i="74"/>
  <c r="D68" i="74"/>
  <c r="C68" i="74"/>
  <c r="B68" i="74"/>
  <c r="F67" i="74"/>
  <c r="D67" i="74"/>
  <c r="C67" i="74"/>
  <c r="B67" i="74"/>
  <c r="F66" i="74"/>
  <c r="D66" i="74"/>
  <c r="C66" i="74"/>
  <c r="F65" i="74"/>
  <c r="C65" i="74"/>
  <c r="B65" i="74"/>
  <c r="V40" i="74"/>
  <c r="J52" i="74"/>
  <c r="I52" i="74" s="1"/>
  <c r="T29" i="74"/>
  <c r="T32" i="74" s="1"/>
  <c r="U32" i="74" s="1"/>
  <c r="AC30" i="74" s="1"/>
  <c r="U28" i="74"/>
  <c r="D51" i="74"/>
  <c r="K1" i="74"/>
  <c r="C51" i="74"/>
  <c r="F70" i="73"/>
  <c r="D70" i="73"/>
  <c r="C70" i="73"/>
  <c r="B70" i="73"/>
  <c r="F69" i="73"/>
  <c r="D69" i="73"/>
  <c r="C69" i="73"/>
  <c r="B69" i="73"/>
  <c r="F68" i="73"/>
  <c r="D68" i="73"/>
  <c r="C68" i="73"/>
  <c r="B68" i="73"/>
  <c r="F67" i="73"/>
  <c r="D67" i="73"/>
  <c r="C67" i="73"/>
  <c r="B67" i="73"/>
  <c r="F66" i="73"/>
  <c r="D66" i="73"/>
  <c r="C66" i="73"/>
  <c r="B66" i="73"/>
  <c r="F65" i="73"/>
  <c r="C65" i="73"/>
  <c r="B65" i="73"/>
  <c r="D51" i="73"/>
  <c r="R44" i="73" s="1"/>
  <c r="C51" i="73"/>
  <c r="V40" i="73"/>
  <c r="T33" i="73"/>
  <c r="J52" i="73"/>
  <c r="U30" i="73"/>
  <c r="T30" i="73"/>
  <c r="T29" i="73"/>
  <c r="U28" i="73"/>
  <c r="F116" i="72"/>
  <c r="D116" i="72"/>
  <c r="C116" i="72"/>
  <c r="B116" i="72"/>
  <c r="F115" i="72"/>
  <c r="D115" i="72"/>
  <c r="C115" i="72"/>
  <c r="B115" i="72"/>
  <c r="F114" i="72"/>
  <c r="D114" i="72"/>
  <c r="C114" i="72"/>
  <c r="B114" i="72"/>
  <c r="F113" i="72"/>
  <c r="D113" i="72"/>
  <c r="C113" i="72"/>
  <c r="B113" i="72"/>
  <c r="F112" i="72"/>
  <c r="D112" i="72"/>
  <c r="C112" i="72"/>
  <c r="B112" i="72"/>
  <c r="F111" i="72"/>
  <c r="D111" i="72"/>
  <c r="C111" i="72"/>
  <c r="B111" i="72"/>
  <c r="F110" i="72"/>
  <c r="D110" i="72"/>
  <c r="C110" i="72"/>
  <c r="B110" i="72"/>
  <c r="F109" i="72"/>
  <c r="D109" i="72"/>
  <c r="C109" i="72"/>
  <c r="B109" i="72"/>
  <c r="F108" i="72"/>
  <c r="D108" i="72"/>
  <c r="C108" i="72"/>
  <c r="B108" i="72"/>
  <c r="F107" i="72"/>
  <c r="D107" i="72"/>
  <c r="C107" i="72"/>
  <c r="B107" i="72"/>
  <c r="F106" i="72"/>
  <c r="D106" i="72"/>
  <c r="C106" i="72"/>
  <c r="B106" i="72"/>
  <c r="F105" i="72"/>
  <c r="D105" i="72"/>
  <c r="C105" i="72"/>
  <c r="B105" i="72"/>
  <c r="F104" i="72"/>
  <c r="D104" i="72"/>
  <c r="C104" i="72"/>
  <c r="B104" i="72"/>
  <c r="F103" i="72"/>
  <c r="D103" i="72"/>
  <c r="C103" i="72"/>
  <c r="B103" i="72"/>
  <c r="F102" i="72"/>
  <c r="D102" i="72"/>
  <c r="C102" i="72"/>
  <c r="B102" i="72"/>
  <c r="F101" i="72"/>
  <c r="D101" i="72"/>
  <c r="C101" i="72"/>
  <c r="B101" i="72"/>
  <c r="F100" i="72"/>
  <c r="D100" i="72"/>
  <c r="C100" i="72"/>
  <c r="B100" i="72"/>
  <c r="F99" i="72"/>
  <c r="D99" i="72"/>
  <c r="C99" i="72"/>
  <c r="B99" i="72"/>
  <c r="F98" i="72"/>
  <c r="D98" i="72"/>
  <c r="C98" i="72"/>
  <c r="B98" i="72"/>
  <c r="F97" i="72"/>
  <c r="D97" i="72"/>
  <c r="C97" i="72"/>
  <c r="B97" i="72"/>
  <c r="F96" i="72"/>
  <c r="D96" i="72"/>
  <c r="C96" i="72"/>
  <c r="B96" i="72"/>
  <c r="F95" i="72"/>
  <c r="D95" i="72"/>
  <c r="C95" i="72"/>
  <c r="B95" i="72"/>
  <c r="F94" i="72"/>
  <c r="C94" i="72"/>
  <c r="B94" i="72"/>
  <c r="F87" i="72"/>
  <c r="D87" i="72"/>
  <c r="C87" i="72"/>
  <c r="B87" i="72"/>
  <c r="F86" i="72"/>
  <c r="D86" i="72"/>
  <c r="C86" i="72"/>
  <c r="B86" i="72"/>
  <c r="F85" i="72"/>
  <c r="D85" i="72"/>
  <c r="C85" i="72"/>
  <c r="B85" i="72"/>
  <c r="F84" i="72"/>
  <c r="D84" i="72"/>
  <c r="C84" i="72"/>
  <c r="B84" i="72"/>
  <c r="F83" i="72"/>
  <c r="D83" i="72"/>
  <c r="C83" i="72"/>
  <c r="B83" i="72"/>
  <c r="F82" i="72"/>
  <c r="D82" i="72"/>
  <c r="C82" i="72"/>
  <c r="B82" i="72"/>
  <c r="F81" i="72"/>
  <c r="D81" i="72"/>
  <c r="C81" i="72"/>
  <c r="B81" i="72"/>
  <c r="F80" i="72"/>
  <c r="D80" i="72"/>
  <c r="C80" i="72"/>
  <c r="B80" i="72"/>
  <c r="F79" i="72"/>
  <c r="D79" i="72"/>
  <c r="C79" i="72"/>
  <c r="B79" i="72"/>
  <c r="F78" i="72"/>
  <c r="D78" i="72"/>
  <c r="C78" i="72"/>
  <c r="B78" i="72"/>
  <c r="F77" i="72"/>
  <c r="D77" i="72"/>
  <c r="C77" i="72"/>
  <c r="B77" i="72"/>
  <c r="F76" i="72"/>
  <c r="D76" i="72"/>
  <c r="C76" i="72"/>
  <c r="B76" i="72"/>
  <c r="F75" i="72"/>
  <c r="D75" i="72"/>
  <c r="C75" i="72"/>
  <c r="B75" i="72"/>
  <c r="F74" i="72"/>
  <c r="D74" i="72"/>
  <c r="C74" i="72"/>
  <c r="B74" i="72"/>
  <c r="F73" i="72"/>
  <c r="D73" i="72"/>
  <c r="C73" i="72"/>
  <c r="B73" i="72"/>
  <c r="F72" i="72"/>
  <c r="D72" i="72"/>
  <c r="C72" i="72"/>
  <c r="B72" i="72"/>
  <c r="F71" i="72"/>
  <c r="D71" i="72"/>
  <c r="C71" i="72"/>
  <c r="B71" i="72"/>
  <c r="F70" i="72"/>
  <c r="D70" i="72"/>
  <c r="C70" i="72"/>
  <c r="B70" i="72"/>
  <c r="F69" i="72"/>
  <c r="D69" i="72"/>
  <c r="C69" i="72"/>
  <c r="B69" i="72"/>
  <c r="F68" i="72"/>
  <c r="D68" i="72"/>
  <c r="C68" i="72"/>
  <c r="B68" i="72"/>
  <c r="F67" i="72"/>
  <c r="D67" i="72"/>
  <c r="C67" i="72"/>
  <c r="B67" i="72"/>
  <c r="F66" i="72"/>
  <c r="D66" i="72"/>
  <c r="C66" i="72"/>
  <c r="B66" i="72"/>
  <c r="F65" i="72"/>
  <c r="C65" i="72"/>
  <c r="B65" i="72"/>
  <c r="D51" i="72"/>
  <c r="C51" i="72"/>
  <c r="V40" i="72"/>
  <c r="S30" i="72"/>
  <c r="U29" i="72"/>
  <c r="T28" i="72"/>
  <c r="S28" i="72"/>
  <c r="F92" i="71"/>
  <c r="D92" i="71"/>
  <c r="C92" i="71"/>
  <c r="B92" i="71"/>
  <c r="F91" i="71"/>
  <c r="D91" i="71"/>
  <c r="C91" i="71"/>
  <c r="B91" i="71"/>
  <c r="F90" i="71"/>
  <c r="D90" i="71"/>
  <c r="C90" i="71"/>
  <c r="B90" i="71"/>
  <c r="F89" i="71"/>
  <c r="D89" i="71"/>
  <c r="C89" i="71"/>
  <c r="B89" i="71"/>
  <c r="F88" i="71"/>
  <c r="D88" i="71"/>
  <c r="C88" i="71"/>
  <c r="B88" i="71"/>
  <c r="F87" i="71"/>
  <c r="D87" i="71"/>
  <c r="C87" i="71"/>
  <c r="B87" i="71"/>
  <c r="F86" i="71"/>
  <c r="D86" i="71"/>
  <c r="C86" i="71"/>
  <c r="B86" i="71"/>
  <c r="F85" i="71"/>
  <c r="D85" i="71"/>
  <c r="C85" i="71"/>
  <c r="B85" i="71"/>
  <c r="F84" i="71"/>
  <c r="D84" i="71"/>
  <c r="C84" i="71"/>
  <c r="B84" i="71"/>
  <c r="F83" i="71"/>
  <c r="D83" i="71"/>
  <c r="C83" i="71"/>
  <c r="B83" i="71"/>
  <c r="F82" i="71"/>
  <c r="C82" i="71"/>
  <c r="B82" i="71"/>
  <c r="F75" i="71"/>
  <c r="D75" i="71"/>
  <c r="C75" i="71"/>
  <c r="B75" i="71"/>
  <c r="F74" i="71"/>
  <c r="D74" i="71"/>
  <c r="C74" i="71"/>
  <c r="B74" i="71"/>
  <c r="F73" i="71"/>
  <c r="D73" i="71"/>
  <c r="C73" i="71"/>
  <c r="B73" i="71"/>
  <c r="F72" i="71"/>
  <c r="D72" i="71"/>
  <c r="C72" i="71"/>
  <c r="B72" i="71"/>
  <c r="F71" i="71"/>
  <c r="D71" i="71"/>
  <c r="C71" i="71"/>
  <c r="B71" i="71"/>
  <c r="F70" i="71"/>
  <c r="D70" i="71"/>
  <c r="C70" i="71"/>
  <c r="B70" i="71"/>
  <c r="F69" i="71"/>
  <c r="D69" i="71"/>
  <c r="C69" i="71"/>
  <c r="B69" i="71"/>
  <c r="F68" i="71"/>
  <c r="D68" i="71"/>
  <c r="C68" i="71"/>
  <c r="B68" i="71"/>
  <c r="F67" i="71"/>
  <c r="D67" i="71"/>
  <c r="C67" i="71"/>
  <c r="B67" i="71"/>
  <c r="F66" i="71"/>
  <c r="D66" i="71"/>
  <c r="C66" i="71"/>
  <c r="B66" i="71"/>
  <c r="F65" i="71"/>
  <c r="C65" i="71"/>
  <c r="B65" i="71"/>
  <c r="D51" i="71"/>
  <c r="C51" i="71"/>
  <c r="R44" i="71"/>
  <c r="V40" i="71"/>
  <c r="S30" i="71"/>
  <c r="U29" i="71"/>
  <c r="T28" i="71"/>
  <c r="S28" i="71"/>
  <c r="L1" i="71"/>
  <c r="F136" i="70"/>
  <c r="D136" i="70"/>
  <c r="C136" i="70"/>
  <c r="B136" i="70"/>
  <c r="F135" i="70"/>
  <c r="D135" i="70"/>
  <c r="C135" i="70"/>
  <c r="B135" i="70"/>
  <c r="F134" i="70"/>
  <c r="D134" i="70"/>
  <c r="C134" i="70"/>
  <c r="B134" i="70"/>
  <c r="F133" i="70"/>
  <c r="D133" i="70"/>
  <c r="C133" i="70"/>
  <c r="B133" i="70"/>
  <c r="F132" i="70"/>
  <c r="D132" i="70"/>
  <c r="C132" i="70"/>
  <c r="B132" i="70"/>
  <c r="F131" i="70"/>
  <c r="D131" i="70"/>
  <c r="C131" i="70"/>
  <c r="B131" i="70"/>
  <c r="F130" i="70"/>
  <c r="D130" i="70"/>
  <c r="C130" i="70"/>
  <c r="B130" i="70"/>
  <c r="F129" i="70"/>
  <c r="D129" i="70"/>
  <c r="C129" i="70"/>
  <c r="B129" i="70"/>
  <c r="F128" i="70"/>
  <c r="D128" i="70"/>
  <c r="C128" i="70"/>
  <c r="B128" i="70"/>
  <c r="F127" i="70"/>
  <c r="D127" i="70"/>
  <c r="C127" i="70"/>
  <c r="B127" i="70"/>
  <c r="F126" i="70"/>
  <c r="D126" i="70"/>
  <c r="C126" i="70"/>
  <c r="B126" i="70"/>
  <c r="F125" i="70"/>
  <c r="D125" i="70"/>
  <c r="C125" i="70"/>
  <c r="B125" i="70"/>
  <c r="F124" i="70"/>
  <c r="D124" i="70"/>
  <c r="C124" i="70"/>
  <c r="B124" i="70"/>
  <c r="F123" i="70"/>
  <c r="D123" i="70"/>
  <c r="C123" i="70"/>
  <c r="B123" i="70"/>
  <c r="F122" i="70"/>
  <c r="D122" i="70"/>
  <c r="C122" i="70"/>
  <c r="B122" i="70"/>
  <c r="F121" i="70"/>
  <c r="D121" i="70"/>
  <c r="C121" i="70"/>
  <c r="B121" i="70"/>
  <c r="F120" i="70"/>
  <c r="D120" i="70"/>
  <c r="C120" i="70"/>
  <c r="B120" i="70"/>
  <c r="F119" i="70"/>
  <c r="D119" i="70"/>
  <c r="C119" i="70"/>
  <c r="B119" i="70"/>
  <c r="F118" i="70"/>
  <c r="C118" i="70"/>
  <c r="B118" i="70"/>
  <c r="F109" i="70"/>
  <c r="D109" i="70"/>
  <c r="C109" i="70"/>
  <c r="B109" i="70"/>
  <c r="F108" i="70"/>
  <c r="D108" i="70"/>
  <c r="C108" i="70"/>
  <c r="B108" i="70"/>
  <c r="F107" i="70"/>
  <c r="D107" i="70"/>
  <c r="C107" i="70"/>
  <c r="B107" i="70"/>
  <c r="F106" i="70"/>
  <c r="D106" i="70"/>
  <c r="C106" i="70"/>
  <c r="B106" i="70"/>
  <c r="F105" i="70"/>
  <c r="D105" i="70"/>
  <c r="C105" i="70"/>
  <c r="B105" i="70"/>
  <c r="F104" i="70"/>
  <c r="D104" i="70"/>
  <c r="C104" i="70"/>
  <c r="B104" i="70"/>
  <c r="F103" i="70"/>
  <c r="D103" i="70"/>
  <c r="C103" i="70"/>
  <c r="B103" i="70"/>
  <c r="F102" i="70"/>
  <c r="D102" i="70"/>
  <c r="C102" i="70"/>
  <c r="B102" i="70"/>
  <c r="F101" i="70"/>
  <c r="D101" i="70"/>
  <c r="C101" i="70"/>
  <c r="B101" i="70"/>
  <c r="F100" i="70"/>
  <c r="D100" i="70"/>
  <c r="C100" i="70"/>
  <c r="B100" i="70"/>
  <c r="F99" i="70"/>
  <c r="D99" i="70"/>
  <c r="C99" i="70"/>
  <c r="B99" i="70"/>
  <c r="F98" i="70"/>
  <c r="D98" i="70"/>
  <c r="C98" i="70"/>
  <c r="B98" i="70"/>
  <c r="F97" i="70"/>
  <c r="D97" i="70"/>
  <c r="C97" i="70"/>
  <c r="B97" i="70"/>
  <c r="F96" i="70"/>
  <c r="D96" i="70"/>
  <c r="C96" i="70"/>
  <c r="B96" i="70"/>
  <c r="F95" i="70"/>
  <c r="D95" i="70"/>
  <c r="C95" i="70"/>
  <c r="B95" i="70"/>
  <c r="F94" i="70"/>
  <c r="D94" i="70"/>
  <c r="C94" i="70"/>
  <c r="B94" i="70"/>
  <c r="F93" i="70"/>
  <c r="D93" i="70"/>
  <c r="C93" i="70"/>
  <c r="B93" i="70"/>
  <c r="F92" i="70"/>
  <c r="D92" i="70"/>
  <c r="C92" i="70"/>
  <c r="B92" i="70"/>
  <c r="F91" i="70"/>
  <c r="C91" i="70"/>
  <c r="B91" i="70"/>
  <c r="F83" i="70"/>
  <c r="D83" i="70"/>
  <c r="C83" i="70"/>
  <c r="B83" i="70"/>
  <c r="F82" i="70"/>
  <c r="D82" i="70"/>
  <c r="C82" i="70"/>
  <c r="B82" i="70"/>
  <c r="F81" i="70"/>
  <c r="D81" i="70"/>
  <c r="C81" i="70"/>
  <c r="B81" i="70"/>
  <c r="F80" i="70"/>
  <c r="D80" i="70"/>
  <c r="C80" i="70"/>
  <c r="B80" i="70"/>
  <c r="F79" i="70"/>
  <c r="D79" i="70"/>
  <c r="C79" i="70"/>
  <c r="B79" i="70"/>
  <c r="F78" i="70"/>
  <c r="D78" i="70"/>
  <c r="C78" i="70"/>
  <c r="B78" i="70"/>
  <c r="F77" i="70"/>
  <c r="D77" i="70"/>
  <c r="C77" i="70"/>
  <c r="B77" i="70"/>
  <c r="F76" i="70"/>
  <c r="D76" i="70"/>
  <c r="C76" i="70"/>
  <c r="B76" i="70"/>
  <c r="F75" i="70"/>
  <c r="D75" i="70"/>
  <c r="C75" i="70"/>
  <c r="B75" i="70"/>
  <c r="F74" i="70"/>
  <c r="D74" i="70"/>
  <c r="C74" i="70"/>
  <c r="B74" i="70"/>
  <c r="F73" i="70"/>
  <c r="D73" i="70"/>
  <c r="C73" i="70"/>
  <c r="B73" i="70"/>
  <c r="F72" i="70"/>
  <c r="D72" i="70"/>
  <c r="C72" i="70"/>
  <c r="B72" i="70"/>
  <c r="F71" i="70"/>
  <c r="D71" i="70"/>
  <c r="C71" i="70"/>
  <c r="B71" i="70"/>
  <c r="F70" i="70"/>
  <c r="D70" i="70"/>
  <c r="C70" i="70"/>
  <c r="B70" i="70"/>
  <c r="F69" i="70"/>
  <c r="D69" i="70"/>
  <c r="C69" i="70"/>
  <c r="B69" i="70"/>
  <c r="F68" i="70"/>
  <c r="D68" i="70"/>
  <c r="C68" i="70"/>
  <c r="B68" i="70"/>
  <c r="F67" i="70"/>
  <c r="D67" i="70"/>
  <c r="C67" i="70"/>
  <c r="B67" i="70"/>
  <c r="F66" i="70"/>
  <c r="D66" i="70"/>
  <c r="C66" i="70"/>
  <c r="B66" i="70"/>
  <c r="F65" i="70"/>
  <c r="C65" i="70"/>
  <c r="B65" i="70"/>
  <c r="D51" i="70"/>
  <c r="R44" i="70" s="1"/>
  <c r="C51" i="70"/>
  <c r="V40" i="70"/>
  <c r="S30" i="70"/>
  <c r="U29" i="70"/>
  <c r="T28" i="70"/>
  <c r="S28" i="70"/>
  <c r="F106" i="69"/>
  <c r="D106" i="69"/>
  <c r="C106" i="69"/>
  <c r="B106" i="69"/>
  <c r="F105" i="69"/>
  <c r="D105" i="69"/>
  <c r="C105" i="69"/>
  <c r="B105" i="69"/>
  <c r="F104" i="69"/>
  <c r="D104" i="69"/>
  <c r="C104" i="69"/>
  <c r="B104" i="69"/>
  <c r="F103" i="69"/>
  <c r="D103" i="69"/>
  <c r="C103" i="69"/>
  <c r="B103" i="69"/>
  <c r="F102" i="69"/>
  <c r="D102" i="69"/>
  <c r="C102" i="69"/>
  <c r="B102" i="69"/>
  <c r="F101" i="69"/>
  <c r="D101" i="69"/>
  <c r="C101" i="69"/>
  <c r="B101" i="69"/>
  <c r="F100" i="69"/>
  <c r="D100" i="69"/>
  <c r="C100" i="69"/>
  <c r="B100" i="69"/>
  <c r="F99" i="69"/>
  <c r="D99" i="69"/>
  <c r="C99" i="69"/>
  <c r="B99" i="69"/>
  <c r="F98" i="69"/>
  <c r="D98" i="69"/>
  <c r="C98" i="69"/>
  <c r="B98" i="69"/>
  <c r="F97" i="69"/>
  <c r="D97" i="69"/>
  <c r="C97" i="69"/>
  <c r="B97" i="69"/>
  <c r="F96" i="69"/>
  <c r="D96" i="69"/>
  <c r="C96" i="69"/>
  <c r="B96" i="69"/>
  <c r="F95" i="69"/>
  <c r="D95" i="69"/>
  <c r="C95" i="69"/>
  <c r="B95" i="69"/>
  <c r="F94" i="69"/>
  <c r="D94" i="69"/>
  <c r="C94" i="69"/>
  <c r="B94" i="69"/>
  <c r="F93" i="69"/>
  <c r="D93" i="69"/>
  <c r="C93" i="69"/>
  <c r="B93" i="69"/>
  <c r="F92" i="69"/>
  <c r="D92" i="69"/>
  <c r="C92" i="69"/>
  <c r="B92" i="69"/>
  <c r="F91" i="69"/>
  <c r="D91" i="69"/>
  <c r="C91" i="69"/>
  <c r="B91" i="69"/>
  <c r="F90" i="69"/>
  <c r="D90" i="69"/>
  <c r="C90" i="69"/>
  <c r="B90" i="69"/>
  <c r="F89" i="69"/>
  <c r="C89" i="69"/>
  <c r="B89" i="69"/>
  <c r="F82" i="69"/>
  <c r="D82" i="69"/>
  <c r="C82" i="69"/>
  <c r="B82" i="69"/>
  <c r="F81" i="69"/>
  <c r="D81" i="69"/>
  <c r="C81" i="69"/>
  <c r="B81" i="69"/>
  <c r="F80" i="69"/>
  <c r="D80" i="69"/>
  <c r="C80" i="69"/>
  <c r="B80" i="69"/>
  <c r="F79" i="69"/>
  <c r="D79" i="69"/>
  <c r="C79" i="69"/>
  <c r="B79" i="69"/>
  <c r="F78" i="69"/>
  <c r="D78" i="69"/>
  <c r="C78" i="69"/>
  <c r="B78" i="69"/>
  <c r="F77" i="69"/>
  <c r="D77" i="69"/>
  <c r="C77" i="69"/>
  <c r="B77" i="69"/>
  <c r="F76" i="69"/>
  <c r="D76" i="69"/>
  <c r="C76" i="69"/>
  <c r="B76" i="69"/>
  <c r="F75" i="69"/>
  <c r="D75" i="69"/>
  <c r="C75" i="69"/>
  <c r="B75" i="69"/>
  <c r="F74" i="69"/>
  <c r="D74" i="69"/>
  <c r="C74" i="69"/>
  <c r="B74" i="69"/>
  <c r="F73" i="69"/>
  <c r="D73" i="69"/>
  <c r="C73" i="69"/>
  <c r="B73" i="69"/>
  <c r="F72" i="69"/>
  <c r="D72" i="69"/>
  <c r="C72" i="69"/>
  <c r="B72" i="69"/>
  <c r="F71" i="69"/>
  <c r="D71" i="69"/>
  <c r="C71" i="69"/>
  <c r="B71" i="69"/>
  <c r="F70" i="69"/>
  <c r="D70" i="69"/>
  <c r="C70" i="69"/>
  <c r="B70" i="69"/>
  <c r="F69" i="69"/>
  <c r="D69" i="69"/>
  <c r="C69" i="69"/>
  <c r="B69" i="69"/>
  <c r="F68" i="69"/>
  <c r="D68" i="69"/>
  <c r="C68" i="69"/>
  <c r="B68" i="69"/>
  <c r="F67" i="69"/>
  <c r="D67" i="69"/>
  <c r="C67" i="69"/>
  <c r="B67" i="69"/>
  <c r="F66" i="69"/>
  <c r="D66" i="69"/>
  <c r="C66" i="69"/>
  <c r="B66" i="69"/>
  <c r="F65" i="69"/>
  <c r="C65" i="69"/>
  <c r="B65" i="69"/>
  <c r="D51" i="69"/>
  <c r="V40" i="69"/>
  <c r="S30" i="69"/>
  <c r="U29" i="69"/>
  <c r="T28" i="69"/>
  <c r="T32" i="69" s="1"/>
  <c r="S28" i="69"/>
  <c r="F72" i="68"/>
  <c r="D72" i="68"/>
  <c r="C72" i="68"/>
  <c r="B72" i="68"/>
  <c r="F71" i="68"/>
  <c r="D71" i="68"/>
  <c r="C71" i="68"/>
  <c r="B71" i="68"/>
  <c r="F70" i="68"/>
  <c r="D70" i="68"/>
  <c r="C70" i="68"/>
  <c r="B70" i="68"/>
  <c r="F69" i="68"/>
  <c r="D69" i="68"/>
  <c r="C69" i="68"/>
  <c r="B69" i="68"/>
  <c r="F68" i="68"/>
  <c r="D68" i="68"/>
  <c r="C68" i="68"/>
  <c r="B68" i="68"/>
  <c r="F67" i="68"/>
  <c r="D67" i="68"/>
  <c r="C67" i="68"/>
  <c r="B67" i="68"/>
  <c r="F66" i="68"/>
  <c r="D66" i="68"/>
  <c r="C66" i="68"/>
  <c r="B66" i="68"/>
  <c r="F65" i="68"/>
  <c r="D65" i="68"/>
  <c r="C65" i="68"/>
  <c r="B65" i="68"/>
  <c r="C51" i="68"/>
  <c r="D51" i="67"/>
  <c r="U31" i="67"/>
  <c r="T32" i="67"/>
  <c r="S30" i="67"/>
  <c r="S32" i="67" s="1"/>
  <c r="U29" i="67"/>
  <c r="U32" i="67" s="1"/>
  <c r="K1" i="67"/>
  <c r="F153" i="66"/>
  <c r="C153" i="66"/>
  <c r="B153" i="66"/>
  <c r="F152" i="66"/>
  <c r="C152" i="66"/>
  <c r="B152" i="66"/>
  <c r="F151" i="66"/>
  <c r="C151" i="66"/>
  <c r="B151" i="66"/>
  <c r="F150" i="66"/>
  <c r="C150" i="66"/>
  <c r="B150" i="66"/>
  <c r="F149" i="66"/>
  <c r="C149" i="66"/>
  <c r="B149" i="66"/>
  <c r="F148" i="66"/>
  <c r="C148" i="66"/>
  <c r="B148" i="66"/>
  <c r="F147" i="66"/>
  <c r="C147" i="66"/>
  <c r="B147" i="66"/>
  <c r="F146" i="66"/>
  <c r="C146" i="66"/>
  <c r="B146" i="66"/>
  <c r="F145" i="66"/>
  <c r="C145" i="66"/>
  <c r="B145" i="66"/>
  <c r="F137" i="66"/>
  <c r="C137" i="66"/>
  <c r="B137" i="66"/>
  <c r="F136" i="66"/>
  <c r="C136" i="66"/>
  <c r="B136" i="66"/>
  <c r="F135" i="66"/>
  <c r="C135" i="66"/>
  <c r="B135" i="66"/>
  <c r="F134" i="66"/>
  <c r="C134" i="66"/>
  <c r="B134" i="66"/>
  <c r="F133" i="66"/>
  <c r="C133" i="66"/>
  <c r="B133" i="66"/>
  <c r="F132" i="66"/>
  <c r="C132" i="66"/>
  <c r="B132" i="66"/>
  <c r="F131" i="66"/>
  <c r="C131" i="66"/>
  <c r="B131" i="66"/>
  <c r="F130" i="66"/>
  <c r="C130" i="66"/>
  <c r="B130" i="66"/>
  <c r="F129" i="66"/>
  <c r="C129" i="66"/>
  <c r="B129" i="66"/>
  <c r="F121" i="66"/>
  <c r="C121" i="66"/>
  <c r="B121" i="66"/>
  <c r="F120" i="66"/>
  <c r="C120" i="66"/>
  <c r="B120" i="66"/>
  <c r="F119" i="66"/>
  <c r="C119" i="66"/>
  <c r="B119" i="66"/>
  <c r="F118" i="66"/>
  <c r="C118" i="66"/>
  <c r="B118" i="66"/>
  <c r="F117" i="66"/>
  <c r="C117" i="66"/>
  <c r="B117" i="66"/>
  <c r="F116" i="66"/>
  <c r="C116" i="66"/>
  <c r="B116" i="66"/>
  <c r="F115" i="66"/>
  <c r="C115" i="66"/>
  <c r="B115" i="66"/>
  <c r="F114" i="66"/>
  <c r="C114" i="66"/>
  <c r="B114" i="66"/>
  <c r="F113" i="66"/>
  <c r="C113" i="66"/>
  <c r="B113" i="66"/>
  <c r="F105" i="66"/>
  <c r="C105" i="66"/>
  <c r="B105" i="66"/>
  <c r="F104" i="66"/>
  <c r="C104" i="66"/>
  <c r="B104" i="66"/>
  <c r="F103" i="66"/>
  <c r="C103" i="66"/>
  <c r="B103" i="66"/>
  <c r="F102" i="66"/>
  <c r="C102" i="66"/>
  <c r="B102" i="66"/>
  <c r="F101" i="66"/>
  <c r="C101" i="66"/>
  <c r="B101" i="66"/>
  <c r="F100" i="66"/>
  <c r="C100" i="66"/>
  <c r="B100" i="66"/>
  <c r="F99" i="66"/>
  <c r="C99" i="66"/>
  <c r="B99" i="66"/>
  <c r="F98" i="66"/>
  <c r="C98" i="66"/>
  <c r="B98" i="66"/>
  <c r="F97" i="66"/>
  <c r="C97" i="66"/>
  <c r="B97" i="66"/>
  <c r="F88" i="66"/>
  <c r="C88" i="66"/>
  <c r="B88" i="66"/>
  <c r="F87" i="66"/>
  <c r="C87" i="66"/>
  <c r="B87" i="66"/>
  <c r="F86" i="66"/>
  <c r="C86" i="66"/>
  <c r="B86" i="66"/>
  <c r="F85" i="66"/>
  <c r="C85" i="66"/>
  <c r="B85" i="66"/>
  <c r="F84" i="66"/>
  <c r="C84" i="66"/>
  <c r="B84" i="66"/>
  <c r="F83" i="66"/>
  <c r="C83" i="66"/>
  <c r="B83" i="66"/>
  <c r="F82" i="66"/>
  <c r="C82" i="66"/>
  <c r="B82" i="66"/>
  <c r="F81" i="66"/>
  <c r="C81" i="66"/>
  <c r="B81" i="66"/>
  <c r="F80" i="66"/>
  <c r="C80" i="66"/>
  <c r="B80" i="66"/>
  <c r="F73" i="66"/>
  <c r="C73" i="66"/>
  <c r="B73" i="66"/>
  <c r="F72" i="66"/>
  <c r="C72" i="66"/>
  <c r="B72" i="66"/>
  <c r="F71" i="66"/>
  <c r="C71" i="66"/>
  <c r="B71" i="66"/>
  <c r="F70" i="66"/>
  <c r="C70" i="66"/>
  <c r="B70" i="66"/>
  <c r="F69" i="66"/>
  <c r="C69" i="66"/>
  <c r="B69" i="66"/>
  <c r="F68" i="66"/>
  <c r="C68" i="66"/>
  <c r="B68" i="66"/>
  <c r="F67" i="66"/>
  <c r="C67" i="66"/>
  <c r="B67" i="66"/>
  <c r="F66" i="66"/>
  <c r="C66" i="66"/>
  <c r="B66" i="66"/>
  <c r="F65" i="66"/>
  <c r="C65" i="66"/>
  <c r="B65" i="66"/>
  <c r="V44" i="66"/>
  <c r="U44" i="66"/>
  <c r="T29" i="66"/>
  <c r="AA28" i="66"/>
  <c r="T28" i="66"/>
  <c r="R25" i="66"/>
  <c r="D13" i="66"/>
  <c r="D12" i="66"/>
  <c r="D11" i="66"/>
  <c r="D10" i="66"/>
  <c r="D9" i="66"/>
  <c r="D8" i="66"/>
  <c r="D7" i="66"/>
  <c r="D6" i="66"/>
  <c r="V40" i="65"/>
  <c r="U33" i="65"/>
  <c r="U29" i="65"/>
  <c r="D51" i="65"/>
  <c r="C51" i="65"/>
  <c r="U33" i="64"/>
  <c r="U30" i="64"/>
  <c r="U29" i="64"/>
  <c r="F80" i="62"/>
  <c r="D80" i="62"/>
  <c r="C80" i="62"/>
  <c r="B80" i="62"/>
  <c r="F79" i="62"/>
  <c r="D79" i="62"/>
  <c r="C79" i="62"/>
  <c r="B79" i="62"/>
  <c r="F78" i="62"/>
  <c r="D78" i="62"/>
  <c r="C78" i="62"/>
  <c r="B78" i="62"/>
  <c r="F77" i="62"/>
  <c r="D77" i="62"/>
  <c r="C77" i="62"/>
  <c r="B77" i="62"/>
  <c r="F76" i="62"/>
  <c r="D76" i="62"/>
  <c r="C76" i="62"/>
  <c r="B76" i="62"/>
  <c r="F75" i="62"/>
  <c r="D75" i="62"/>
  <c r="C75" i="62"/>
  <c r="B75" i="62"/>
  <c r="F74" i="62"/>
  <c r="D74" i="62"/>
  <c r="C74" i="62"/>
  <c r="B74" i="62"/>
  <c r="F73" i="62"/>
  <c r="D73" i="62"/>
  <c r="C73" i="62"/>
  <c r="B73" i="62"/>
  <c r="F72" i="62"/>
  <c r="D72" i="62"/>
  <c r="C72" i="62"/>
  <c r="B72" i="62"/>
  <c r="F71" i="62"/>
  <c r="D71" i="62"/>
  <c r="C71" i="62"/>
  <c r="B71" i="62"/>
  <c r="F70" i="62"/>
  <c r="D70" i="62"/>
  <c r="C70" i="62"/>
  <c r="B70" i="62"/>
  <c r="F69" i="62"/>
  <c r="D69" i="62"/>
  <c r="C69" i="62"/>
  <c r="B69" i="62"/>
  <c r="F68" i="62"/>
  <c r="D68" i="62"/>
  <c r="C68" i="62"/>
  <c r="B68" i="62"/>
  <c r="F67" i="62"/>
  <c r="D67" i="62"/>
  <c r="C67" i="62"/>
  <c r="B67" i="62"/>
  <c r="F66" i="62"/>
  <c r="D66" i="62"/>
  <c r="C66" i="62"/>
  <c r="B66" i="62"/>
  <c r="F65" i="62"/>
  <c r="C65" i="62"/>
  <c r="B65" i="62"/>
  <c r="V40" i="62"/>
  <c r="U33" i="62"/>
  <c r="T30" i="62"/>
  <c r="S30" i="62"/>
  <c r="U29" i="62"/>
  <c r="U32" i="62" s="1"/>
  <c r="AC30" i="62" s="1"/>
  <c r="S28" i="62"/>
  <c r="D51" i="62"/>
  <c r="C51" i="62"/>
  <c r="F77" i="61"/>
  <c r="D77" i="61"/>
  <c r="C77" i="61"/>
  <c r="B77" i="61"/>
  <c r="F76" i="61"/>
  <c r="D76" i="61"/>
  <c r="C76" i="61"/>
  <c r="B76" i="61"/>
  <c r="F75" i="61"/>
  <c r="D75" i="61"/>
  <c r="C75" i="61"/>
  <c r="B75" i="61"/>
  <c r="F74" i="61"/>
  <c r="D74" i="61"/>
  <c r="C74" i="61"/>
  <c r="B74" i="61"/>
  <c r="F73" i="61"/>
  <c r="D73" i="61"/>
  <c r="C73" i="61"/>
  <c r="B73" i="61"/>
  <c r="F72" i="61"/>
  <c r="D72" i="61"/>
  <c r="C72" i="61"/>
  <c r="B72" i="61"/>
  <c r="F71" i="61"/>
  <c r="D71" i="61"/>
  <c r="C71" i="61"/>
  <c r="B71" i="61"/>
  <c r="F70" i="61"/>
  <c r="D70" i="61"/>
  <c r="C70" i="61"/>
  <c r="B70" i="61"/>
  <c r="F69" i="61"/>
  <c r="D69" i="61"/>
  <c r="C69" i="61"/>
  <c r="B69" i="61"/>
  <c r="F68" i="61"/>
  <c r="D68" i="61"/>
  <c r="C68" i="61"/>
  <c r="B68" i="61"/>
  <c r="F67" i="61"/>
  <c r="D67" i="61"/>
  <c r="C67" i="61"/>
  <c r="B67" i="61"/>
  <c r="F66" i="61"/>
  <c r="D66" i="61"/>
  <c r="C66" i="61"/>
  <c r="B66" i="61"/>
  <c r="F65" i="61"/>
  <c r="C65" i="61"/>
  <c r="B65" i="61"/>
  <c r="D51" i="61"/>
  <c r="R44" i="61" s="1"/>
  <c r="C51" i="61"/>
  <c r="V40" i="61"/>
  <c r="T30" i="61"/>
  <c r="S30" i="61"/>
  <c r="U29" i="61"/>
  <c r="U32" i="61" s="1"/>
  <c r="AD30" i="61" s="1"/>
  <c r="T28" i="61"/>
  <c r="S28" i="61"/>
  <c r="F96" i="60"/>
  <c r="D96" i="60"/>
  <c r="C96" i="60"/>
  <c r="B96" i="60"/>
  <c r="F95" i="60"/>
  <c r="D95" i="60"/>
  <c r="C95" i="60"/>
  <c r="B95" i="60"/>
  <c r="F94" i="60"/>
  <c r="D94" i="60"/>
  <c r="C94" i="60"/>
  <c r="B94" i="60"/>
  <c r="F93" i="60"/>
  <c r="D93" i="60"/>
  <c r="C93" i="60"/>
  <c r="B93" i="60"/>
  <c r="F92" i="60"/>
  <c r="D92" i="60"/>
  <c r="C92" i="60"/>
  <c r="B92" i="60"/>
  <c r="F91" i="60"/>
  <c r="D91" i="60"/>
  <c r="C91" i="60"/>
  <c r="B91" i="60"/>
  <c r="F90" i="60"/>
  <c r="D90" i="60"/>
  <c r="C90" i="60"/>
  <c r="B90" i="60"/>
  <c r="F89" i="60"/>
  <c r="D89" i="60"/>
  <c r="C89" i="60"/>
  <c r="B89" i="60"/>
  <c r="F88" i="60"/>
  <c r="D88" i="60"/>
  <c r="C88" i="60"/>
  <c r="B88" i="60"/>
  <c r="F87" i="60"/>
  <c r="D87" i="60"/>
  <c r="C87" i="60"/>
  <c r="B87" i="60"/>
  <c r="F86" i="60"/>
  <c r="D86" i="60"/>
  <c r="C86" i="60"/>
  <c r="B86" i="60"/>
  <c r="F85" i="60"/>
  <c r="D85" i="60"/>
  <c r="C85" i="60"/>
  <c r="B85" i="60"/>
  <c r="F84" i="60"/>
  <c r="C84" i="60"/>
  <c r="B84" i="60"/>
  <c r="F77" i="60"/>
  <c r="D77" i="60"/>
  <c r="C77" i="60"/>
  <c r="B77" i="60"/>
  <c r="F76" i="60"/>
  <c r="D76" i="60"/>
  <c r="C76" i="60"/>
  <c r="B76" i="60"/>
  <c r="F75" i="60"/>
  <c r="D75" i="60"/>
  <c r="C75" i="60"/>
  <c r="B75" i="60"/>
  <c r="F74" i="60"/>
  <c r="D74" i="60"/>
  <c r="C74" i="60"/>
  <c r="B74" i="60"/>
  <c r="F73" i="60"/>
  <c r="D73" i="60"/>
  <c r="C73" i="60"/>
  <c r="B73" i="60"/>
  <c r="F72" i="60"/>
  <c r="D72" i="60"/>
  <c r="C72" i="60"/>
  <c r="B72" i="60"/>
  <c r="F71" i="60"/>
  <c r="D71" i="60"/>
  <c r="C71" i="60"/>
  <c r="B71" i="60"/>
  <c r="F70" i="60"/>
  <c r="D70" i="60"/>
  <c r="C70" i="60"/>
  <c r="B70" i="60"/>
  <c r="F69" i="60"/>
  <c r="D69" i="60"/>
  <c r="C69" i="60"/>
  <c r="B69" i="60"/>
  <c r="F68" i="60"/>
  <c r="D68" i="60"/>
  <c r="C68" i="60"/>
  <c r="B68" i="60"/>
  <c r="F67" i="60"/>
  <c r="D67" i="60"/>
  <c r="C67" i="60"/>
  <c r="B67" i="60"/>
  <c r="F66" i="60"/>
  <c r="D66" i="60"/>
  <c r="C66" i="60"/>
  <c r="B66" i="60"/>
  <c r="F65" i="60"/>
  <c r="C65" i="60"/>
  <c r="B65" i="60"/>
  <c r="D51" i="60"/>
  <c r="R44" i="60" s="1"/>
  <c r="T33" i="60"/>
  <c r="K1" i="60"/>
  <c r="C51" i="60" s="1"/>
  <c r="F79" i="59"/>
  <c r="D79" i="59"/>
  <c r="C79" i="59"/>
  <c r="B79" i="59"/>
  <c r="F78" i="59"/>
  <c r="D78" i="59"/>
  <c r="C78" i="59"/>
  <c r="B78" i="59"/>
  <c r="F77" i="59"/>
  <c r="D77" i="59"/>
  <c r="C77" i="59"/>
  <c r="B77" i="59"/>
  <c r="F76" i="59"/>
  <c r="D76" i="59"/>
  <c r="C76" i="59"/>
  <c r="B76" i="59"/>
  <c r="F75" i="59"/>
  <c r="D75" i="59"/>
  <c r="C75" i="59"/>
  <c r="B75" i="59"/>
  <c r="F74" i="59"/>
  <c r="D74" i="59"/>
  <c r="C74" i="59"/>
  <c r="B74" i="59"/>
  <c r="F73" i="59"/>
  <c r="D73" i="59"/>
  <c r="C73" i="59"/>
  <c r="B73" i="59"/>
  <c r="F72" i="59"/>
  <c r="D72" i="59"/>
  <c r="C72" i="59"/>
  <c r="B72" i="59"/>
  <c r="F71" i="59"/>
  <c r="D71" i="59"/>
  <c r="C71" i="59"/>
  <c r="B71" i="59"/>
  <c r="F70" i="59"/>
  <c r="D70" i="59"/>
  <c r="C70" i="59"/>
  <c r="B70" i="59"/>
  <c r="F69" i="59"/>
  <c r="D69" i="59"/>
  <c r="C69" i="59"/>
  <c r="B69" i="59"/>
  <c r="F68" i="59"/>
  <c r="D68" i="59"/>
  <c r="C68" i="59"/>
  <c r="B68" i="59"/>
  <c r="F67" i="59"/>
  <c r="D67" i="59"/>
  <c r="C67" i="59"/>
  <c r="B67" i="59"/>
  <c r="F66" i="59"/>
  <c r="D66" i="59"/>
  <c r="C66" i="59"/>
  <c r="B66" i="59"/>
  <c r="F65" i="59"/>
  <c r="C65" i="59"/>
  <c r="B65" i="59"/>
  <c r="V40" i="59"/>
  <c r="AC30" i="59"/>
  <c r="D51" i="59"/>
  <c r="K1" i="59"/>
  <c r="C51" i="59" s="1"/>
  <c r="F103" i="58"/>
  <c r="D103" i="58"/>
  <c r="C103" i="58"/>
  <c r="B103" i="58"/>
  <c r="F102" i="58"/>
  <c r="D102" i="58"/>
  <c r="C102" i="58"/>
  <c r="B102" i="58"/>
  <c r="F101" i="58"/>
  <c r="D101" i="58"/>
  <c r="C101" i="58"/>
  <c r="B101" i="58"/>
  <c r="F100" i="58"/>
  <c r="D100" i="58"/>
  <c r="C100" i="58"/>
  <c r="B100" i="58"/>
  <c r="F99" i="58"/>
  <c r="D99" i="58"/>
  <c r="C99" i="58"/>
  <c r="B99" i="58"/>
  <c r="F98" i="58"/>
  <c r="D98" i="58"/>
  <c r="C98" i="58"/>
  <c r="B98" i="58"/>
  <c r="F97" i="58"/>
  <c r="D97" i="58"/>
  <c r="C97" i="58"/>
  <c r="B97" i="58"/>
  <c r="F96" i="58"/>
  <c r="D96" i="58"/>
  <c r="C96" i="58"/>
  <c r="B96" i="58"/>
  <c r="F95" i="58"/>
  <c r="D95" i="58"/>
  <c r="C95" i="58"/>
  <c r="B95" i="58"/>
  <c r="F94" i="58"/>
  <c r="D94" i="58"/>
  <c r="C94" i="58"/>
  <c r="B94" i="58"/>
  <c r="F93" i="58"/>
  <c r="D93" i="58"/>
  <c r="C93" i="58"/>
  <c r="B93" i="58"/>
  <c r="F92" i="58"/>
  <c r="D92" i="58"/>
  <c r="C92" i="58"/>
  <c r="B92" i="58"/>
  <c r="F91" i="58"/>
  <c r="D91" i="58"/>
  <c r="C91" i="58"/>
  <c r="B91" i="58"/>
  <c r="F90" i="58"/>
  <c r="D90" i="58"/>
  <c r="C90" i="58"/>
  <c r="B90" i="58"/>
  <c r="F89" i="58"/>
  <c r="D89" i="58"/>
  <c r="C89" i="58"/>
  <c r="B89" i="58"/>
  <c r="F88" i="58"/>
  <c r="C88" i="58"/>
  <c r="B88" i="58"/>
  <c r="F80" i="58"/>
  <c r="D80" i="58"/>
  <c r="C80" i="58"/>
  <c r="B80" i="58"/>
  <c r="F79" i="58"/>
  <c r="D79" i="58"/>
  <c r="C79" i="58"/>
  <c r="B79" i="58"/>
  <c r="F78" i="58"/>
  <c r="D78" i="58"/>
  <c r="C78" i="58"/>
  <c r="B78" i="58"/>
  <c r="F77" i="58"/>
  <c r="D77" i="58"/>
  <c r="C77" i="58"/>
  <c r="B77" i="58"/>
  <c r="F76" i="58"/>
  <c r="D76" i="58"/>
  <c r="C76" i="58"/>
  <c r="B76" i="58"/>
  <c r="F75" i="58"/>
  <c r="D75" i="58"/>
  <c r="C75" i="58"/>
  <c r="B75" i="58"/>
  <c r="F74" i="58"/>
  <c r="D74" i="58"/>
  <c r="C74" i="58"/>
  <c r="B74" i="58"/>
  <c r="F73" i="58"/>
  <c r="D73" i="58"/>
  <c r="C73" i="58"/>
  <c r="B73" i="58"/>
  <c r="F72" i="58"/>
  <c r="D72" i="58"/>
  <c r="C72" i="58"/>
  <c r="B72" i="58"/>
  <c r="F71" i="58"/>
  <c r="D71" i="58"/>
  <c r="C71" i="58"/>
  <c r="B71" i="58"/>
  <c r="F70" i="58"/>
  <c r="D70" i="58"/>
  <c r="C70" i="58"/>
  <c r="B70" i="58"/>
  <c r="F69" i="58"/>
  <c r="D69" i="58"/>
  <c r="C69" i="58"/>
  <c r="B69" i="58"/>
  <c r="F68" i="58"/>
  <c r="D68" i="58"/>
  <c r="C68" i="58"/>
  <c r="B68" i="58"/>
  <c r="F67" i="58"/>
  <c r="D67" i="58"/>
  <c r="C67" i="58"/>
  <c r="B67" i="58"/>
  <c r="F66" i="58"/>
  <c r="D66" i="58"/>
  <c r="C66" i="58"/>
  <c r="B66" i="58"/>
  <c r="F65" i="58"/>
  <c r="C65" i="58"/>
  <c r="B65" i="58"/>
  <c r="D51" i="58"/>
  <c r="C51" i="58"/>
  <c r="V40" i="58"/>
  <c r="J52" i="58"/>
  <c r="T30" i="58"/>
  <c r="T29" i="58"/>
  <c r="U28" i="58"/>
  <c r="F140" i="57"/>
  <c r="D140" i="57"/>
  <c r="C140" i="57"/>
  <c r="B140" i="57"/>
  <c r="F139" i="57"/>
  <c r="D139" i="57"/>
  <c r="C139" i="57"/>
  <c r="B139" i="57"/>
  <c r="F138" i="57"/>
  <c r="D138" i="57"/>
  <c r="C138" i="57"/>
  <c r="B138" i="57"/>
  <c r="F137" i="57"/>
  <c r="D137" i="57"/>
  <c r="C137" i="57"/>
  <c r="B137" i="57"/>
  <c r="F136" i="57"/>
  <c r="D136" i="57"/>
  <c r="C136" i="57"/>
  <c r="B136" i="57"/>
  <c r="F135" i="57"/>
  <c r="D135" i="57"/>
  <c r="C135" i="57"/>
  <c r="B135" i="57"/>
  <c r="F134" i="57"/>
  <c r="D134" i="57"/>
  <c r="C134" i="57"/>
  <c r="B134" i="57"/>
  <c r="F133" i="57"/>
  <c r="D133" i="57"/>
  <c r="C133" i="57"/>
  <c r="B133" i="57"/>
  <c r="F132" i="57"/>
  <c r="D132" i="57"/>
  <c r="C132" i="57"/>
  <c r="B132" i="57"/>
  <c r="F131" i="57"/>
  <c r="D131" i="57"/>
  <c r="C131" i="57"/>
  <c r="B131" i="57"/>
  <c r="F130" i="57"/>
  <c r="D130" i="57"/>
  <c r="C130" i="57"/>
  <c r="B130" i="57"/>
  <c r="F129" i="57"/>
  <c r="D129" i="57"/>
  <c r="C129" i="57"/>
  <c r="B129" i="57"/>
  <c r="F128" i="57"/>
  <c r="D128" i="57"/>
  <c r="C128" i="57"/>
  <c r="B128" i="57"/>
  <c r="F127" i="57"/>
  <c r="D127" i="57"/>
  <c r="C127" i="57"/>
  <c r="B127" i="57"/>
  <c r="F126" i="57"/>
  <c r="D126" i="57"/>
  <c r="C126" i="57"/>
  <c r="B126" i="57"/>
  <c r="F125" i="57"/>
  <c r="D125" i="57"/>
  <c r="C125" i="57"/>
  <c r="B125" i="57"/>
  <c r="F124" i="57"/>
  <c r="D124" i="57"/>
  <c r="C124" i="57"/>
  <c r="B124" i="57"/>
  <c r="F123" i="57"/>
  <c r="D123" i="57"/>
  <c r="C123" i="57"/>
  <c r="B123" i="57"/>
  <c r="F122" i="57"/>
  <c r="D122" i="57"/>
  <c r="C122" i="57"/>
  <c r="B122" i="57"/>
  <c r="F121" i="57"/>
  <c r="D121" i="57"/>
  <c r="C121" i="57"/>
  <c r="B121" i="57"/>
  <c r="F120" i="57"/>
  <c r="C120" i="57"/>
  <c r="B120" i="57"/>
  <c r="F113" i="57"/>
  <c r="D113" i="57"/>
  <c r="C113" i="57"/>
  <c r="B113" i="57"/>
  <c r="F112" i="57"/>
  <c r="D112" i="57"/>
  <c r="C112" i="57"/>
  <c r="B112" i="57"/>
  <c r="F111" i="57"/>
  <c r="D111" i="57"/>
  <c r="C111" i="57"/>
  <c r="B111" i="57"/>
  <c r="F110" i="57"/>
  <c r="D110" i="57"/>
  <c r="C110" i="57"/>
  <c r="B110" i="57"/>
  <c r="F109" i="57"/>
  <c r="D109" i="57"/>
  <c r="C109" i="57"/>
  <c r="B109" i="57"/>
  <c r="F108" i="57"/>
  <c r="D108" i="57"/>
  <c r="C108" i="57"/>
  <c r="B108" i="57"/>
  <c r="F107" i="57"/>
  <c r="D107" i="57"/>
  <c r="C107" i="57"/>
  <c r="B107" i="57"/>
  <c r="F106" i="57"/>
  <c r="D106" i="57"/>
  <c r="C106" i="57"/>
  <c r="B106" i="57"/>
  <c r="F105" i="57"/>
  <c r="D105" i="57"/>
  <c r="C105" i="57"/>
  <c r="B105" i="57"/>
  <c r="F104" i="57"/>
  <c r="D104" i="57"/>
  <c r="C104" i="57"/>
  <c r="B104" i="57"/>
  <c r="F103" i="57"/>
  <c r="D103" i="57"/>
  <c r="C103" i="57"/>
  <c r="B103" i="57"/>
  <c r="F102" i="57"/>
  <c r="D102" i="57"/>
  <c r="C102" i="57"/>
  <c r="B102" i="57"/>
  <c r="F101" i="57"/>
  <c r="D101" i="57"/>
  <c r="C101" i="57"/>
  <c r="B101" i="57"/>
  <c r="F100" i="57"/>
  <c r="D100" i="57"/>
  <c r="C100" i="57"/>
  <c r="B100" i="57"/>
  <c r="F99" i="57"/>
  <c r="D99" i="57"/>
  <c r="C99" i="57"/>
  <c r="B99" i="57"/>
  <c r="F98" i="57"/>
  <c r="D98" i="57"/>
  <c r="C98" i="57"/>
  <c r="B98" i="57"/>
  <c r="F97" i="57"/>
  <c r="D97" i="57"/>
  <c r="C97" i="57"/>
  <c r="B97" i="57"/>
  <c r="F96" i="57"/>
  <c r="D96" i="57"/>
  <c r="C96" i="57"/>
  <c r="B96" i="57"/>
  <c r="F95" i="57"/>
  <c r="D95" i="57"/>
  <c r="C95" i="57"/>
  <c r="B95" i="57"/>
  <c r="F94" i="57"/>
  <c r="D94" i="57"/>
  <c r="C94" i="57"/>
  <c r="B94" i="57"/>
  <c r="F93" i="57"/>
  <c r="C93" i="57"/>
  <c r="B93" i="57"/>
  <c r="F85" i="57"/>
  <c r="D85" i="57"/>
  <c r="C85" i="57"/>
  <c r="B85" i="57"/>
  <c r="F84" i="57"/>
  <c r="D84" i="57"/>
  <c r="C84" i="57"/>
  <c r="B84" i="57"/>
  <c r="F83" i="57"/>
  <c r="D83" i="57"/>
  <c r="C83" i="57"/>
  <c r="B83" i="57"/>
  <c r="F82" i="57"/>
  <c r="D82" i="57"/>
  <c r="C82" i="57"/>
  <c r="B82" i="57"/>
  <c r="F81" i="57"/>
  <c r="D81" i="57"/>
  <c r="C81" i="57"/>
  <c r="B81" i="57"/>
  <c r="F80" i="57"/>
  <c r="D80" i="57"/>
  <c r="C80" i="57"/>
  <c r="B80" i="57"/>
  <c r="F79" i="57"/>
  <c r="D79" i="57"/>
  <c r="C79" i="57"/>
  <c r="B79" i="57"/>
  <c r="F78" i="57"/>
  <c r="D78" i="57"/>
  <c r="C78" i="57"/>
  <c r="B78" i="57"/>
  <c r="F77" i="57"/>
  <c r="D77" i="57"/>
  <c r="C77" i="57"/>
  <c r="B77" i="57"/>
  <c r="F76" i="57"/>
  <c r="D76" i="57"/>
  <c r="C76" i="57"/>
  <c r="B76" i="57"/>
  <c r="F75" i="57"/>
  <c r="D75" i="57"/>
  <c r="C75" i="57"/>
  <c r="B75" i="57"/>
  <c r="F74" i="57"/>
  <c r="D74" i="57"/>
  <c r="C74" i="57"/>
  <c r="B74" i="57"/>
  <c r="F73" i="57"/>
  <c r="D73" i="57"/>
  <c r="C73" i="57"/>
  <c r="B73" i="57"/>
  <c r="F72" i="57"/>
  <c r="D72" i="57"/>
  <c r="C72" i="57"/>
  <c r="B72" i="57"/>
  <c r="F71" i="57"/>
  <c r="D71" i="57"/>
  <c r="C71" i="57"/>
  <c r="B71" i="57"/>
  <c r="F70" i="57"/>
  <c r="D70" i="57"/>
  <c r="C70" i="57"/>
  <c r="B70" i="57"/>
  <c r="F69" i="57"/>
  <c r="D69" i="57"/>
  <c r="C69" i="57"/>
  <c r="B69" i="57"/>
  <c r="F68" i="57"/>
  <c r="D68" i="57"/>
  <c r="C68" i="57"/>
  <c r="B68" i="57"/>
  <c r="F67" i="57"/>
  <c r="D67" i="57"/>
  <c r="C67" i="57"/>
  <c r="B67" i="57"/>
  <c r="F66" i="57"/>
  <c r="D66" i="57"/>
  <c r="C66" i="57"/>
  <c r="B66" i="57"/>
  <c r="F65" i="57"/>
  <c r="C65" i="57"/>
  <c r="B65" i="57"/>
  <c r="D51" i="57"/>
  <c r="C51" i="57"/>
  <c r="V40" i="57"/>
  <c r="T33" i="57"/>
  <c r="S30" i="57"/>
  <c r="U29" i="57"/>
  <c r="T28" i="57"/>
  <c r="T32" i="57" s="1"/>
  <c r="S28" i="57"/>
  <c r="F95" i="56"/>
  <c r="D95" i="56"/>
  <c r="C95" i="56"/>
  <c r="B95" i="56"/>
  <c r="F94" i="56"/>
  <c r="D94" i="56"/>
  <c r="C94" i="56"/>
  <c r="B94" i="56"/>
  <c r="F93" i="56"/>
  <c r="D93" i="56"/>
  <c r="C93" i="56"/>
  <c r="B93" i="56"/>
  <c r="F92" i="56"/>
  <c r="D92" i="56"/>
  <c r="C92" i="56"/>
  <c r="B92" i="56"/>
  <c r="F91" i="56"/>
  <c r="D91" i="56"/>
  <c r="C91" i="56"/>
  <c r="B91" i="56"/>
  <c r="F90" i="56"/>
  <c r="D90" i="56"/>
  <c r="C90" i="56"/>
  <c r="B90" i="56"/>
  <c r="F89" i="56"/>
  <c r="D89" i="56"/>
  <c r="C89" i="56"/>
  <c r="B89" i="56"/>
  <c r="F88" i="56"/>
  <c r="D88" i="56"/>
  <c r="C88" i="56"/>
  <c r="B88" i="56"/>
  <c r="F87" i="56"/>
  <c r="D87" i="56"/>
  <c r="C87" i="56"/>
  <c r="B87" i="56"/>
  <c r="F86" i="56"/>
  <c r="D86" i="56"/>
  <c r="C86" i="56"/>
  <c r="B86" i="56"/>
  <c r="F85" i="56"/>
  <c r="C85" i="56"/>
  <c r="B85" i="56"/>
  <c r="F75" i="56"/>
  <c r="D75" i="56"/>
  <c r="C75" i="56"/>
  <c r="B75" i="56"/>
  <c r="F74" i="56"/>
  <c r="D74" i="56"/>
  <c r="C74" i="56"/>
  <c r="B74" i="56"/>
  <c r="F73" i="56"/>
  <c r="D73" i="56"/>
  <c r="C73" i="56"/>
  <c r="B73" i="56"/>
  <c r="F72" i="56"/>
  <c r="D72" i="56"/>
  <c r="C72" i="56"/>
  <c r="B72" i="56"/>
  <c r="F71" i="56"/>
  <c r="D71" i="56"/>
  <c r="C71" i="56"/>
  <c r="B71" i="56"/>
  <c r="F70" i="56"/>
  <c r="D70" i="56"/>
  <c r="C70" i="56"/>
  <c r="B70" i="56"/>
  <c r="F69" i="56"/>
  <c r="D69" i="56"/>
  <c r="C69" i="56"/>
  <c r="B69" i="56"/>
  <c r="F68" i="56"/>
  <c r="D68" i="56"/>
  <c r="C68" i="56"/>
  <c r="B68" i="56"/>
  <c r="F67" i="56"/>
  <c r="D67" i="56"/>
  <c r="C67" i="56"/>
  <c r="B67" i="56"/>
  <c r="F66" i="56"/>
  <c r="D66" i="56"/>
  <c r="C66" i="56"/>
  <c r="B66" i="56"/>
  <c r="F65" i="56"/>
  <c r="C65" i="56"/>
  <c r="B65" i="56"/>
  <c r="D51" i="56"/>
  <c r="C51" i="56"/>
  <c r="T33" i="56"/>
  <c r="T30" i="56"/>
  <c r="T32" i="56" s="1"/>
  <c r="U32" i="56" s="1"/>
  <c r="AD30" i="56" s="1"/>
  <c r="U29" i="56"/>
  <c r="F74" i="55"/>
  <c r="D74" i="55"/>
  <c r="C74" i="55"/>
  <c r="B74" i="55"/>
  <c r="F73" i="55"/>
  <c r="D73" i="55"/>
  <c r="C73" i="55"/>
  <c r="B73" i="55"/>
  <c r="F72" i="55"/>
  <c r="D72" i="55"/>
  <c r="C72" i="55"/>
  <c r="B72" i="55"/>
  <c r="F71" i="55"/>
  <c r="D71" i="55"/>
  <c r="C71" i="55"/>
  <c r="B71" i="55"/>
  <c r="F70" i="55"/>
  <c r="D70" i="55"/>
  <c r="C70" i="55"/>
  <c r="B70" i="55"/>
  <c r="F69" i="55"/>
  <c r="D69" i="55"/>
  <c r="C69" i="55"/>
  <c r="B69" i="55"/>
  <c r="F68" i="55"/>
  <c r="D68" i="55"/>
  <c r="C68" i="55"/>
  <c r="B68" i="55"/>
  <c r="F67" i="55"/>
  <c r="D67" i="55"/>
  <c r="C67" i="55"/>
  <c r="B67" i="55"/>
  <c r="F66" i="55"/>
  <c r="D66" i="55"/>
  <c r="C66" i="55"/>
  <c r="B66" i="55"/>
  <c r="T29" i="55"/>
  <c r="S28" i="55"/>
  <c r="S30" i="55" s="1"/>
  <c r="F71" i="54"/>
  <c r="D71" i="54"/>
  <c r="C71" i="54"/>
  <c r="B71" i="54"/>
  <c r="F70" i="54"/>
  <c r="D70" i="54"/>
  <c r="C70" i="54"/>
  <c r="B70" i="54"/>
  <c r="F69" i="54"/>
  <c r="D69" i="54"/>
  <c r="C69" i="54"/>
  <c r="B69" i="54"/>
  <c r="F68" i="54"/>
  <c r="D68" i="54"/>
  <c r="C68" i="54"/>
  <c r="B68" i="54"/>
  <c r="F67" i="54"/>
  <c r="D67" i="54"/>
  <c r="C67" i="54"/>
  <c r="B67" i="54"/>
  <c r="F66" i="54"/>
  <c r="D66" i="54"/>
  <c r="C66" i="54"/>
  <c r="B66" i="54"/>
  <c r="F65" i="54"/>
  <c r="D65" i="54"/>
  <c r="C65" i="54"/>
  <c r="B65" i="54"/>
  <c r="T29" i="54"/>
  <c r="S28" i="54"/>
  <c r="S30" i="54" s="1"/>
  <c r="C51" i="54"/>
  <c r="F69" i="53"/>
  <c r="D69" i="53"/>
  <c r="C69" i="53"/>
  <c r="B69" i="53"/>
  <c r="F68" i="53"/>
  <c r="D68" i="53"/>
  <c r="C68" i="53"/>
  <c r="B68" i="53"/>
  <c r="F67" i="53"/>
  <c r="D67" i="53"/>
  <c r="C67" i="53"/>
  <c r="B67" i="53"/>
  <c r="F66" i="53"/>
  <c r="D66" i="53"/>
  <c r="C66" i="53"/>
  <c r="B66" i="53"/>
  <c r="F65" i="53"/>
  <c r="C65" i="53"/>
  <c r="B65" i="53"/>
  <c r="D51" i="53"/>
  <c r="C51" i="53"/>
  <c r="R44" i="53"/>
  <c r="V40" i="53"/>
  <c r="T30" i="53"/>
  <c r="S30" i="53"/>
  <c r="U29" i="53"/>
  <c r="U32" i="53" s="1"/>
  <c r="U31" i="52"/>
  <c r="U29" i="52"/>
  <c r="U54" i="52"/>
  <c r="U52" i="52"/>
  <c r="V52" i="52" s="1"/>
  <c r="F117" i="51"/>
  <c r="D117" i="51"/>
  <c r="C117" i="51"/>
  <c r="B117" i="51"/>
  <c r="F116" i="51"/>
  <c r="D116" i="51"/>
  <c r="C116" i="51"/>
  <c r="B116" i="51"/>
  <c r="F115" i="51"/>
  <c r="D115" i="51"/>
  <c r="C115" i="51"/>
  <c r="B115" i="51"/>
  <c r="F114" i="51"/>
  <c r="D114" i="51"/>
  <c r="C114" i="51"/>
  <c r="B114" i="51"/>
  <c r="F113" i="51"/>
  <c r="D113" i="51"/>
  <c r="C113" i="51"/>
  <c r="B113" i="51"/>
  <c r="F112" i="51"/>
  <c r="D112" i="51"/>
  <c r="C112" i="51"/>
  <c r="B112" i="51"/>
  <c r="F111" i="51"/>
  <c r="D111" i="51"/>
  <c r="C111" i="51"/>
  <c r="B111" i="51"/>
  <c r="F110" i="51"/>
  <c r="D110" i="51"/>
  <c r="C110" i="51"/>
  <c r="B110" i="51"/>
  <c r="F109" i="51"/>
  <c r="D109" i="51"/>
  <c r="C109" i="51"/>
  <c r="B109" i="51"/>
  <c r="F108" i="51"/>
  <c r="D108" i="51"/>
  <c r="C108" i="51"/>
  <c r="B108" i="51"/>
  <c r="F107" i="51"/>
  <c r="D107" i="51"/>
  <c r="C107" i="51"/>
  <c r="B107" i="51"/>
  <c r="F106" i="51"/>
  <c r="D106" i="51"/>
  <c r="C106" i="51"/>
  <c r="B106" i="51"/>
  <c r="F105" i="51"/>
  <c r="C105" i="51"/>
  <c r="B105" i="51"/>
  <c r="F96" i="51"/>
  <c r="D96" i="51"/>
  <c r="C96" i="51"/>
  <c r="B96" i="51"/>
  <c r="F95" i="51"/>
  <c r="D95" i="51"/>
  <c r="C95" i="51"/>
  <c r="B95" i="51"/>
  <c r="F94" i="51"/>
  <c r="D94" i="51"/>
  <c r="C94" i="51"/>
  <c r="B94" i="51"/>
  <c r="F93" i="51"/>
  <c r="D93" i="51"/>
  <c r="C93" i="51"/>
  <c r="B93" i="51"/>
  <c r="F92" i="51"/>
  <c r="D92" i="51"/>
  <c r="C92" i="51"/>
  <c r="B92" i="51"/>
  <c r="F91" i="51"/>
  <c r="D91" i="51"/>
  <c r="C91" i="51"/>
  <c r="B91" i="51"/>
  <c r="F90" i="51"/>
  <c r="D90" i="51"/>
  <c r="C90" i="51"/>
  <c r="B90" i="51"/>
  <c r="F89" i="51"/>
  <c r="D89" i="51"/>
  <c r="C89" i="51"/>
  <c r="B89" i="51"/>
  <c r="F88" i="51"/>
  <c r="D88" i="51"/>
  <c r="C88" i="51"/>
  <c r="B88" i="51"/>
  <c r="F87" i="51"/>
  <c r="D87" i="51"/>
  <c r="C87" i="51"/>
  <c r="B87" i="51"/>
  <c r="F86" i="51"/>
  <c r="D86" i="51"/>
  <c r="C86" i="51"/>
  <c r="B86" i="51"/>
  <c r="F85" i="51"/>
  <c r="D85" i="51"/>
  <c r="C85" i="51"/>
  <c r="B85" i="51"/>
  <c r="F84" i="51"/>
  <c r="C84" i="51"/>
  <c r="B84" i="51"/>
  <c r="F77" i="51"/>
  <c r="D77" i="51"/>
  <c r="C77" i="51"/>
  <c r="B77" i="51"/>
  <c r="F76" i="51"/>
  <c r="D76" i="51"/>
  <c r="C76" i="51"/>
  <c r="B76" i="51"/>
  <c r="F75" i="51"/>
  <c r="D75" i="51"/>
  <c r="C75" i="51"/>
  <c r="B75" i="51"/>
  <c r="F74" i="51"/>
  <c r="D74" i="51"/>
  <c r="C74" i="51"/>
  <c r="B74" i="51"/>
  <c r="F73" i="51"/>
  <c r="D73" i="51"/>
  <c r="C73" i="51"/>
  <c r="B73" i="51"/>
  <c r="F72" i="51"/>
  <c r="D72" i="51"/>
  <c r="C72" i="51"/>
  <c r="B72" i="51"/>
  <c r="F71" i="51"/>
  <c r="D71" i="51"/>
  <c r="C71" i="51"/>
  <c r="B71" i="51"/>
  <c r="F70" i="51"/>
  <c r="D70" i="51"/>
  <c r="C70" i="51"/>
  <c r="B70" i="51"/>
  <c r="F69" i="51"/>
  <c r="D69" i="51"/>
  <c r="C69" i="51"/>
  <c r="B69" i="51"/>
  <c r="F68" i="51"/>
  <c r="D68" i="51"/>
  <c r="C68" i="51"/>
  <c r="B68" i="51"/>
  <c r="F67" i="51"/>
  <c r="D67" i="51"/>
  <c r="C67" i="51"/>
  <c r="B67" i="51"/>
  <c r="F66" i="51"/>
  <c r="D66" i="51"/>
  <c r="C66" i="51"/>
  <c r="B66" i="51"/>
  <c r="F65" i="51"/>
  <c r="C65" i="51"/>
  <c r="B65" i="51"/>
  <c r="V44" i="51"/>
  <c r="U44" i="51"/>
  <c r="W44" i="51"/>
  <c r="T29" i="51"/>
  <c r="T28" i="51"/>
  <c r="R25" i="51"/>
  <c r="F77" i="50"/>
  <c r="D77" i="50"/>
  <c r="C77" i="50"/>
  <c r="B77" i="50"/>
  <c r="F76" i="50"/>
  <c r="D76" i="50"/>
  <c r="C76" i="50"/>
  <c r="B76" i="50"/>
  <c r="F75" i="50"/>
  <c r="D75" i="50"/>
  <c r="C75" i="50"/>
  <c r="B75" i="50"/>
  <c r="F74" i="50"/>
  <c r="D74" i="50"/>
  <c r="C74" i="50"/>
  <c r="B74" i="50"/>
  <c r="F73" i="50"/>
  <c r="D73" i="50"/>
  <c r="C73" i="50"/>
  <c r="B73" i="50"/>
  <c r="F72" i="50"/>
  <c r="D72" i="50"/>
  <c r="C72" i="50"/>
  <c r="B72" i="50"/>
  <c r="F71" i="50"/>
  <c r="D71" i="50"/>
  <c r="C71" i="50"/>
  <c r="B71" i="50"/>
  <c r="F70" i="50"/>
  <c r="D70" i="50"/>
  <c r="C70" i="50"/>
  <c r="B70" i="50"/>
  <c r="F69" i="50"/>
  <c r="D69" i="50"/>
  <c r="C69" i="50"/>
  <c r="B69" i="50"/>
  <c r="F68" i="50"/>
  <c r="D68" i="50"/>
  <c r="C68" i="50"/>
  <c r="B68" i="50"/>
  <c r="F67" i="50"/>
  <c r="D67" i="50"/>
  <c r="C67" i="50"/>
  <c r="B67" i="50"/>
  <c r="F66" i="50"/>
  <c r="D66" i="50"/>
  <c r="C66" i="50"/>
  <c r="B66" i="50"/>
  <c r="U29" i="50"/>
  <c r="U32" i="50" s="1"/>
  <c r="F77" i="49"/>
  <c r="D77" i="49"/>
  <c r="C77" i="49"/>
  <c r="B77" i="49"/>
  <c r="F76" i="49"/>
  <c r="D76" i="49"/>
  <c r="C76" i="49"/>
  <c r="B76" i="49"/>
  <c r="F75" i="49"/>
  <c r="D75" i="49"/>
  <c r="C75" i="49"/>
  <c r="B75" i="49"/>
  <c r="F74" i="49"/>
  <c r="D74" i="49"/>
  <c r="C74" i="49"/>
  <c r="B74" i="49"/>
  <c r="F73" i="49"/>
  <c r="D73" i="49"/>
  <c r="C73" i="49"/>
  <c r="B73" i="49"/>
  <c r="F72" i="49"/>
  <c r="D72" i="49"/>
  <c r="C72" i="49"/>
  <c r="B72" i="49"/>
  <c r="F71" i="49"/>
  <c r="D71" i="49"/>
  <c r="C71" i="49"/>
  <c r="B71" i="49"/>
  <c r="F70" i="49"/>
  <c r="D70" i="49"/>
  <c r="C70" i="49"/>
  <c r="B70" i="49"/>
  <c r="F69" i="49"/>
  <c r="D69" i="49"/>
  <c r="C69" i="49"/>
  <c r="B69" i="49"/>
  <c r="F68" i="49"/>
  <c r="D68" i="49"/>
  <c r="C68" i="49"/>
  <c r="B68" i="49"/>
  <c r="F67" i="49"/>
  <c r="D67" i="49"/>
  <c r="C67" i="49"/>
  <c r="B67" i="49"/>
  <c r="F66" i="49"/>
  <c r="D66" i="49"/>
  <c r="C66" i="49"/>
  <c r="B66" i="49"/>
  <c r="F65" i="49"/>
  <c r="C65" i="49"/>
  <c r="B65" i="49"/>
  <c r="D51" i="49"/>
  <c r="C51" i="49"/>
  <c r="F99" i="48"/>
  <c r="D99" i="48"/>
  <c r="C99" i="48"/>
  <c r="B99" i="48"/>
  <c r="F98" i="48"/>
  <c r="D98" i="48"/>
  <c r="C98" i="48"/>
  <c r="B98" i="48"/>
  <c r="F97" i="48"/>
  <c r="D97" i="48"/>
  <c r="C97" i="48"/>
  <c r="B97" i="48"/>
  <c r="F96" i="48"/>
  <c r="D96" i="48"/>
  <c r="C96" i="48"/>
  <c r="B96" i="48"/>
  <c r="F95" i="48"/>
  <c r="D95" i="48"/>
  <c r="C95" i="48"/>
  <c r="B95" i="48"/>
  <c r="F94" i="48"/>
  <c r="D94" i="48"/>
  <c r="C94" i="48"/>
  <c r="B94" i="48"/>
  <c r="F93" i="48"/>
  <c r="D93" i="48"/>
  <c r="C93" i="48"/>
  <c r="B93" i="48"/>
  <c r="F92" i="48"/>
  <c r="D92" i="48"/>
  <c r="C92" i="48"/>
  <c r="B92" i="48"/>
  <c r="F91" i="48"/>
  <c r="D91" i="48"/>
  <c r="C91" i="48"/>
  <c r="B91" i="48"/>
  <c r="F90" i="48"/>
  <c r="D90" i="48"/>
  <c r="C90" i="48"/>
  <c r="B90" i="48"/>
  <c r="F89" i="48"/>
  <c r="D89" i="48"/>
  <c r="C89" i="48"/>
  <c r="B89" i="48"/>
  <c r="F88" i="48"/>
  <c r="D88" i="48"/>
  <c r="C88" i="48"/>
  <c r="B88" i="48"/>
  <c r="F87" i="48"/>
  <c r="C87" i="48"/>
  <c r="B87" i="48"/>
  <c r="F77" i="48"/>
  <c r="D77" i="48"/>
  <c r="C77" i="48"/>
  <c r="B77" i="48"/>
  <c r="F76" i="48"/>
  <c r="D76" i="48"/>
  <c r="C76" i="48"/>
  <c r="B76" i="48"/>
  <c r="F75" i="48"/>
  <c r="D75" i="48"/>
  <c r="C75" i="48"/>
  <c r="B75" i="48"/>
  <c r="F74" i="48"/>
  <c r="D74" i="48"/>
  <c r="C74" i="48"/>
  <c r="B74" i="48"/>
  <c r="F73" i="48"/>
  <c r="D73" i="48"/>
  <c r="C73" i="48"/>
  <c r="B73" i="48"/>
  <c r="F72" i="48"/>
  <c r="D72" i="48"/>
  <c r="C72" i="48"/>
  <c r="B72" i="48"/>
  <c r="F71" i="48"/>
  <c r="D71" i="48"/>
  <c r="C71" i="48"/>
  <c r="B71" i="48"/>
  <c r="F70" i="48"/>
  <c r="D70" i="48"/>
  <c r="C70" i="48"/>
  <c r="B70" i="48"/>
  <c r="F69" i="48"/>
  <c r="D69" i="48"/>
  <c r="C69" i="48"/>
  <c r="B69" i="48"/>
  <c r="F68" i="48"/>
  <c r="D68" i="48"/>
  <c r="C68" i="48"/>
  <c r="B68" i="48"/>
  <c r="F67" i="48"/>
  <c r="D67" i="48"/>
  <c r="C67" i="48"/>
  <c r="B67" i="48"/>
  <c r="F66" i="48"/>
  <c r="D66" i="48"/>
  <c r="C66" i="48"/>
  <c r="B66" i="48"/>
  <c r="F65" i="48"/>
  <c r="C65" i="48"/>
  <c r="B65" i="48"/>
  <c r="V40" i="48"/>
  <c r="S30" i="48"/>
  <c r="T29" i="48"/>
  <c r="T28" i="48"/>
  <c r="S28" i="48"/>
  <c r="D51" i="48"/>
  <c r="K1" i="48"/>
  <c r="F105" i="47"/>
  <c r="D105" i="47"/>
  <c r="C105" i="47"/>
  <c r="B105" i="47"/>
  <c r="F104" i="47"/>
  <c r="D104" i="47"/>
  <c r="C104" i="47"/>
  <c r="B104" i="47"/>
  <c r="F103" i="47"/>
  <c r="D103" i="47"/>
  <c r="C103" i="47"/>
  <c r="B103" i="47"/>
  <c r="F102" i="47"/>
  <c r="D102" i="47"/>
  <c r="C102" i="47"/>
  <c r="B102" i="47"/>
  <c r="F101" i="47"/>
  <c r="D101" i="47"/>
  <c r="C101" i="47"/>
  <c r="B101" i="47"/>
  <c r="F100" i="47"/>
  <c r="D100" i="47"/>
  <c r="C100" i="47"/>
  <c r="B100" i="47"/>
  <c r="F99" i="47"/>
  <c r="D99" i="47"/>
  <c r="C99" i="47"/>
  <c r="B99" i="47"/>
  <c r="F98" i="47"/>
  <c r="D98" i="47"/>
  <c r="C98" i="47"/>
  <c r="B98" i="47"/>
  <c r="F97" i="47"/>
  <c r="D97" i="47"/>
  <c r="C97" i="47"/>
  <c r="B97" i="47"/>
  <c r="F96" i="47"/>
  <c r="D96" i="47"/>
  <c r="C96" i="47"/>
  <c r="B96" i="47"/>
  <c r="F95" i="47"/>
  <c r="D95" i="47"/>
  <c r="C95" i="47"/>
  <c r="B95" i="47"/>
  <c r="F94" i="47"/>
  <c r="D94" i="47"/>
  <c r="C94" i="47"/>
  <c r="B94" i="47"/>
  <c r="F93" i="47"/>
  <c r="D93" i="47"/>
  <c r="C93" i="47"/>
  <c r="B93" i="47"/>
  <c r="F92" i="47"/>
  <c r="D92" i="47"/>
  <c r="C92" i="47"/>
  <c r="B92" i="47"/>
  <c r="F91" i="47"/>
  <c r="D91" i="47"/>
  <c r="C91" i="47"/>
  <c r="B91" i="47"/>
  <c r="F90" i="47"/>
  <c r="D90" i="47"/>
  <c r="C90" i="47"/>
  <c r="B90" i="47"/>
  <c r="F89" i="47"/>
  <c r="C89" i="47"/>
  <c r="B89" i="47"/>
  <c r="F81" i="47"/>
  <c r="D81" i="47"/>
  <c r="C81" i="47"/>
  <c r="B81" i="47"/>
  <c r="F80" i="47"/>
  <c r="D80" i="47"/>
  <c r="C80" i="47"/>
  <c r="B80" i="47"/>
  <c r="F79" i="47"/>
  <c r="D79" i="47"/>
  <c r="C79" i="47"/>
  <c r="B79" i="47"/>
  <c r="F78" i="47"/>
  <c r="D78" i="47"/>
  <c r="C78" i="47"/>
  <c r="B78" i="47"/>
  <c r="F77" i="47"/>
  <c r="D77" i="47"/>
  <c r="C77" i="47"/>
  <c r="B77" i="47"/>
  <c r="F76" i="47"/>
  <c r="D76" i="47"/>
  <c r="C76" i="47"/>
  <c r="B76" i="47"/>
  <c r="F75" i="47"/>
  <c r="D75" i="47"/>
  <c r="C75" i="47"/>
  <c r="B75" i="47"/>
  <c r="F74" i="47"/>
  <c r="D74" i="47"/>
  <c r="C74" i="47"/>
  <c r="B74" i="47"/>
  <c r="F73" i="47"/>
  <c r="D73" i="47"/>
  <c r="C73" i="47"/>
  <c r="B73" i="47"/>
  <c r="F72" i="47"/>
  <c r="D72" i="47"/>
  <c r="C72" i="47"/>
  <c r="B72" i="47"/>
  <c r="F71" i="47"/>
  <c r="D71" i="47"/>
  <c r="C71" i="47"/>
  <c r="B71" i="47"/>
  <c r="F70" i="47"/>
  <c r="D70" i="47"/>
  <c r="C70" i="47"/>
  <c r="B70" i="47"/>
  <c r="F69" i="47"/>
  <c r="D69" i="47"/>
  <c r="C69" i="47"/>
  <c r="B69" i="47"/>
  <c r="F68" i="47"/>
  <c r="D68" i="47"/>
  <c r="C68" i="47"/>
  <c r="B68" i="47"/>
  <c r="F67" i="47"/>
  <c r="D67" i="47"/>
  <c r="C67" i="47"/>
  <c r="B67" i="47"/>
  <c r="F66" i="47"/>
  <c r="D66" i="47"/>
  <c r="C66" i="47"/>
  <c r="B66" i="47"/>
  <c r="F65" i="47"/>
  <c r="C65" i="47"/>
  <c r="B65" i="47"/>
  <c r="V40" i="47"/>
  <c r="T30" i="47"/>
  <c r="S30" i="47"/>
  <c r="U29" i="47"/>
  <c r="U32" i="47" s="1"/>
  <c r="AC30" i="47" s="1"/>
  <c r="T28" i="47"/>
  <c r="S28" i="47"/>
  <c r="D51" i="47"/>
  <c r="C51" i="47"/>
  <c r="F75" i="46"/>
  <c r="D75" i="46"/>
  <c r="C75" i="46"/>
  <c r="B75" i="46"/>
  <c r="F74" i="46"/>
  <c r="D74" i="46"/>
  <c r="C74" i="46"/>
  <c r="B74" i="46"/>
  <c r="F73" i="46"/>
  <c r="D73" i="46"/>
  <c r="C73" i="46"/>
  <c r="B73" i="46"/>
  <c r="F72" i="46"/>
  <c r="D72" i="46"/>
  <c r="C72" i="46"/>
  <c r="B72" i="46"/>
  <c r="F71" i="46"/>
  <c r="D71" i="46"/>
  <c r="C71" i="46"/>
  <c r="B71" i="46"/>
  <c r="F70" i="46"/>
  <c r="D70" i="46"/>
  <c r="C70" i="46"/>
  <c r="B70" i="46"/>
  <c r="F69" i="46"/>
  <c r="D69" i="46"/>
  <c r="C69" i="46"/>
  <c r="B69" i="46"/>
  <c r="F68" i="46"/>
  <c r="D68" i="46"/>
  <c r="C68" i="46"/>
  <c r="B68" i="46"/>
  <c r="F67" i="46"/>
  <c r="D67" i="46"/>
  <c r="C67" i="46"/>
  <c r="B67" i="46"/>
  <c r="F66" i="46"/>
  <c r="D66" i="46"/>
  <c r="C66" i="46"/>
  <c r="B66" i="46"/>
  <c r="F65" i="46"/>
  <c r="C65" i="46"/>
  <c r="B65" i="46"/>
  <c r="V40" i="46"/>
  <c r="T30" i="46"/>
  <c r="S30" i="46"/>
  <c r="T28" i="46"/>
  <c r="S28" i="46"/>
  <c r="D51" i="46"/>
  <c r="R44" i="46"/>
  <c r="K1" i="46"/>
  <c r="C51" i="46"/>
  <c r="F105" i="45"/>
  <c r="D105" i="45"/>
  <c r="C105" i="45"/>
  <c r="B105" i="45"/>
  <c r="F104" i="45"/>
  <c r="C104" i="45"/>
  <c r="B104" i="45"/>
  <c r="F103" i="45"/>
  <c r="C103" i="45"/>
  <c r="B103" i="45"/>
  <c r="F102" i="45"/>
  <c r="C102" i="45"/>
  <c r="B102" i="45"/>
  <c r="F101" i="45"/>
  <c r="D101" i="45"/>
  <c r="C101" i="45"/>
  <c r="B101" i="45"/>
  <c r="F100" i="45"/>
  <c r="C100" i="45"/>
  <c r="B100" i="45"/>
  <c r="F99" i="45"/>
  <c r="D99" i="45"/>
  <c r="C99" i="45"/>
  <c r="B99" i="45"/>
  <c r="F98" i="45"/>
  <c r="D98" i="45"/>
  <c r="C98" i="45"/>
  <c r="B98" i="45"/>
  <c r="F97" i="45"/>
  <c r="C97" i="45"/>
  <c r="B97" i="45"/>
  <c r="F96" i="45"/>
  <c r="D96" i="45"/>
  <c r="C96" i="45"/>
  <c r="B96" i="45"/>
  <c r="F95" i="45"/>
  <c r="D95" i="45"/>
  <c r="C95" i="45"/>
  <c r="B95" i="45"/>
  <c r="F94" i="45"/>
  <c r="D94" i="45"/>
  <c r="C94" i="45"/>
  <c r="B94" i="45"/>
  <c r="F93" i="45"/>
  <c r="D93" i="45"/>
  <c r="C93" i="45"/>
  <c r="B93" i="45"/>
  <c r="F92" i="45"/>
  <c r="D92" i="45"/>
  <c r="C92" i="45"/>
  <c r="B92" i="45"/>
  <c r="F91" i="45"/>
  <c r="C91" i="45"/>
  <c r="B91" i="45"/>
  <c r="F80" i="45"/>
  <c r="D80" i="45"/>
  <c r="C80" i="45"/>
  <c r="B80" i="45"/>
  <c r="F79" i="45"/>
  <c r="C79" i="45"/>
  <c r="B79" i="45"/>
  <c r="F78" i="45"/>
  <c r="C78" i="45"/>
  <c r="B78" i="45"/>
  <c r="F77" i="45"/>
  <c r="C77" i="45"/>
  <c r="B77" i="45"/>
  <c r="F76" i="45"/>
  <c r="D76" i="45"/>
  <c r="C76" i="45"/>
  <c r="B76" i="45"/>
  <c r="F75" i="45"/>
  <c r="C75" i="45"/>
  <c r="B75" i="45"/>
  <c r="F74" i="45"/>
  <c r="D74" i="45"/>
  <c r="C74" i="45"/>
  <c r="B74" i="45"/>
  <c r="F73" i="45"/>
  <c r="D73" i="45"/>
  <c r="C73" i="45"/>
  <c r="B73" i="45"/>
  <c r="F72" i="45"/>
  <c r="C72" i="45"/>
  <c r="B72" i="45"/>
  <c r="F71" i="45"/>
  <c r="D71" i="45"/>
  <c r="C71" i="45"/>
  <c r="B71" i="45"/>
  <c r="F70" i="45"/>
  <c r="D70" i="45"/>
  <c r="C70" i="45"/>
  <c r="B70" i="45"/>
  <c r="F69" i="45"/>
  <c r="D69" i="45"/>
  <c r="C69" i="45"/>
  <c r="B69" i="45"/>
  <c r="F68" i="45"/>
  <c r="D68" i="45"/>
  <c r="C68" i="45"/>
  <c r="B68" i="45"/>
  <c r="F67" i="45"/>
  <c r="D67" i="45"/>
  <c r="C67" i="45"/>
  <c r="B67" i="45"/>
  <c r="F66" i="45"/>
  <c r="C66" i="45"/>
  <c r="B66" i="45"/>
  <c r="U29" i="45"/>
  <c r="F105" i="44"/>
  <c r="D105" i="44"/>
  <c r="C105" i="44"/>
  <c r="B105" i="44"/>
  <c r="F104" i="44"/>
  <c r="D104" i="44"/>
  <c r="C104" i="44"/>
  <c r="B104" i="44"/>
  <c r="F103" i="44"/>
  <c r="D103" i="44"/>
  <c r="C103" i="44"/>
  <c r="B103" i="44"/>
  <c r="F102" i="44"/>
  <c r="D102" i="44"/>
  <c r="C102" i="44"/>
  <c r="B102" i="44"/>
  <c r="F101" i="44"/>
  <c r="D101" i="44"/>
  <c r="C101" i="44"/>
  <c r="B101" i="44"/>
  <c r="F100" i="44"/>
  <c r="D100" i="44"/>
  <c r="C100" i="44"/>
  <c r="B100" i="44"/>
  <c r="F99" i="44"/>
  <c r="D99" i="44"/>
  <c r="C99" i="44"/>
  <c r="B99" i="44"/>
  <c r="F98" i="44"/>
  <c r="D98" i="44"/>
  <c r="C98" i="44"/>
  <c r="B98" i="44"/>
  <c r="F97" i="44"/>
  <c r="D97" i="44"/>
  <c r="C97" i="44"/>
  <c r="B97" i="44"/>
  <c r="F96" i="44"/>
  <c r="D96" i="44"/>
  <c r="C96" i="44"/>
  <c r="B96" i="44"/>
  <c r="F95" i="44"/>
  <c r="D95" i="44"/>
  <c r="C95" i="44"/>
  <c r="B95" i="44"/>
  <c r="F94" i="44"/>
  <c r="D94" i="44"/>
  <c r="C94" i="44"/>
  <c r="B94" i="44"/>
  <c r="F93" i="44"/>
  <c r="D93" i="44"/>
  <c r="C93" i="44"/>
  <c r="B93" i="44"/>
  <c r="F92" i="44"/>
  <c r="D92" i="44"/>
  <c r="C92" i="44"/>
  <c r="B92" i="44"/>
  <c r="F91" i="44"/>
  <c r="D91" i="44"/>
  <c r="C91" i="44"/>
  <c r="B91" i="44"/>
  <c r="F90" i="44"/>
  <c r="C90" i="44"/>
  <c r="B90" i="44"/>
  <c r="F80" i="44"/>
  <c r="D80" i="44"/>
  <c r="C80" i="44"/>
  <c r="B80" i="44"/>
  <c r="F79" i="44"/>
  <c r="D79" i="44"/>
  <c r="C79" i="44"/>
  <c r="B79" i="44"/>
  <c r="F78" i="44"/>
  <c r="D78" i="44"/>
  <c r="C78" i="44"/>
  <c r="B78" i="44"/>
  <c r="F77" i="44"/>
  <c r="D77" i="44"/>
  <c r="C77" i="44"/>
  <c r="B77" i="44"/>
  <c r="F76" i="44"/>
  <c r="D76" i="44"/>
  <c r="C76" i="44"/>
  <c r="B76" i="44"/>
  <c r="F75" i="44"/>
  <c r="D75" i="44"/>
  <c r="C75" i="44"/>
  <c r="B75" i="44"/>
  <c r="F74" i="44"/>
  <c r="D74" i="44"/>
  <c r="C74" i="44"/>
  <c r="B74" i="44"/>
  <c r="F73" i="44"/>
  <c r="D73" i="44"/>
  <c r="C73" i="44"/>
  <c r="B73" i="44"/>
  <c r="F72" i="44"/>
  <c r="D72" i="44"/>
  <c r="C72" i="44"/>
  <c r="B72" i="44"/>
  <c r="F71" i="44"/>
  <c r="D71" i="44"/>
  <c r="C71" i="44"/>
  <c r="B71" i="44"/>
  <c r="F70" i="44"/>
  <c r="D70" i="44"/>
  <c r="C70" i="44"/>
  <c r="B70" i="44"/>
  <c r="F69" i="44"/>
  <c r="D69" i="44"/>
  <c r="C69" i="44"/>
  <c r="B69" i="44"/>
  <c r="F68" i="44"/>
  <c r="D68" i="44"/>
  <c r="C68" i="44"/>
  <c r="B68" i="44"/>
  <c r="F67" i="44"/>
  <c r="D67" i="44"/>
  <c r="C67" i="44"/>
  <c r="B67" i="44"/>
  <c r="F66" i="44"/>
  <c r="D66" i="44"/>
  <c r="C66" i="44"/>
  <c r="B66" i="44"/>
  <c r="F65" i="44"/>
  <c r="C65" i="44"/>
  <c r="B65" i="44"/>
  <c r="V40" i="44"/>
  <c r="T30" i="44"/>
  <c r="S30" i="44"/>
  <c r="U29" i="44"/>
  <c r="U32" i="44" s="1"/>
  <c r="AC30" i="44" s="1"/>
  <c r="T28" i="44"/>
  <c r="S28" i="44"/>
  <c r="D51" i="44"/>
  <c r="R44" i="44"/>
  <c r="K1" i="44"/>
  <c r="C51" i="44" s="1"/>
  <c r="F96" i="43"/>
  <c r="D96" i="43"/>
  <c r="C96" i="43"/>
  <c r="B96" i="43"/>
  <c r="F95" i="43"/>
  <c r="D95" i="43"/>
  <c r="C95" i="43"/>
  <c r="B95" i="43"/>
  <c r="F94" i="43"/>
  <c r="D94" i="43"/>
  <c r="C94" i="43"/>
  <c r="B94" i="43"/>
  <c r="F93" i="43"/>
  <c r="D93" i="43"/>
  <c r="C93" i="43"/>
  <c r="B93" i="43"/>
  <c r="F92" i="43"/>
  <c r="D92" i="43"/>
  <c r="C92" i="43"/>
  <c r="B92" i="43"/>
  <c r="F91" i="43"/>
  <c r="D91" i="43"/>
  <c r="C91" i="43"/>
  <c r="B91" i="43"/>
  <c r="F90" i="43"/>
  <c r="D90" i="43"/>
  <c r="C90" i="43"/>
  <c r="B90" i="43"/>
  <c r="F89" i="43"/>
  <c r="D89" i="43"/>
  <c r="C89" i="43"/>
  <c r="B89" i="43"/>
  <c r="F88" i="43"/>
  <c r="D88" i="43"/>
  <c r="C88" i="43"/>
  <c r="B88" i="43"/>
  <c r="F87" i="43"/>
  <c r="D87" i="43"/>
  <c r="C87" i="43"/>
  <c r="B87" i="43"/>
  <c r="F86" i="43"/>
  <c r="D86" i="43"/>
  <c r="C86" i="43"/>
  <c r="B86" i="43"/>
  <c r="F85" i="43"/>
  <c r="D85" i="43"/>
  <c r="C85" i="43"/>
  <c r="B85" i="43"/>
  <c r="F84" i="43"/>
  <c r="C84" i="43"/>
  <c r="B84" i="43"/>
  <c r="F77" i="43"/>
  <c r="D77" i="43"/>
  <c r="C77" i="43"/>
  <c r="B77" i="43"/>
  <c r="F76" i="43"/>
  <c r="D76" i="43"/>
  <c r="C76" i="43"/>
  <c r="B76" i="43"/>
  <c r="F75" i="43"/>
  <c r="D75" i="43"/>
  <c r="C75" i="43"/>
  <c r="B75" i="43"/>
  <c r="F74" i="43"/>
  <c r="D74" i="43"/>
  <c r="C74" i="43"/>
  <c r="B74" i="43"/>
  <c r="F73" i="43"/>
  <c r="D73" i="43"/>
  <c r="C73" i="43"/>
  <c r="B73" i="43"/>
  <c r="F72" i="43"/>
  <c r="D72" i="43"/>
  <c r="C72" i="43"/>
  <c r="B72" i="43"/>
  <c r="F71" i="43"/>
  <c r="D71" i="43"/>
  <c r="C71" i="43"/>
  <c r="B71" i="43"/>
  <c r="F70" i="43"/>
  <c r="D70" i="43"/>
  <c r="C70" i="43"/>
  <c r="B70" i="43"/>
  <c r="F69" i="43"/>
  <c r="D69" i="43"/>
  <c r="C69" i="43"/>
  <c r="B69" i="43"/>
  <c r="F68" i="43"/>
  <c r="D68" i="43"/>
  <c r="C68" i="43"/>
  <c r="B68" i="43"/>
  <c r="F67" i="43"/>
  <c r="D67" i="43"/>
  <c r="C67" i="43"/>
  <c r="B67" i="43"/>
  <c r="F66" i="43"/>
  <c r="D66" i="43"/>
  <c r="C66" i="43"/>
  <c r="B66" i="43"/>
  <c r="F65" i="43"/>
  <c r="C65" i="43"/>
  <c r="B65" i="43"/>
  <c r="V40" i="43"/>
  <c r="U30" i="43"/>
  <c r="U32" i="43" s="1"/>
  <c r="S30" i="43"/>
  <c r="T32" i="43"/>
  <c r="S28" i="43"/>
  <c r="D51" i="43"/>
  <c r="R44" i="43" s="1"/>
  <c r="C51" i="43"/>
  <c r="F72" i="42"/>
  <c r="D72" i="42"/>
  <c r="C72" i="42"/>
  <c r="B72" i="42"/>
  <c r="F71" i="42"/>
  <c r="D71" i="42"/>
  <c r="C71" i="42"/>
  <c r="B71" i="42"/>
  <c r="F70" i="42"/>
  <c r="D70" i="42"/>
  <c r="C70" i="42"/>
  <c r="B70" i="42"/>
  <c r="F69" i="42"/>
  <c r="D69" i="42"/>
  <c r="C69" i="42"/>
  <c r="B69" i="42"/>
  <c r="F68" i="42"/>
  <c r="D68" i="42"/>
  <c r="C68" i="42"/>
  <c r="B68" i="42"/>
  <c r="F67" i="42"/>
  <c r="D67" i="42"/>
  <c r="C67" i="42"/>
  <c r="B67" i="42"/>
  <c r="F66" i="42"/>
  <c r="D66" i="42"/>
  <c r="C66" i="42"/>
  <c r="B66" i="42"/>
  <c r="F65" i="42"/>
  <c r="D65" i="42"/>
  <c r="C65" i="42"/>
  <c r="B65" i="42"/>
  <c r="F90" i="41"/>
  <c r="D90" i="41"/>
  <c r="C90" i="41"/>
  <c r="B90" i="41"/>
  <c r="F89" i="41"/>
  <c r="D89" i="41"/>
  <c r="C89" i="41"/>
  <c r="B89" i="41"/>
  <c r="F88" i="41"/>
  <c r="D88" i="41"/>
  <c r="C88" i="41"/>
  <c r="B88" i="41"/>
  <c r="F87" i="41"/>
  <c r="D87" i="41"/>
  <c r="C87" i="41"/>
  <c r="B87" i="41"/>
  <c r="F86" i="41"/>
  <c r="D86" i="41"/>
  <c r="C86" i="41"/>
  <c r="B86" i="41"/>
  <c r="F85" i="41"/>
  <c r="D85" i="41"/>
  <c r="C85" i="41"/>
  <c r="B85" i="41"/>
  <c r="F84" i="41"/>
  <c r="D84" i="41"/>
  <c r="C84" i="41"/>
  <c r="B84" i="41"/>
  <c r="F83" i="41"/>
  <c r="D83" i="41"/>
  <c r="C83" i="41"/>
  <c r="B83" i="41"/>
  <c r="F82" i="41"/>
  <c r="D82" i="41"/>
  <c r="C82" i="41"/>
  <c r="B82" i="41"/>
  <c r="F81" i="41"/>
  <c r="C81" i="41"/>
  <c r="B81" i="41"/>
  <c r="F74" i="41"/>
  <c r="D74" i="41"/>
  <c r="C74" i="41"/>
  <c r="B74" i="41"/>
  <c r="F73" i="41"/>
  <c r="D73" i="41"/>
  <c r="C73" i="41"/>
  <c r="B73" i="41"/>
  <c r="F72" i="41"/>
  <c r="D72" i="41"/>
  <c r="C72" i="41"/>
  <c r="B72" i="41"/>
  <c r="F71" i="41"/>
  <c r="D71" i="41"/>
  <c r="C71" i="41"/>
  <c r="B71" i="41"/>
  <c r="F70" i="41"/>
  <c r="D70" i="41"/>
  <c r="C70" i="41"/>
  <c r="B70" i="41"/>
  <c r="F69" i="41"/>
  <c r="D69" i="41"/>
  <c r="C69" i="41"/>
  <c r="B69" i="41"/>
  <c r="F68" i="41"/>
  <c r="D68" i="41"/>
  <c r="C68" i="41"/>
  <c r="B68" i="41"/>
  <c r="F67" i="41"/>
  <c r="D67" i="41"/>
  <c r="C67" i="41"/>
  <c r="B67" i="41"/>
  <c r="F66" i="41"/>
  <c r="D66" i="41"/>
  <c r="C66" i="41"/>
  <c r="B66" i="41"/>
  <c r="F65" i="41"/>
  <c r="C65" i="41"/>
  <c r="B65" i="41"/>
  <c r="V40" i="41"/>
  <c r="T30" i="41"/>
  <c r="S30" i="41"/>
  <c r="U29" i="41"/>
  <c r="U32" i="41" s="1"/>
  <c r="AD30" i="41" s="1"/>
  <c r="T28" i="41"/>
  <c r="S28" i="41"/>
  <c r="D51" i="41"/>
  <c r="R44" i="41" s="1"/>
  <c r="C51" i="41"/>
  <c r="F73" i="40"/>
  <c r="D73" i="40"/>
  <c r="C73" i="40"/>
  <c r="B73" i="40"/>
  <c r="F72" i="40"/>
  <c r="D72" i="40"/>
  <c r="C72" i="40"/>
  <c r="B72" i="40"/>
  <c r="F71" i="40"/>
  <c r="D71" i="40"/>
  <c r="C71" i="40"/>
  <c r="B71" i="40"/>
  <c r="F70" i="40"/>
  <c r="D70" i="40"/>
  <c r="C70" i="40"/>
  <c r="B70" i="40"/>
  <c r="F69" i="40"/>
  <c r="D69" i="40"/>
  <c r="C69" i="40"/>
  <c r="B69" i="40"/>
  <c r="F68" i="40"/>
  <c r="D68" i="40"/>
  <c r="C68" i="40"/>
  <c r="B68" i="40"/>
  <c r="F67" i="40"/>
  <c r="D67" i="40"/>
  <c r="C67" i="40"/>
  <c r="B67" i="40"/>
  <c r="F66" i="40"/>
  <c r="D66" i="40"/>
  <c r="C66" i="40"/>
  <c r="B66" i="40"/>
  <c r="F65" i="40"/>
  <c r="D65" i="40"/>
  <c r="C65" i="40"/>
  <c r="B65" i="40"/>
  <c r="T29" i="40"/>
  <c r="C51" i="40"/>
  <c r="F71" i="39"/>
  <c r="D71" i="39"/>
  <c r="C71" i="39"/>
  <c r="B71" i="39"/>
  <c r="F70" i="39"/>
  <c r="D70" i="39"/>
  <c r="C70" i="39"/>
  <c r="B70" i="39"/>
  <c r="F69" i="39"/>
  <c r="D69" i="39"/>
  <c r="C69" i="39"/>
  <c r="B69" i="39"/>
  <c r="F68" i="39"/>
  <c r="D68" i="39"/>
  <c r="C68" i="39"/>
  <c r="B68" i="39"/>
  <c r="F67" i="39"/>
  <c r="D67" i="39"/>
  <c r="C67" i="39"/>
  <c r="B67" i="39"/>
  <c r="F66" i="39"/>
  <c r="D66" i="39"/>
  <c r="C66" i="39"/>
  <c r="B66" i="39"/>
  <c r="F71" i="38"/>
  <c r="D71" i="38"/>
  <c r="C71" i="38"/>
  <c r="B71" i="38"/>
  <c r="F70" i="38"/>
  <c r="D70" i="38"/>
  <c r="C70" i="38"/>
  <c r="B70" i="38"/>
  <c r="F69" i="38"/>
  <c r="D69" i="38"/>
  <c r="C69" i="38"/>
  <c r="B69" i="38"/>
  <c r="F68" i="38"/>
  <c r="D68" i="38"/>
  <c r="C68" i="38"/>
  <c r="B68" i="38"/>
  <c r="F67" i="38"/>
  <c r="D67" i="38"/>
  <c r="C67" i="38"/>
  <c r="B67" i="38"/>
  <c r="F66" i="38"/>
  <c r="D66" i="38"/>
  <c r="C66" i="38"/>
  <c r="B66" i="38"/>
  <c r="F65" i="38"/>
  <c r="D65" i="38"/>
  <c r="C65" i="38"/>
  <c r="B65" i="38"/>
  <c r="S28" i="38"/>
  <c r="S30" i="38" s="1"/>
  <c r="F70" i="37"/>
  <c r="D70" i="37"/>
  <c r="C70" i="37"/>
  <c r="B70" i="37"/>
  <c r="F69" i="37"/>
  <c r="D69" i="37"/>
  <c r="C69" i="37"/>
  <c r="B69" i="37"/>
  <c r="F68" i="37"/>
  <c r="D68" i="37"/>
  <c r="C68" i="37"/>
  <c r="B68" i="37"/>
  <c r="F67" i="37"/>
  <c r="D67" i="37"/>
  <c r="C67" i="37"/>
  <c r="B67" i="37"/>
  <c r="F66" i="37"/>
  <c r="D66" i="37"/>
  <c r="C66" i="37"/>
  <c r="B66" i="37"/>
  <c r="F65" i="37"/>
  <c r="C65" i="37"/>
  <c r="B65" i="37"/>
  <c r="D51" i="37"/>
  <c r="R44" i="37" s="1"/>
  <c r="C51" i="37"/>
  <c r="V40" i="37"/>
  <c r="T32" i="37"/>
  <c r="U29" i="37"/>
  <c r="U32" i="37" s="1"/>
  <c r="T35" i="36"/>
  <c r="T34" i="36"/>
  <c r="T32" i="36"/>
  <c r="AO1" i="36"/>
  <c r="T31" i="36"/>
  <c r="U31" i="36"/>
  <c r="U30" i="36"/>
  <c r="U29" i="36"/>
  <c r="U28" i="36"/>
  <c r="F93" i="35"/>
  <c r="D93" i="35"/>
  <c r="C93" i="35"/>
  <c r="B93" i="35"/>
  <c r="F92" i="35"/>
  <c r="D92" i="35"/>
  <c r="C92" i="35"/>
  <c r="B92" i="35"/>
  <c r="F91" i="35"/>
  <c r="D91" i="35"/>
  <c r="C91" i="35"/>
  <c r="B91" i="35"/>
  <c r="F90" i="35"/>
  <c r="D90" i="35"/>
  <c r="C90" i="35"/>
  <c r="B90" i="35"/>
  <c r="F89" i="35"/>
  <c r="C89" i="35"/>
  <c r="B89" i="35"/>
  <c r="F79" i="35"/>
  <c r="D79" i="35"/>
  <c r="C79" i="35"/>
  <c r="B79" i="35"/>
  <c r="F78" i="35"/>
  <c r="D78" i="35"/>
  <c r="C78" i="35"/>
  <c r="B78" i="35"/>
  <c r="F77" i="35"/>
  <c r="D77" i="35"/>
  <c r="C77" i="35"/>
  <c r="B77" i="35"/>
  <c r="F76" i="35"/>
  <c r="C76" i="35"/>
  <c r="B76" i="35"/>
  <c r="F69" i="35"/>
  <c r="D69" i="35"/>
  <c r="C69" i="35"/>
  <c r="B69" i="35"/>
  <c r="F68" i="35"/>
  <c r="D68" i="35"/>
  <c r="C68" i="35"/>
  <c r="B68" i="35"/>
  <c r="F67" i="35"/>
  <c r="D67" i="35"/>
  <c r="C67" i="35"/>
  <c r="B67" i="35"/>
  <c r="F66" i="35"/>
  <c r="D66" i="35"/>
  <c r="C66" i="35"/>
  <c r="B66" i="35"/>
  <c r="F65" i="35"/>
  <c r="C65" i="35"/>
  <c r="B65" i="35"/>
  <c r="V44" i="35"/>
  <c r="U44" i="35"/>
  <c r="W44" i="35" s="1"/>
  <c r="J51" i="35" s="1"/>
  <c r="I51" i="35" s="1"/>
  <c r="D5" i="35" s="1"/>
  <c r="T29" i="35"/>
  <c r="AA28" i="35"/>
  <c r="AB28" i="35" s="1"/>
  <c r="T28" i="35"/>
  <c r="R25" i="35"/>
  <c r="F96" i="34"/>
  <c r="D96" i="34"/>
  <c r="C96" i="34"/>
  <c r="B96" i="34"/>
  <c r="F95" i="34"/>
  <c r="D95" i="34"/>
  <c r="C95" i="34"/>
  <c r="B95" i="34"/>
  <c r="F94" i="34"/>
  <c r="D94" i="34"/>
  <c r="C94" i="34"/>
  <c r="B94" i="34"/>
  <c r="F93" i="34"/>
  <c r="D93" i="34"/>
  <c r="C93" i="34"/>
  <c r="B93" i="34"/>
  <c r="F92" i="34"/>
  <c r="D92" i="34"/>
  <c r="C92" i="34"/>
  <c r="B92" i="34"/>
  <c r="F91" i="34"/>
  <c r="C91" i="34"/>
  <c r="B91" i="34"/>
  <c r="F82" i="34"/>
  <c r="D82" i="34"/>
  <c r="C82" i="34"/>
  <c r="B82" i="34"/>
  <c r="F81" i="34"/>
  <c r="D81" i="34"/>
  <c r="C81" i="34"/>
  <c r="B81" i="34"/>
  <c r="F80" i="34"/>
  <c r="D80" i="34"/>
  <c r="C80" i="34"/>
  <c r="B80" i="34"/>
  <c r="F79" i="34"/>
  <c r="D79" i="34"/>
  <c r="C79" i="34"/>
  <c r="B79" i="34"/>
  <c r="F78" i="34"/>
  <c r="D78" i="34"/>
  <c r="C78" i="34"/>
  <c r="B78" i="34"/>
  <c r="F77" i="34"/>
  <c r="C77" i="34"/>
  <c r="B77" i="34"/>
  <c r="F70" i="34"/>
  <c r="D70" i="34"/>
  <c r="C70" i="34"/>
  <c r="B70" i="34"/>
  <c r="F69" i="34"/>
  <c r="D69" i="34"/>
  <c r="C69" i="34"/>
  <c r="B69" i="34"/>
  <c r="F68" i="34"/>
  <c r="D68" i="34"/>
  <c r="C68" i="34"/>
  <c r="B68" i="34"/>
  <c r="F67" i="34"/>
  <c r="D67" i="34"/>
  <c r="C67" i="34"/>
  <c r="B67" i="34"/>
  <c r="F66" i="34"/>
  <c r="D66" i="34"/>
  <c r="C66" i="34"/>
  <c r="B66" i="34"/>
  <c r="F65" i="34"/>
  <c r="C65" i="34"/>
  <c r="B65" i="34"/>
  <c r="V44" i="34"/>
  <c r="U44" i="34"/>
  <c r="W44" i="34" s="1"/>
  <c r="J51" i="34" s="1"/>
  <c r="I51" i="34" s="1"/>
  <c r="D5" i="34" s="1"/>
  <c r="D1" i="34"/>
  <c r="H5" i="34" s="1"/>
  <c r="T29" i="34"/>
  <c r="AA28" i="34"/>
  <c r="T28" i="34"/>
  <c r="R25" i="34"/>
  <c r="F112" i="33"/>
  <c r="C112" i="33"/>
  <c r="B112" i="33"/>
  <c r="F111" i="33"/>
  <c r="C111" i="33"/>
  <c r="B111" i="33"/>
  <c r="F110" i="33"/>
  <c r="C110" i="33"/>
  <c r="B110" i="33"/>
  <c r="F109" i="33"/>
  <c r="C109" i="33"/>
  <c r="B109" i="33"/>
  <c r="F108" i="33"/>
  <c r="C108" i="33"/>
  <c r="B108" i="33"/>
  <c r="F107" i="33"/>
  <c r="C107" i="33"/>
  <c r="B107" i="33"/>
  <c r="F106" i="33"/>
  <c r="C106" i="33"/>
  <c r="B106" i="33"/>
  <c r="F105" i="33"/>
  <c r="C105" i="33"/>
  <c r="B105" i="33"/>
  <c r="F104" i="33"/>
  <c r="C104" i="33"/>
  <c r="B104" i="33"/>
  <c r="F103" i="33"/>
  <c r="C103" i="33"/>
  <c r="B103" i="33"/>
  <c r="F102" i="33"/>
  <c r="C102" i="33"/>
  <c r="B102" i="33"/>
  <c r="F101" i="33"/>
  <c r="C101" i="33"/>
  <c r="B101" i="33"/>
  <c r="F100" i="33"/>
  <c r="C100" i="33"/>
  <c r="B100" i="33"/>
  <c r="F99" i="33"/>
  <c r="C99" i="33"/>
  <c r="B99" i="33"/>
  <c r="F98" i="33"/>
  <c r="C98" i="33"/>
  <c r="B98" i="33"/>
  <c r="F97" i="33"/>
  <c r="C97" i="33"/>
  <c r="B97" i="33"/>
  <c r="F96" i="33"/>
  <c r="C96" i="33"/>
  <c r="B96" i="33"/>
  <c r="F95" i="33"/>
  <c r="C95" i="33"/>
  <c r="B95" i="33"/>
  <c r="F94" i="33"/>
  <c r="C94" i="33"/>
  <c r="B94" i="33"/>
  <c r="F93" i="33"/>
  <c r="C93" i="33"/>
  <c r="B93" i="33"/>
  <c r="F84" i="33"/>
  <c r="D84" i="33"/>
  <c r="C84" i="33"/>
  <c r="B84" i="33"/>
  <c r="F83" i="33"/>
  <c r="D83" i="33"/>
  <c r="C83" i="33"/>
  <c r="B83" i="33"/>
  <c r="F82" i="33"/>
  <c r="D82" i="33"/>
  <c r="C82" i="33"/>
  <c r="B82" i="33"/>
  <c r="F81" i="33"/>
  <c r="D81" i="33"/>
  <c r="C81" i="33"/>
  <c r="B81" i="33"/>
  <c r="F80" i="33"/>
  <c r="D80" i="33"/>
  <c r="C80" i="33"/>
  <c r="B80" i="33"/>
  <c r="F79" i="33"/>
  <c r="D79" i="33"/>
  <c r="C79" i="33"/>
  <c r="B79" i="33"/>
  <c r="F78" i="33"/>
  <c r="D78" i="33"/>
  <c r="C78" i="33"/>
  <c r="B78" i="33"/>
  <c r="F77" i="33"/>
  <c r="D77" i="33"/>
  <c r="C77" i="33"/>
  <c r="B77" i="33"/>
  <c r="F76" i="33"/>
  <c r="D76" i="33"/>
  <c r="C76" i="33"/>
  <c r="B76" i="33"/>
  <c r="F75" i="33"/>
  <c r="D75" i="33"/>
  <c r="C75" i="33"/>
  <c r="B75" i="33"/>
  <c r="F74" i="33"/>
  <c r="D74" i="33"/>
  <c r="C74" i="33"/>
  <c r="B74" i="33"/>
  <c r="F73" i="33"/>
  <c r="D73" i="33"/>
  <c r="C73" i="33"/>
  <c r="B73" i="33"/>
  <c r="F72" i="33"/>
  <c r="D72" i="33"/>
  <c r="C72" i="33"/>
  <c r="B72" i="33"/>
  <c r="F71" i="33"/>
  <c r="D71" i="33"/>
  <c r="C71" i="33"/>
  <c r="B71" i="33"/>
  <c r="F70" i="33"/>
  <c r="D70" i="33"/>
  <c r="C70" i="33"/>
  <c r="B70" i="33"/>
  <c r="F69" i="33"/>
  <c r="D69" i="33"/>
  <c r="C69" i="33"/>
  <c r="B69" i="33"/>
  <c r="F68" i="33"/>
  <c r="D68" i="33"/>
  <c r="C68" i="33"/>
  <c r="B68" i="33"/>
  <c r="F67" i="33"/>
  <c r="D67" i="33"/>
  <c r="C67" i="33"/>
  <c r="B67" i="33"/>
  <c r="F66" i="33"/>
  <c r="D66" i="33"/>
  <c r="C66" i="33"/>
  <c r="B66" i="33"/>
  <c r="F65" i="33"/>
  <c r="C65" i="33"/>
  <c r="B65" i="33"/>
  <c r="S30" i="33"/>
  <c r="S32" i="33" s="1"/>
  <c r="U29" i="33"/>
  <c r="U32" i="33" s="1"/>
  <c r="AC30" i="33" s="1"/>
  <c r="D51" i="33"/>
  <c r="C51" i="33"/>
  <c r="F79" i="32"/>
  <c r="D79" i="32"/>
  <c r="C79" i="32"/>
  <c r="B79" i="32"/>
  <c r="F78" i="32"/>
  <c r="D78" i="32"/>
  <c r="C78" i="32"/>
  <c r="B78" i="32"/>
  <c r="F77" i="32"/>
  <c r="D77" i="32"/>
  <c r="C77" i="32"/>
  <c r="B77" i="32"/>
  <c r="F76" i="32"/>
  <c r="D76" i="32"/>
  <c r="C76" i="32"/>
  <c r="B76" i="32"/>
  <c r="F75" i="32"/>
  <c r="D75" i="32"/>
  <c r="C75" i="32"/>
  <c r="B75" i="32"/>
  <c r="F74" i="32"/>
  <c r="D74" i="32"/>
  <c r="C74" i="32"/>
  <c r="B74" i="32"/>
  <c r="F73" i="32"/>
  <c r="D73" i="32"/>
  <c r="C73" i="32"/>
  <c r="B73" i="32"/>
  <c r="F72" i="32"/>
  <c r="D72" i="32"/>
  <c r="C72" i="32"/>
  <c r="B72" i="32"/>
  <c r="F71" i="32"/>
  <c r="D71" i="32"/>
  <c r="C71" i="32"/>
  <c r="B71" i="32"/>
  <c r="F70" i="32"/>
  <c r="D70" i="32"/>
  <c r="C70" i="32"/>
  <c r="B70" i="32"/>
  <c r="F69" i="32"/>
  <c r="D69" i="32"/>
  <c r="C69" i="32"/>
  <c r="B69" i="32"/>
  <c r="F68" i="32"/>
  <c r="D68" i="32"/>
  <c r="C68" i="32"/>
  <c r="B68" i="32"/>
  <c r="F67" i="32"/>
  <c r="D67" i="32"/>
  <c r="C67" i="32"/>
  <c r="B67" i="32"/>
  <c r="F66" i="32"/>
  <c r="C66" i="32"/>
  <c r="B66" i="32"/>
  <c r="V40" i="32"/>
  <c r="U33" i="32"/>
  <c r="U29" i="32"/>
  <c r="U32" i="32" s="1"/>
  <c r="AC30" i="32" s="1"/>
  <c r="D51" i="32"/>
  <c r="R44" i="32" s="1"/>
  <c r="C51" i="32"/>
  <c r="R14" i="32"/>
  <c r="F84" i="31"/>
  <c r="D84" i="31"/>
  <c r="C84" i="31"/>
  <c r="B84" i="31"/>
  <c r="F83" i="31"/>
  <c r="D83" i="31"/>
  <c r="C83" i="31"/>
  <c r="B83" i="31"/>
  <c r="F82" i="31"/>
  <c r="D82" i="31"/>
  <c r="C82" i="31"/>
  <c r="B82" i="31"/>
  <c r="F81" i="31"/>
  <c r="D81" i="31"/>
  <c r="C81" i="31"/>
  <c r="B81" i="31"/>
  <c r="F80" i="31"/>
  <c r="D80" i="31"/>
  <c r="C80" i="31"/>
  <c r="B80" i="31"/>
  <c r="F79" i="31"/>
  <c r="D79" i="31"/>
  <c r="C79" i="31"/>
  <c r="B79" i="31"/>
  <c r="F78" i="31"/>
  <c r="D78" i="31"/>
  <c r="C78" i="31"/>
  <c r="B78" i="31"/>
  <c r="F77" i="31"/>
  <c r="D77" i="31"/>
  <c r="C77" i="31"/>
  <c r="B77" i="31"/>
  <c r="F76" i="31"/>
  <c r="D76" i="31"/>
  <c r="C76" i="31"/>
  <c r="B76" i="31"/>
  <c r="F75" i="31"/>
  <c r="D75" i="31"/>
  <c r="C75" i="31"/>
  <c r="B75" i="31"/>
  <c r="F74" i="31"/>
  <c r="D74" i="31"/>
  <c r="C74" i="31"/>
  <c r="B74" i="31"/>
  <c r="F73" i="31"/>
  <c r="D73" i="31"/>
  <c r="C73" i="31"/>
  <c r="B73" i="31"/>
  <c r="F72" i="31"/>
  <c r="D72" i="31"/>
  <c r="C72" i="31"/>
  <c r="B72" i="31"/>
  <c r="F71" i="31"/>
  <c r="D71" i="31"/>
  <c r="C71" i="31"/>
  <c r="B71" i="31"/>
  <c r="F70" i="31"/>
  <c r="D70" i="31"/>
  <c r="C70" i="31"/>
  <c r="B70" i="31"/>
  <c r="F69" i="31"/>
  <c r="D69" i="31"/>
  <c r="C69" i="31"/>
  <c r="B69" i="31"/>
  <c r="F68" i="31"/>
  <c r="D68" i="31"/>
  <c r="C68" i="31"/>
  <c r="B68" i="31"/>
  <c r="F67" i="31"/>
  <c r="D67" i="31"/>
  <c r="C67" i="31"/>
  <c r="B67" i="31"/>
  <c r="F66" i="31"/>
  <c r="D66" i="31"/>
  <c r="C66" i="31"/>
  <c r="B66" i="31"/>
  <c r="F88" i="30"/>
  <c r="D88" i="30"/>
  <c r="C88" i="30"/>
  <c r="B88" i="30"/>
  <c r="F87" i="30"/>
  <c r="D87" i="30"/>
  <c r="C87" i="30"/>
  <c r="B87" i="30"/>
  <c r="F86" i="30"/>
  <c r="D86" i="30"/>
  <c r="C86" i="30"/>
  <c r="B86" i="30"/>
  <c r="F85" i="30"/>
  <c r="D85" i="30"/>
  <c r="C85" i="30"/>
  <c r="B85" i="30"/>
  <c r="F84" i="30"/>
  <c r="D84" i="30"/>
  <c r="C84" i="30"/>
  <c r="B84" i="30"/>
  <c r="F83" i="30"/>
  <c r="D83" i="30"/>
  <c r="C83" i="30"/>
  <c r="B83" i="30"/>
  <c r="F82" i="30"/>
  <c r="D82" i="30"/>
  <c r="C82" i="30"/>
  <c r="B82" i="30"/>
  <c r="F81" i="30"/>
  <c r="D81" i="30"/>
  <c r="C81" i="30"/>
  <c r="B81" i="30"/>
  <c r="F80" i="30"/>
  <c r="C80" i="30"/>
  <c r="B80" i="30"/>
  <c r="F73" i="30"/>
  <c r="D73" i="30"/>
  <c r="C73" i="30"/>
  <c r="B73" i="30"/>
  <c r="F72" i="30"/>
  <c r="D72" i="30"/>
  <c r="C72" i="30"/>
  <c r="B72" i="30"/>
  <c r="F71" i="30"/>
  <c r="D71" i="30"/>
  <c r="C71" i="30"/>
  <c r="B71" i="30"/>
  <c r="F70" i="30"/>
  <c r="D70" i="30"/>
  <c r="C70" i="30"/>
  <c r="B70" i="30"/>
  <c r="F69" i="30"/>
  <c r="D69" i="30"/>
  <c r="C69" i="30"/>
  <c r="B69" i="30"/>
  <c r="F68" i="30"/>
  <c r="D68" i="30"/>
  <c r="C68" i="30"/>
  <c r="B68" i="30"/>
  <c r="F67" i="30"/>
  <c r="D67" i="30"/>
  <c r="C67" i="30"/>
  <c r="B67" i="30"/>
  <c r="F66" i="30"/>
  <c r="D66" i="30"/>
  <c r="C66" i="30"/>
  <c r="B66" i="30"/>
  <c r="F65" i="30"/>
  <c r="C65" i="30"/>
  <c r="B65" i="30"/>
  <c r="V40" i="30"/>
  <c r="D51" i="30"/>
  <c r="C51" i="30"/>
  <c r="AC28" i="30"/>
  <c r="U28" i="30"/>
  <c r="F124" i="29"/>
  <c r="D124" i="29"/>
  <c r="C124" i="29"/>
  <c r="B124" i="29"/>
  <c r="F123" i="29"/>
  <c r="D123" i="29"/>
  <c r="C123" i="29"/>
  <c r="B123" i="29"/>
  <c r="F122" i="29"/>
  <c r="D122" i="29"/>
  <c r="C122" i="29"/>
  <c r="B122" i="29"/>
  <c r="F121" i="29"/>
  <c r="D121" i="29"/>
  <c r="C121" i="29"/>
  <c r="B121" i="29"/>
  <c r="F120" i="29"/>
  <c r="D120" i="29"/>
  <c r="C120" i="29"/>
  <c r="B120" i="29"/>
  <c r="F119" i="29"/>
  <c r="D119" i="29"/>
  <c r="C119" i="29"/>
  <c r="B119" i="29"/>
  <c r="F118" i="29"/>
  <c r="D118" i="29"/>
  <c r="C118" i="29"/>
  <c r="B118" i="29"/>
  <c r="F117" i="29"/>
  <c r="D117" i="29"/>
  <c r="C117" i="29"/>
  <c r="B117" i="29"/>
  <c r="F116" i="29"/>
  <c r="D116" i="29"/>
  <c r="C116" i="29"/>
  <c r="B116" i="29"/>
  <c r="F115" i="29"/>
  <c r="D115" i="29"/>
  <c r="C115" i="29"/>
  <c r="B115" i="29"/>
  <c r="F114" i="29"/>
  <c r="D114" i="29"/>
  <c r="C114" i="29"/>
  <c r="B114" i="29"/>
  <c r="F113" i="29"/>
  <c r="D113" i="29"/>
  <c r="C113" i="29"/>
  <c r="B113" i="29"/>
  <c r="F112" i="29"/>
  <c r="D112" i="29"/>
  <c r="C112" i="29"/>
  <c r="B112" i="29"/>
  <c r="F111" i="29"/>
  <c r="D111" i="29"/>
  <c r="C111" i="29"/>
  <c r="B111" i="29"/>
  <c r="F110" i="29"/>
  <c r="C110" i="29"/>
  <c r="B110" i="29"/>
  <c r="F101" i="29"/>
  <c r="D101" i="29"/>
  <c r="C101" i="29"/>
  <c r="B101" i="29"/>
  <c r="F100" i="29"/>
  <c r="D100" i="29"/>
  <c r="C100" i="29"/>
  <c r="B100" i="29"/>
  <c r="F99" i="29"/>
  <c r="D99" i="29"/>
  <c r="C99" i="29"/>
  <c r="B99" i="29"/>
  <c r="F98" i="29"/>
  <c r="D98" i="29"/>
  <c r="C98" i="29"/>
  <c r="B98" i="29"/>
  <c r="F97" i="29"/>
  <c r="D97" i="29"/>
  <c r="C97" i="29"/>
  <c r="B97" i="29"/>
  <c r="F96" i="29"/>
  <c r="D96" i="29"/>
  <c r="C96" i="29"/>
  <c r="B96" i="29"/>
  <c r="F95" i="29"/>
  <c r="D95" i="29"/>
  <c r="C95" i="29"/>
  <c r="B95" i="29"/>
  <c r="F94" i="29"/>
  <c r="D94" i="29"/>
  <c r="C94" i="29"/>
  <c r="B94" i="29"/>
  <c r="F93" i="29"/>
  <c r="D93" i="29"/>
  <c r="C93" i="29"/>
  <c r="B93" i="29"/>
  <c r="F92" i="29"/>
  <c r="D92" i="29"/>
  <c r="C92" i="29"/>
  <c r="B92" i="29"/>
  <c r="F91" i="29"/>
  <c r="D91" i="29"/>
  <c r="C91" i="29"/>
  <c r="B91" i="29"/>
  <c r="F90" i="29"/>
  <c r="D90" i="29"/>
  <c r="C90" i="29"/>
  <c r="B90" i="29"/>
  <c r="F89" i="29"/>
  <c r="D89" i="29"/>
  <c r="C89" i="29"/>
  <c r="B89" i="29"/>
  <c r="F88" i="29"/>
  <c r="D88" i="29"/>
  <c r="C88" i="29"/>
  <c r="B88" i="29"/>
  <c r="F87" i="29"/>
  <c r="C87" i="29"/>
  <c r="B87" i="29"/>
  <c r="F79" i="29"/>
  <c r="D79" i="29"/>
  <c r="C79" i="29"/>
  <c r="B79" i="29"/>
  <c r="F78" i="29"/>
  <c r="D78" i="29"/>
  <c r="C78" i="29"/>
  <c r="B78" i="29"/>
  <c r="F77" i="29"/>
  <c r="D77" i="29"/>
  <c r="C77" i="29"/>
  <c r="B77" i="29"/>
  <c r="F76" i="29"/>
  <c r="D76" i="29"/>
  <c r="C76" i="29"/>
  <c r="B76" i="29"/>
  <c r="F75" i="29"/>
  <c r="D75" i="29"/>
  <c r="C75" i="29"/>
  <c r="B75" i="29"/>
  <c r="F74" i="29"/>
  <c r="D74" i="29"/>
  <c r="C74" i="29"/>
  <c r="B74" i="29"/>
  <c r="F73" i="29"/>
  <c r="D73" i="29"/>
  <c r="C73" i="29"/>
  <c r="B73" i="29"/>
  <c r="F72" i="29"/>
  <c r="D72" i="29"/>
  <c r="C72" i="29"/>
  <c r="B72" i="29"/>
  <c r="F71" i="29"/>
  <c r="D71" i="29"/>
  <c r="C71" i="29"/>
  <c r="B71" i="29"/>
  <c r="F70" i="29"/>
  <c r="D70" i="29"/>
  <c r="C70" i="29"/>
  <c r="B70" i="29"/>
  <c r="F69" i="29"/>
  <c r="D69" i="29"/>
  <c r="C69" i="29"/>
  <c r="B69" i="29"/>
  <c r="F68" i="29"/>
  <c r="D68" i="29"/>
  <c r="C68" i="29"/>
  <c r="B68" i="29"/>
  <c r="F67" i="29"/>
  <c r="D67" i="29"/>
  <c r="C67" i="29"/>
  <c r="B67" i="29"/>
  <c r="F66" i="29"/>
  <c r="D66" i="29"/>
  <c r="C66" i="29"/>
  <c r="B66" i="29"/>
  <c r="F65" i="29"/>
  <c r="C65" i="29"/>
  <c r="B65" i="29"/>
  <c r="D51" i="29"/>
  <c r="V40" i="29"/>
  <c r="S32" i="29"/>
  <c r="U29" i="29"/>
  <c r="K1" i="29"/>
  <c r="C51" i="29" s="1"/>
  <c r="F110" i="28"/>
  <c r="D110" i="28"/>
  <c r="C110" i="28"/>
  <c r="B110" i="28"/>
  <c r="F109" i="28"/>
  <c r="D109" i="28"/>
  <c r="C109" i="28"/>
  <c r="B109" i="28"/>
  <c r="F108" i="28"/>
  <c r="D108" i="28"/>
  <c r="C108" i="28"/>
  <c r="B108" i="28"/>
  <c r="F107" i="28"/>
  <c r="D107" i="28"/>
  <c r="C107" i="28"/>
  <c r="B107" i="28"/>
  <c r="F106" i="28"/>
  <c r="D106" i="28"/>
  <c r="C106" i="28"/>
  <c r="B106" i="28"/>
  <c r="F105" i="28"/>
  <c r="D105" i="28"/>
  <c r="C105" i="28"/>
  <c r="B105" i="28"/>
  <c r="F104" i="28"/>
  <c r="D104" i="28"/>
  <c r="C104" i="28"/>
  <c r="B104" i="28"/>
  <c r="F103" i="28"/>
  <c r="D103" i="28"/>
  <c r="C103" i="28"/>
  <c r="B103" i="28"/>
  <c r="F102" i="28"/>
  <c r="D102" i="28"/>
  <c r="C102" i="28"/>
  <c r="B102" i="28"/>
  <c r="F101" i="28"/>
  <c r="D101" i="28"/>
  <c r="C101" i="28"/>
  <c r="B101" i="28"/>
  <c r="F100" i="28"/>
  <c r="D100" i="28"/>
  <c r="C100" i="28"/>
  <c r="B100" i="28"/>
  <c r="F99" i="28"/>
  <c r="D99" i="28"/>
  <c r="C99" i="28"/>
  <c r="B99" i="28"/>
  <c r="F98" i="28"/>
  <c r="D98" i="28"/>
  <c r="C98" i="28"/>
  <c r="B98" i="28"/>
  <c r="F97" i="28"/>
  <c r="D97" i="28"/>
  <c r="C97" i="28"/>
  <c r="B97" i="28"/>
  <c r="F96" i="28"/>
  <c r="D96" i="28"/>
  <c r="C96" i="28"/>
  <c r="B96" i="28"/>
  <c r="F95" i="28"/>
  <c r="D95" i="28"/>
  <c r="C95" i="28"/>
  <c r="B95" i="28"/>
  <c r="F94" i="28"/>
  <c r="D94" i="28"/>
  <c r="C94" i="28"/>
  <c r="B94" i="28"/>
  <c r="F93" i="28"/>
  <c r="D93" i="28"/>
  <c r="C93" i="28"/>
  <c r="B93" i="28"/>
  <c r="F92" i="28"/>
  <c r="C92" i="28"/>
  <c r="B92" i="28"/>
  <c r="F83" i="28"/>
  <c r="D83" i="28"/>
  <c r="C83" i="28"/>
  <c r="B83" i="28"/>
  <c r="F82" i="28"/>
  <c r="D82" i="28"/>
  <c r="C82" i="28"/>
  <c r="B82" i="28"/>
  <c r="F81" i="28"/>
  <c r="D81" i="28"/>
  <c r="C81" i="28"/>
  <c r="B81" i="28"/>
  <c r="F80" i="28"/>
  <c r="D80" i="28"/>
  <c r="C80" i="28"/>
  <c r="B80" i="28"/>
  <c r="F79" i="28"/>
  <c r="D79" i="28"/>
  <c r="C79" i="28"/>
  <c r="B79" i="28"/>
  <c r="F78" i="28"/>
  <c r="D78" i="28"/>
  <c r="C78" i="28"/>
  <c r="B78" i="28"/>
  <c r="F77" i="28"/>
  <c r="D77" i="28"/>
  <c r="C77" i="28"/>
  <c r="B77" i="28"/>
  <c r="F76" i="28"/>
  <c r="D76" i="28"/>
  <c r="C76" i="28"/>
  <c r="B76" i="28"/>
  <c r="F75" i="28"/>
  <c r="D75" i="28"/>
  <c r="C75" i="28"/>
  <c r="B75" i="28"/>
  <c r="F74" i="28"/>
  <c r="D74" i="28"/>
  <c r="C74" i="28"/>
  <c r="B74" i="28"/>
  <c r="F73" i="28"/>
  <c r="D73" i="28"/>
  <c r="C73" i="28"/>
  <c r="B73" i="28"/>
  <c r="F72" i="28"/>
  <c r="D72" i="28"/>
  <c r="C72" i="28"/>
  <c r="B72" i="28"/>
  <c r="F71" i="28"/>
  <c r="D71" i="28"/>
  <c r="C71" i="28"/>
  <c r="B71" i="28"/>
  <c r="F70" i="28"/>
  <c r="D70" i="28"/>
  <c r="C70" i="28"/>
  <c r="B70" i="28"/>
  <c r="F69" i="28"/>
  <c r="D69" i="28"/>
  <c r="C69" i="28"/>
  <c r="B69" i="28"/>
  <c r="F68" i="28"/>
  <c r="D68" i="28"/>
  <c r="C68" i="28"/>
  <c r="B68" i="28"/>
  <c r="F67" i="28"/>
  <c r="D67" i="28"/>
  <c r="C67" i="28"/>
  <c r="B67" i="28"/>
  <c r="F66" i="28"/>
  <c r="D66" i="28"/>
  <c r="C66" i="28"/>
  <c r="B66" i="28"/>
  <c r="F65" i="28"/>
  <c r="C65" i="28"/>
  <c r="B65" i="28"/>
  <c r="D51" i="28"/>
  <c r="R44" i="28" s="1"/>
  <c r="C51" i="28"/>
  <c r="V40" i="28"/>
  <c r="S30" i="28"/>
  <c r="U29" i="28"/>
  <c r="T28" i="28"/>
  <c r="T32" i="28" s="1"/>
  <c r="S28" i="28"/>
  <c r="F79" i="27"/>
  <c r="D79" i="27"/>
  <c r="C79" i="27"/>
  <c r="B79" i="27"/>
  <c r="F78" i="27"/>
  <c r="D78" i="27"/>
  <c r="C78" i="27"/>
  <c r="B78" i="27"/>
  <c r="F77" i="27"/>
  <c r="D77" i="27"/>
  <c r="C77" i="27"/>
  <c r="B77" i="27"/>
  <c r="F76" i="27"/>
  <c r="D76" i="27"/>
  <c r="C76" i="27"/>
  <c r="B76" i="27"/>
  <c r="F75" i="27"/>
  <c r="D75" i="27"/>
  <c r="C75" i="27"/>
  <c r="B75" i="27"/>
  <c r="F74" i="27"/>
  <c r="D74" i="27"/>
  <c r="C74" i="27"/>
  <c r="B74" i="27"/>
  <c r="F73" i="27"/>
  <c r="D73" i="27"/>
  <c r="C73" i="27"/>
  <c r="B73" i="27"/>
  <c r="F72" i="27"/>
  <c r="D72" i="27"/>
  <c r="C72" i="27"/>
  <c r="B72" i="27"/>
  <c r="F71" i="27"/>
  <c r="D71" i="27"/>
  <c r="C71" i="27"/>
  <c r="B71" i="27"/>
  <c r="F70" i="27"/>
  <c r="D70" i="27"/>
  <c r="C70" i="27"/>
  <c r="B70" i="27"/>
  <c r="F69" i="27"/>
  <c r="D69" i="27"/>
  <c r="C69" i="27"/>
  <c r="B69" i="27"/>
  <c r="F68" i="27"/>
  <c r="D68" i="27"/>
  <c r="C68" i="27"/>
  <c r="B68" i="27"/>
  <c r="F67" i="27"/>
  <c r="D67" i="27"/>
  <c r="C67" i="27"/>
  <c r="B67" i="27"/>
  <c r="F66" i="27"/>
  <c r="D66" i="27"/>
  <c r="C66" i="27"/>
  <c r="B66" i="27"/>
  <c r="F65" i="27"/>
  <c r="C65" i="27"/>
  <c r="B65" i="27"/>
  <c r="U29" i="27"/>
  <c r="U32" i="27" s="1"/>
  <c r="F78" i="26"/>
  <c r="D78" i="26"/>
  <c r="C78" i="26"/>
  <c r="B78" i="26"/>
  <c r="F77" i="26"/>
  <c r="D77" i="26"/>
  <c r="C77" i="26"/>
  <c r="B77" i="26"/>
  <c r="F76" i="26"/>
  <c r="D76" i="26"/>
  <c r="C76" i="26"/>
  <c r="B76" i="26"/>
  <c r="F75" i="26"/>
  <c r="D75" i="26"/>
  <c r="C75" i="26"/>
  <c r="B75" i="26"/>
  <c r="F74" i="26"/>
  <c r="D74" i="26"/>
  <c r="C74" i="26"/>
  <c r="B74" i="26"/>
  <c r="F73" i="26"/>
  <c r="D73" i="26"/>
  <c r="C73" i="26"/>
  <c r="B73" i="26"/>
  <c r="F72" i="26"/>
  <c r="D72" i="26"/>
  <c r="C72" i="26"/>
  <c r="B72" i="26"/>
  <c r="F71" i="26"/>
  <c r="D71" i="26"/>
  <c r="C71" i="26"/>
  <c r="B71" i="26"/>
  <c r="F70" i="26"/>
  <c r="D70" i="26"/>
  <c r="C70" i="26"/>
  <c r="B70" i="26"/>
  <c r="F69" i="26"/>
  <c r="D69" i="26"/>
  <c r="C69" i="26"/>
  <c r="B69" i="26"/>
  <c r="F68" i="26"/>
  <c r="D68" i="26"/>
  <c r="C68" i="26"/>
  <c r="B68" i="26"/>
  <c r="F67" i="26"/>
  <c r="D67" i="26"/>
  <c r="C67" i="26"/>
  <c r="B67" i="26"/>
  <c r="F66" i="26"/>
  <c r="D66" i="26"/>
  <c r="C66" i="26"/>
  <c r="B66" i="26"/>
  <c r="F65" i="26"/>
  <c r="C65" i="26"/>
  <c r="B65" i="26"/>
  <c r="D51" i="26"/>
  <c r="V40" i="26"/>
  <c r="T30" i="26"/>
  <c r="S30" i="26"/>
  <c r="U29" i="26"/>
  <c r="U32" i="26" s="1"/>
  <c r="AD30" i="26" s="1"/>
  <c r="T28" i="26"/>
  <c r="S28" i="26"/>
  <c r="V40" i="25"/>
  <c r="D51" i="25"/>
  <c r="C51" i="25"/>
  <c r="T30" i="25"/>
  <c r="S30" i="25"/>
  <c r="U29" i="25"/>
  <c r="AE28" i="25"/>
  <c r="AC29" i="25" s="1"/>
  <c r="T28" i="25"/>
  <c r="S28" i="25"/>
  <c r="R14" i="25"/>
  <c r="F72" i="24"/>
  <c r="D72" i="24"/>
  <c r="C72" i="24"/>
  <c r="B72" i="24"/>
  <c r="F71" i="24"/>
  <c r="D71" i="24"/>
  <c r="C71" i="24"/>
  <c r="B71" i="24"/>
  <c r="F70" i="24"/>
  <c r="D70" i="24"/>
  <c r="C70" i="24"/>
  <c r="B70" i="24"/>
  <c r="F69" i="24"/>
  <c r="D69" i="24"/>
  <c r="C69" i="24"/>
  <c r="B69" i="24"/>
  <c r="F68" i="24"/>
  <c r="D68" i="24"/>
  <c r="C68" i="24"/>
  <c r="B68" i="24"/>
  <c r="F67" i="24"/>
  <c r="D67" i="24"/>
  <c r="C67" i="24"/>
  <c r="B67" i="24"/>
  <c r="F66" i="24"/>
  <c r="D66" i="24"/>
  <c r="C66" i="24"/>
  <c r="B66" i="24"/>
  <c r="F65" i="24"/>
  <c r="D65" i="24"/>
  <c r="C65" i="24"/>
  <c r="B65" i="24"/>
  <c r="T29" i="24"/>
  <c r="C51" i="24"/>
  <c r="F120" i="23"/>
  <c r="D120" i="23"/>
  <c r="C120" i="23"/>
  <c r="B120" i="23"/>
  <c r="F119" i="23"/>
  <c r="D119" i="23"/>
  <c r="C119" i="23"/>
  <c r="B119" i="23"/>
  <c r="F118" i="23"/>
  <c r="D118" i="23"/>
  <c r="C118" i="23"/>
  <c r="B118" i="23"/>
  <c r="F117" i="23"/>
  <c r="D117" i="23"/>
  <c r="C117" i="23"/>
  <c r="B117" i="23"/>
  <c r="F116" i="23"/>
  <c r="D116" i="23"/>
  <c r="C116" i="23"/>
  <c r="B116" i="23"/>
  <c r="F115" i="23"/>
  <c r="D115" i="23"/>
  <c r="C115" i="23"/>
  <c r="B115" i="23"/>
  <c r="F114" i="23"/>
  <c r="D114" i="23"/>
  <c r="C114" i="23"/>
  <c r="B114" i="23"/>
  <c r="F113" i="23"/>
  <c r="D113" i="23"/>
  <c r="C113" i="23"/>
  <c r="B113" i="23"/>
  <c r="F112" i="23"/>
  <c r="D112" i="23"/>
  <c r="C112" i="23"/>
  <c r="B112" i="23"/>
  <c r="F111" i="23"/>
  <c r="D111" i="23"/>
  <c r="C111" i="23"/>
  <c r="B111" i="23"/>
  <c r="F110" i="23"/>
  <c r="D110" i="23"/>
  <c r="C110" i="23"/>
  <c r="B110" i="23"/>
  <c r="F109" i="23"/>
  <c r="D109" i="23"/>
  <c r="C109" i="23"/>
  <c r="B109" i="23"/>
  <c r="F108" i="23"/>
  <c r="D108" i="23"/>
  <c r="C108" i="23"/>
  <c r="B108" i="23"/>
  <c r="F107" i="23"/>
  <c r="C107" i="23"/>
  <c r="B107" i="23"/>
  <c r="F98" i="23"/>
  <c r="D98" i="23"/>
  <c r="C98" i="23"/>
  <c r="B98" i="23"/>
  <c r="F97" i="23"/>
  <c r="D97" i="23"/>
  <c r="C97" i="23"/>
  <c r="B97" i="23"/>
  <c r="F96" i="23"/>
  <c r="D96" i="23"/>
  <c r="C96" i="23"/>
  <c r="B96" i="23"/>
  <c r="F95" i="23"/>
  <c r="D95" i="23"/>
  <c r="C95" i="23"/>
  <c r="B95" i="23"/>
  <c r="F94" i="23"/>
  <c r="D94" i="23"/>
  <c r="C94" i="23"/>
  <c r="B94" i="23"/>
  <c r="F93" i="23"/>
  <c r="D93" i="23"/>
  <c r="C93" i="23"/>
  <c r="B93" i="23"/>
  <c r="F92" i="23"/>
  <c r="D92" i="23"/>
  <c r="C92" i="23"/>
  <c r="B92" i="23"/>
  <c r="F91" i="23"/>
  <c r="D91" i="23"/>
  <c r="C91" i="23"/>
  <c r="B91" i="23"/>
  <c r="F90" i="23"/>
  <c r="D90" i="23"/>
  <c r="C90" i="23"/>
  <c r="B90" i="23"/>
  <c r="F89" i="23"/>
  <c r="D89" i="23"/>
  <c r="C89" i="23"/>
  <c r="B89" i="23"/>
  <c r="F88" i="23"/>
  <c r="D88" i="23"/>
  <c r="C88" i="23"/>
  <c r="B88" i="23"/>
  <c r="F87" i="23"/>
  <c r="D87" i="23"/>
  <c r="C87" i="23"/>
  <c r="B87" i="23"/>
  <c r="F86" i="23"/>
  <c r="D86" i="23"/>
  <c r="C86" i="23"/>
  <c r="B86" i="23"/>
  <c r="F85" i="23"/>
  <c r="C85" i="23"/>
  <c r="B85" i="23"/>
  <c r="F78" i="23"/>
  <c r="D78" i="23"/>
  <c r="C78" i="23"/>
  <c r="B78" i="23"/>
  <c r="F77" i="23"/>
  <c r="D77" i="23"/>
  <c r="C77" i="23"/>
  <c r="B77" i="23"/>
  <c r="F76" i="23"/>
  <c r="D76" i="23"/>
  <c r="C76" i="23"/>
  <c r="B76" i="23"/>
  <c r="F75" i="23"/>
  <c r="D75" i="23"/>
  <c r="C75" i="23"/>
  <c r="B75" i="23"/>
  <c r="F74" i="23"/>
  <c r="D74" i="23"/>
  <c r="C74" i="23"/>
  <c r="B74" i="23"/>
  <c r="F73" i="23"/>
  <c r="D73" i="23"/>
  <c r="C73" i="23"/>
  <c r="B73" i="23"/>
  <c r="F72" i="23"/>
  <c r="D72" i="23"/>
  <c r="C72" i="23"/>
  <c r="B72" i="23"/>
  <c r="F71" i="23"/>
  <c r="D71" i="23"/>
  <c r="C71" i="23"/>
  <c r="B71" i="23"/>
  <c r="F70" i="23"/>
  <c r="D70" i="23"/>
  <c r="C70" i="23"/>
  <c r="B70" i="23"/>
  <c r="F69" i="23"/>
  <c r="D69" i="23"/>
  <c r="C69" i="23"/>
  <c r="B69" i="23"/>
  <c r="F68" i="23"/>
  <c r="D68" i="23"/>
  <c r="C68" i="23"/>
  <c r="B68" i="23"/>
  <c r="F67" i="23"/>
  <c r="D67" i="23"/>
  <c r="C67" i="23"/>
  <c r="B67" i="23"/>
  <c r="F66" i="23"/>
  <c r="D66" i="23"/>
  <c r="C66" i="23"/>
  <c r="B66" i="23"/>
  <c r="F65" i="23"/>
  <c r="C65" i="23"/>
  <c r="B65" i="23"/>
  <c r="V44" i="23"/>
  <c r="U44" i="23"/>
  <c r="D1" i="23"/>
  <c r="H5" i="23" s="1"/>
  <c r="T29" i="23"/>
  <c r="AA28" i="23"/>
  <c r="T28" i="23"/>
  <c r="R25" i="23"/>
  <c r="F65" i="22"/>
  <c r="C65" i="22"/>
  <c r="B65" i="22"/>
  <c r="D51" i="22"/>
  <c r="R44" i="22"/>
  <c r="V40" i="22"/>
  <c r="T35" i="22"/>
  <c r="T33" i="22"/>
  <c r="T32" i="22"/>
  <c r="U29" i="22"/>
  <c r="U28" i="22"/>
  <c r="D5" i="22"/>
  <c r="F77" i="21"/>
  <c r="D77" i="21"/>
  <c r="C77" i="21"/>
  <c r="B77" i="21"/>
  <c r="F76" i="21"/>
  <c r="D76" i="21"/>
  <c r="C76" i="21"/>
  <c r="B76" i="21"/>
  <c r="F75" i="21"/>
  <c r="D75" i="21"/>
  <c r="C75" i="21"/>
  <c r="B75" i="21"/>
  <c r="F74" i="21"/>
  <c r="D74" i="21"/>
  <c r="C74" i="21"/>
  <c r="B74" i="21"/>
  <c r="F73" i="21"/>
  <c r="D73" i="21"/>
  <c r="C73" i="21"/>
  <c r="B73" i="21"/>
  <c r="F72" i="21"/>
  <c r="D72" i="21"/>
  <c r="C72" i="21"/>
  <c r="B72" i="21"/>
  <c r="F71" i="21"/>
  <c r="D71" i="21"/>
  <c r="C71" i="21"/>
  <c r="B71" i="21"/>
  <c r="F70" i="21"/>
  <c r="D70" i="21"/>
  <c r="C70" i="21"/>
  <c r="B70" i="21"/>
  <c r="F69" i="21"/>
  <c r="D69" i="21"/>
  <c r="C69" i="21"/>
  <c r="B69" i="21"/>
  <c r="F68" i="21"/>
  <c r="D68" i="21"/>
  <c r="C68" i="21"/>
  <c r="B68" i="21"/>
  <c r="F67" i="21"/>
  <c r="D67" i="21"/>
  <c r="C67" i="21"/>
  <c r="B67" i="21"/>
  <c r="F66" i="21"/>
  <c r="D66" i="21"/>
  <c r="C66" i="21"/>
  <c r="B66" i="21"/>
  <c r="F65" i="21"/>
  <c r="C65" i="21"/>
  <c r="B65" i="21"/>
  <c r="D51" i="21"/>
  <c r="R44" i="21" s="1"/>
  <c r="C51" i="21"/>
  <c r="V40" i="21"/>
  <c r="T30" i="21"/>
  <c r="S30" i="21"/>
  <c r="U29" i="21"/>
  <c r="U32" i="21" s="1"/>
  <c r="AD30" i="21" s="1"/>
  <c r="T28" i="21"/>
  <c r="S28" i="21"/>
  <c r="F122" i="20"/>
  <c r="D122" i="20"/>
  <c r="C122" i="20"/>
  <c r="B122" i="20"/>
  <c r="F121" i="20"/>
  <c r="D121" i="20"/>
  <c r="C121" i="20"/>
  <c r="B121" i="20"/>
  <c r="F120" i="20"/>
  <c r="D120" i="20"/>
  <c r="C120" i="20"/>
  <c r="B120" i="20"/>
  <c r="F119" i="20"/>
  <c r="D119" i="20"/>
  <c r="C119" i="20"/>
  <c r="B119" i="20"/>
  <c r="F118" i="20"/>
  <c r="D118" i="20"/>
  <c r="C118" i="20"/>
  <c r="B118" i="20"/>
  <c r="F117" i="20"/>
  <c r="D117" i="20"/>
  <c r="C117" i="20"/>
  <c r="B117" i="20"/>
  <c r="F116" i="20"/>
  <c r="D116" i="20"/>
  <c r="C116" i="20"/>
  <c r="B116" i="20"/>
  <c r="F115" i="20"/>
  <c r="D115" i="20"/>
  <c r="C115" i="20"/>
  <c r="B115" i="20"/>
  <c r="F114" i="20"/>
  <c r="D114" i="20"/>
  <c r="C114" i="20"/>
  <c r="B114" i="20"/>
  <c r="F113" i="20"/>
  <c r="D113" i="20"/>
  <c r="C113" i="20"/>
  <c r="B113" i="20"/>
  <c r="F112" i="20"/>
  <c r="D112" i="20"/>
  <c r="C112" i="20"/>
  <c r="B112" i="20"/>
  <c r="F111" i="20"/>
  <c r="D111" i="20"/>
  <c r="C111" i="20"/>
  <c r="B111" i="20"/>
  <c r="F110" i="20"/>
  <c r="D110" i="20"/>
  <c r="C110" i="20"/>
  <c r="B110" i="20"/>
  <c r="F109" i="20"/>
  <c r="D109" i="20"/>
  <c r="C109" i="20"/>
  <c r="B109" i="20"/>
  <c r="F108" i="20"/>
  <c r="C108" i="20"/>
  <c r="B108" i="20"/>
  <c r="F101" i="20"/>
  <c r="D101" i="20"/>
  <c r="C101" i="20"/>
  <c r="B101" i="20"/>
  <c r="F100" i="20"/>
  <c r="D100" i="20"/>
  <c r="C100" i="20"/>
  <c r="B100" i="20"/>
  <c r="F99" i="20"/>
  <c r="D99" i="20"/>
  <c r="C99" i="20"/>
  <c r="B99" i="20"/>
  <c r="F98" i="20"/>
  <c r="D98" i="20"/>
  <c r="C98" i="20"/>
  <c r="B98" i="20"/>
  <c r="F97" i="20"/>
  <c r="D97" i="20"/>
  <c r="C97" i="20"/>
  <c r="B97" i="20"/>
  <c r="F96" i="20"/>
  <c r="D96" i="20"/>
  <c r="C96" i="20"/>
  <c r="B96" i="20"/>
  <c r="F95" i="20"/>
  <c r="D95" i="20"/>
  <c r="C95" i="20"/>
  <c r="B95" i="20"/>
  <c r="F94" i="20"/>
  <c r="D94" i="20"/>
  <c r="C94" i="20"/>
  <c r="B94" i="20"/>
  <c r="F93" i="20"/>
  <c r="D93" i="20"/>
  <c r="C93" i="20"/>
  <c r="B93" i="20"/>
  <c r="F92" i="20"/>
  <c r="D92" i="20"/>
  <c r="C92" i="20"/>
  <c r="B92" i="20"/>
  <c r="F91" i="20"/>
  <c r="D91" i="20"/>
  <c r="C91" i="20"/>
  <c r="B91" i="20"/>
  <c r="F90" i="20"/>
  <c r="D90" i="20"/>
  <c r="C90" i="20"/>
  <c r="B90" i="20"/>
  <c r="F89" i="20"/>
  <c r="D89" i="20"/>
  <c r="C89" i="20"/>
  <c r="B89" i="20"/>
  <c r="F88" i="20"/>
  <c r="D88" i="20"/>
  <c r="C88" i="20"/>
  <c r="B88" i="20"/>
  <c r="F87" i="20"/>
  <c r="C87" i="20"/>
  <c r="B87" i="20"/>
  <c r="F79" i="20"/>
  <c r="D79" i="20"/>
  <c r="C79" i="20"/>
  <c r="B79" i="20"/>
  <c r="F78" i="20"/>
  <c r="D78" i="20"/>
  <c r="C78" i="20"/>
  <c r="B78" i="20"/>
  <c r="F77" i="20"/>
  <c r="D77" i="20"/>
  <c r="C77" i="20"/>
  <c r="B77" i="20"/>
  <c r="F76" i="20"/>
  <c r="D76" i="20"/>
  <c r="C76" i="20"/>
  <c r="B76" i="20"/>
  <c r="F75" i="20"/>
  <c r="D75" i="20"/>
  <c r="C75" i="20"/>
  <c r="B75" i="20"/>
  <c r="F74" i="20"/>
  <c r="D74" i="20"/>
  <c r="C74" i="20"/>
  <c r="B74" i="20"/>
  <c r="F73" i="20"/>
  <c r="D73" i="20"/>
  <c r="C73" i="20"/>
  <c r="B73" i="20"/>
  <c r="F72" i="20"/>
  <c r="D72" i="20"/>
  <c r="C72" i="20"/>
  <c r="B72" i="20"/>
  <c r="F71" i="20"/>
  <c r="D71" i="20"/>
  <c r="C71" i="20"/>
  <c r="B71" i="20"/>
  <c r="F70" i="20"/>
  <c r="D70" i="20"/>
  <c r="C70" i="20"/>
  <c r="B70" i="20"/>
  <c r="F69" i="20"/>
  <c r="D69" i="20"/>
  <c r="C69" i="20"/>
  <c r="B69" i="20"/>
  <c r="F68" i="20"/>
  <c r="D68" i="20"/>
  <c r="C68" i="20"/>
  <c r="B68" i="20"/>
  <c r="F67" i="20"/>
  <c r="D67" i="20"/>
  <c r="C67" i="20"/>
  <c r="B67" i="20"/>
  <c r="F66" i="20"/>
  <c r="D66" i="20"/>
  <c r="C66" i="20"/>
  <c r="B66" i="20"/>
  <c r="F65" i="20"/>
  <c r="C65" i="20"/>
  <c r="B65" i="20"/>
  <c r="V40" i="20"/>
  <c r="T33" i="20"/>
  <c r="T28" i="20"/>
  <c r="T32" i="20" s="1"/>
  <c r="S28" i="20"/>
  <c r="I51" i="20"/>
  <c r="D5" i="20" s="1"/>
  <c r="D51" i="20"/>
  <c r="R44" i="20"/>
  <c r="K1" i="20"/>
  <c r="C51" i="20"/>
  <c r="F99" i="19"/>
  <c r="D99" i="19"/>
  <c r="C99" i="19"/>
  <c r="B99" i="19"/>
  <c r="F98" i="19"/>
  <c r="D98" i="19"/>
  <c r="C98" i="19"/>
  <c r="B98" i="19"/>
  <c r="F97" i="19"/>
  <c r="D97" i="19"/>
  <c r="C97" i="19"/>
  <c r="B97" i="19"/>
  <c r="F96" i="19"/>
  <c r="D96" i="19"/>
  <c r="C96" i="19"/>
  <c r="B96" i="19"/>
  <c r="F95" i="19"/>
  <c r="D95" i="19"/>
  <c r="C95" i="19"/>
  <c r="B95" i="19"/>
  <c r="F94" i="19"/>
  <c r="D94" i="19"/>
  <c r="C94" i="19"/>
  <c r="B94" i="19"/>
  <c r="F93" i="19"/>
  <c r="D93" i="19"/>
  <c r="C93" i="19"/>
  <c r="B93" i="19"/>
  <c r="F92" i="19"/>
  <c r="D92" i="19"/>
  <c r="C92" i="19"/>
  <c r="B92" i="19"/>
  <c r="F91" i="19"/>
  <c r="D91" i="19"/>
  <c r="C91" i="19"/>
  <c r="B91" i="19"/>
  <c r="F90" i="19"/>
  <c r="D90" i="19"/>
  <c r="C90" i="19"/>
  <c r="B90" i="19"/>
  <c r="F89" i="19"/>
  <c r="D89" i="19"/>
  <c r="C89" i="19"/>
  <c r="B89" i="19"/>
  <c r="F88" i="19"/>
  <c r="D88" i="19"/>
  <c r="C88" i="19"/>
  <c r="B88" i="19"/>
  <c r="F87" i="19"/>
  <c r="C87" i="19"/>
  <c r="B87" i="19"/>
  <c r="F77" i="19"/>
  <c r="D77" i="19"/>
  <c r="C77" i="19"/>
  <c r="B77" i="19"/>
  <c r="F76" i="19"/>
  <c r="D76" i="19"/>
  <c r="C76" i="19"/>
  <c r="B76" i="19"/>
  <c r="F75" i="19"/>
  <c r="D75" i="19"/>
  <c r="C75" i="19"/>
  <c r="B75" i="19"/>
  <c r="F74" i="19"/>
  <c r="D74" i="19"/>
  <c r="C74" i="19"/>
  <c r="B74" i="19"/>
  <c r="F73" i="19"/>
  <c r="D73" i="19"/>
  <c r="C73" i="19"/>
  <c r="B73" i="19"/>
  <c r="F72" i="19"/>
  <c r="D72" i="19"/>
  <c r="C72" i="19"/>
  <c r="B72" i="19"/>
  <c r="F71" i="19"/>
  <c r="D71" i="19"/>
  <c r="C71" i="19"/>
  <c r="B71" i="19"/>
  <c r="F70" i="19"/>
  <c r="D70" i="19"/>
  <c r="C70" i="19"/>
  <c r="B70" i="19"/>
  <c r="F69" i="19"/>
  <c r="D69" i="19"/>
  <c r="C69" i="19"/>
  <c r="B69" i="19"/>
  <c r="F68" i="19"/>
  <c r="D68" i="19"/>
  <c r="C68" i="19"/>
  <c r="B68" i="19"/>
  <c r="F67" i="19"/>
  <c r="D67" i="19"/>
  <c r="C67" i="19"/>
  <c r="B67" i="19"/>
  <c r="F66" i="19"/>
  <c r="D66" i="19"/>
  <c r="C66" i="19"/>
  <c r="B66" i="19"/>
  <c r="F65" i="19"/>
  <c r="C65" i="19"/>
  <c r="B65" i="19"/>
  <c r="V40" i="19"/>
  <c r="AC30" i="19"/>
  <c r="D51" i="19"/>
  <c r="C51" i="19"/>
  <c r="F105" i="18"/>
  <c r="D105" i="18"/>
  <c r="C105" i="18"/>
  <c r="B105" i="18"/>
  <c r="F104" i="18"/>
  <c r="D104" i="18"/>
  <c r="C104" i="18"/>
  <c r="B104" i="18"/>
  <c r="F103" i="18"/>
  <c r="D103" i="18"/>
  <c r="C103" i="18"/>
  <c r="B103" i="18"/>
  <c r="F102" i="18"/>
  <c r="D102" i="18"/>
  <c r="C102" i="18"/>
  <c r="B102" i="18"/>
  <c r="F101" i="18"/>
  <c r="D101" i="18"/>
  <c r="C101" i="18"/>
  <c r="B101" i="18"/>
  <c r="F100" i="18"/>
  <c r="D100" i="18"/>
  <c r="C100" i="18"/>
  <c r="B100" i="18"/>
  <c r="F99" i="18"/>
  <c r="D99" i="18"/>
  <c r="C99" i="18"/>
  <c r="B99" i="18"/>
  <c r="F98" i="18"/>
  <c r="D98" i="18"/>
  <c r="C98" i="18"/>
  <c r="B98" i="18"/>
  <c r="F97" i="18"/>
  <c r="D97" i="18"/>
  <c r="C97" i="18"/>
  <c r="B97" i="18"/>
  <c r="F96" i="18"/>
  <c r="D96" i="18"/>
  <c r="C96" i="18"/>
  <c r="B96" i="18"/>
  <c r="F95" i="18"/>
  <c r="D95" i="18"/>
  <c r="C95" i="18"/>
  <c r="B95" i="18"/>
  <c r="F94" i="18"/>
  <c r="D94" i="18"/>
  <c r="C94" i="18"/>
  <c r="B94" i="18"/>
  <c r="F93" i="18"/>
  <c r="D93" i="18"/>
  <c r="C93" i="18"/>
  <c r="B93" i="18"/>
  <c r="F92" i="18"/>
  <c r="D92" i="18"/>
  <c r="C92" i="18"/>
  <c r="B92" i="18"/>
  <c r="F91" i="18"/>
  <c r="D91" i="18"/>
  <c r="C91" i="18"/>
  <c r="B91" i="18"/>
  <c r="F90" i="18"/>
  <c r="C90" i="18"/>
  <c r="B90" i="18"/>
  <c r="F80" i="18"/>
  <c r="D80" i="18"/>
  <c r="C80" i="18"/>
  <c r="B80" i="18"/>
  <c r="F79" i="18"/>
  <c r="D79" i="18"/>
  <c r="C79" i="18"/>
  <c r="B79" i="18"/>
  <c r="F78" i="18"/>
  <c r="D78" i="18"/>
  <c r="C78" i="18"/>
  <c r="B78" i="18"/>
  <c r="F77" i="18"/>
  <c r="D77" i="18"/>
  <c r="C77" i="18"/>
  <c r="B77" i="18"/>
  <c r="F76" i="18"/>
  <c r="D76" i="18"/>
  <c r="C76" i="18"/>
  <c r="B76" i="18"/>
  <c r="F75" i="18"/>
  <c r="D75" i="18"/>
  <c r="C75" i="18"/>
  <c r="B75" i="18"/>
  <c r="F74" i="18"/>
  <c r="D74" i="18"/>
  <c r="C74" i="18"/>
  <c r="B74" i="18"/>
  <c r="F73" i="18"/>
  <c r="D73" i="18"/>
  <c r="C73" i="18"/>
  <c r="B73" i="18"/>
  <c r="F72" i="18"/>
  <c r="D72" i="18"/>
  <c r="C72" i="18"/>
  <c r="B72" i="18"/>
  <c r="F71" i="18"/>
  <c r="D71" i="18"/>
  <c r="C71" i="18"/>
  <c r="B71" i="18"/>
  <c r="F70" i="18"/>
  <c r="D70" i="18"/>
  <c r="C70" i="18"/>
  <c r="B70" i="18"/>
  <c r="F69" i="18"/>
  <c r="D69" i="18"/>
  <c r="C69" i="18"/>
  <c r="B69" i="18"/>
  <c r="F68" i="18"/>
  <c r="D68" i="18"/>
  <c r="C68" i="18"/>
  <c r="B68" i="18"/>
  <c r="F67" i="18"/>
  <c r="D67" i="18"/>
  <c r="C67" i="18"/>
  <c r="B67" i="18"/>
  <c r="F66" i="18"/>
  <c r="D66" i="18"/>
  <c r="C66" i="18"/>
  <c r="B66" i="18"/>
  <c r="F65" i="18"/>
  <c r="C65" i="18"/>
  <c r="B65" i="18"/>
  <c r="D51" i="18"/>
  <c r="R44" i="18" s="1"/>
  <c r="C51" i="18"/>
  <c r="V40" i="18"/>
  <c r="T30" i="18"/>
  <c r="S30" i="18"/>
  <c r="U29" i="18"/>
  <c r="U32" i="18" s="1"/>
  <c r="AD30" i="18" s="1"/>
  <c r="T28" i="18"/>
  <c r="S28" i="18"/>
  <c r="F119" i="17"/>
  <c r="D119" i="17"/>
  <c r="C119" i="17"/>
  <c r="B119" i="17"/>
  <c r="F118" i="17"/>
  <c r="D118" i="17"/>
  <c r="C118" i="17"/>
  <c r="B118" i="17"/>
  <c r="F117" i="17"/>
  <c r="D117" i="17"/>
  <c r="C117" i="17"/>
  <c r="B117" i="17"/>
  <c r="F116" i="17"/>
  <c r="D116" i="17"/>
  <c r="C116" i="17"/>
  <c r="B116" i="17"/>
  <c r="F115" i="17"/>
  <c r="D115" i="17"/>
  <c r="C115" i="17"/>
  <c r="B115" i="17"/>
  <c r="F114" i="17"/>
  <c r="D114" i="17"/>
  <c r="C114" i="17"/>
  <c r="B114" i="17"/>
  <c r="F113" i="17"/>
  <c r="D113" i="17"/>
  <c r="C113" i="17"/>
  <c r="B113" i="17"/>
  <c r="F112" i="17"/>
  <c r="D112" i="17"/>
  <c r="C112" i="17"/>
  <c r="B112" i="17"/>
  <c r="F111" i="17"/>
  <c r="D111" i="17"/>
  <c r="C111" i="17"/>
  <c r="B111" i="17"/>
  <c r="F110" i="17"/>
  <c r="D110" i="17"/>
  <c r="C110" i="17"/>
  <c r="B110" i="17"/>
  <c r="F109" i="17"/>
  <c r="D109" i="17"/>
  <c r="C109" i="17"/>
  <c r="B109" i="17"/>
  <c r="F108" i="17"/>
  <c r="D108" i="17"/>
  <c r="C108" i="17"/>
  <c r="B108" i="17"/>
  <c r="F107" i="17"/>
  <c r="D107" i="17"/>
  <c r="C107" i="17"/>
  <c r="B107" i="17"/>
  <c r="F106" i="17"/>
  <c r="D106" i="17"/>
  <c r="C106" i="17"/>
  <c r="B106" i="17"/>
  <c r="F105" i="17"/>
  <c r="D105" i="17"/>
  <c r="C105" i="17"/>
  <c r="B105" i="17"/>
  <c r="F104" i="17"/>
  <c r="D104" i="17"/>
  <c r="C104" i="17"/>
  <c r="B104" i="17"/>
  <c r="F103" i="17"/>
  <c r="D103" i="17"/>
  <c r="C103" i="17"/>
  <c r="B103" i="17"/>
  <c r="F102" i="17"/>
  <c r="D102" i="17"/>
  <c r="C102" i="17"/>
  <c r="B102" i="17"/>
  <c r="F101" i="17"/>
  <c r="D101" i="17"/>
  <c r="C101" i="17"/>
  <c r="B101" i="17"/>
  <c r="F100" i="17"/>
  <c r="D100" i="17"/>
  <c r="C100" i="17"/>
  <c r="B100" i="17"/>
  <c r="F99" i="17"/>
  <c r="D99" i="17"/>
  <c r="C99" i="17"/>
  <c r="B99" i="17"/>
  <c r="F98" i="17"/>
  <c r="D98" i="17"/>
  <c r="C98" i="17"/>
  <c r="B98" i="17"/>
  <c r="F97" i="17"/>
  <c r="D97" i="17"/>
  <c r="C97" i="17"/>
  <c r="B97" i="17"/>
  <c r="F96" i="17"/>
  <c r="C96" i="17"/>
  <c r="B96" i="17"/>
  <c r="F88" i="17"/>
  <c r="D88" i="17"/>
  <c r="C88" i="17"/>
  <c r="B88" i="17"/>
  <c r="F87" i="17"/>
  <c r="D87" i="17"/>
  <c r="C87" i="17"/>
  <c r="B87" i="17"/>
  <c r="F86" i="17"/>
  <c r="D86" i="17"/>
  <c r="C86" i="17"/>
  <c r="B86" i="17"/>
  <c r="F85" i="17"/>
  <c r="D85" i="17"/>
  <c r="C85" i="17"/>
  <c r="B85" i="17"/>
  <c r="F84" i="17"/>
  <c r="D84" i="17"/>
  <c r="C84" i="17"/>
  <c r="B84" i="17"/>
  <c r="F83" i="17"/>
  <c r="D83" i="17"/>
  <c r="C83" i="17"/>
  <c r="B83" i="17"/>
  <c r="F82" i="17"/>
  <c r="D82" i="17"/>
  <c r="C82" i="17"/>
  <c r="B82" i="17"/>
  <c r="F81" i="17"/>
  <c r="D81" i="17"/>
  <c r="C81" i="17"/>
  <c r="B81" i="17"/>
  <c r="F80" i="17"/>
  <c r="D80" i="17"/>
  <c r="C80" i="17"/>
  <c r="B80" i="17"/>
  <c r="F79" i="17"/>
  <c r="D79" i="17"/>
  <c r="C79" i="17"/>
  <c r="B79" i="17"/>
  <c r="F78" i="17"/>
  <c r="D78" i="17"/>
  <c r="C78" i="17"/>
  <c r="B78" i="17"/>
  <c r="F77" i="17"/>
  <c r="D77" i="17"/>
  <c r="C77" i="17"/>
  <c r="B77" i="17"/>
  <c r="F76" i="17"/>
  <c r="D76" i="17"/>
  <c r="C76" i="17"/>
  <c r="B76" i="17"/>
  <c r="F75" i="17"/>
  <c r="D75" i="17"/>
  <c r="C75" i="17"/>
  <c r="B75" i="17"/>
  <c r="F74" i="17"/>
  <c r="D74" i="17"/>
  <c r="C74" i="17"/>
  <c r="B74" i="17"/>
  <c r="F73" i="17"/>
  <c r="D73" i="17"/>
  <c r="C73" i="17"/>
  <c r="B73" i="17"/>
  <c r="F72" i="17"/>
  <c r="D72" i="17"/>
  <c r="C72" i="17"/>
  <c r="B72" i="17"/>
  <c r="F71" i="17"/>
  <c r="D71" i="17"/>
  <c r="C71" i="17"/>
  <c r="B71" i="17"/>
  <c r="F70" i="17"/>
  <c r="D70" i="17"/>
  <c r="C70" i="17"/>
  <c r="B70" i="17"/>
  <c r="F69" i="17"/>
  <c r="D69" i="17"/>
  <c r="C69" i="17"/>
  <c r="B69" i="17"/>
  <c r="F68" i="17"/>
  <c r="D68" i="17"/>
  <c r="C68" i="17"/>
  <c r="B68" i="17"/>
  <c r="F67" i="17"/>
  <c r="D67" i="17"/>
  <c r="C67" i="17"/>
  <c r="B67" i="17"/>
  <c r="F66" i="17"/>
  <c r="D66" i="17"/>
  <c r="C66" i="17"/>
  <c r="B66" i="17"/>
  <c r="F65" i="17"/>
  <c r="C65" i="17"/>
  <c r="D51" i="17"/>
  <c r="C51" i="17"/>
  <c r="V40" i="17"/>
  <c r="S30" i="17"/>
  <c r="U29" i="17"/>
  <c r="T28" i="17"/>
  <c r="S28" i="17"/>
  <c r="F131" i="16"/>
  <c r="D131" i="16"/>
  <c r="C131" i="16"/>
  <c r="B131" i="16"/>
  <c r="F130" i="16"/>
  <c r="D130" i="16"/>
  <c r="C130" i="16"/>
  <c r="B130" i="16"/>
  <c r="F129" i="16"/>
  <c r="C129" i="16"/>
  <c r="B129" i="16"/>
  <c r="F113" i="16"/>
  <c r="D113" i="16"/>
  <c r="C113" i="16"/>
  <c r="B113" i="16"/>
  <c r="F112" i="16"/>
  <c r="D112" i="16"/>
  <c r="C112" i="16"/>
  <c r="B112" i="16"/>
  <c r="F111" i="16"/>
  <c r="D111" i="16"/>
  <c r="C111" i="16"/>
  <c r="B111" i="16"/>
  <c r="F110" i="16"/>
  <c r="D110" i="16"/>
  <c r="C110" i="16"/>
  <c r="B110" i="16"/>
  <c r="F109" i="16"/>
  <c r="D109" i="16"/>
  <c r="C109" i="16"/>
  <c r="B109" i="16"/>
  <c r="F108" i="16"/>
  <c r="C108" i="16"/>
  <c r="B108" i="16"/>
  <c r="F94" i="16"/>
  <c r="D94" i="16"/>
  <c r="C94" i="16"/>
  <c r="B94" i="16"/>
  <c r="F93" i="16"/>
  <c r="D93" i="16"/>
  <c r="C93" i="16"/>
  <c r="B93" i="16"/>
  <c r="F92" i="16"/>
  <c r="D92" i="16"/>
  <c r="C92" i="16"/>
  <c r="B92" i="16"/>
  <c r="F91" i="16"/>
  <c r="D91" i="16"/>
  <c r="C91" i="16"/>
  <c r="B91" i="16"/>
  <c r="F90" i="16"/>
  <c r="D90" i="16"/>
  <c r="C90" i="16"/>
  <c r="B90" i="16"/>
  <c r="F89" i="16"/>
  <c r="D89" i="16"/>
  <c r="C89" i="16"/>
  <c r="B89" i="16"/>
  <c r="F88" i="16"/>
  <c r="D88" i="16"/>
  <c r="C88" i="16"/>
  <c r="B88" i="16"/>
  <c r="F87" i="16"/>
  <c r="D87" i="16"/>
  <c r="C87" i="16"/>
  <c r="B87" i="16"/>
  <c r="F86" i="16"/>
  <c r="C86" i="16"/>
  <c r="B86" i="16"/>
  <c r="F74" i="16"/>
  <c r="D74" i="16"/>
  <c r="C74" i="16"/>
  <c r="B74" i="16"/>
  <c r="F73" i="16"/>
  <c r="D73" i="16"/>
  <c r="C73" i="16"/>
  <c r="B73" i="16"/>
  <c r="F72" i="16"/>
  <c r="D72" i="16"/>
  <c r="C72" i="16"/>
  <c r="B72" i="16"/>
  <c r="F71" i="16"/>
  <c r="D71" i="16"/>
  <c r="C71" i="16"/>
  <c r="B71" i="16"/>
  <c r="F70" i="16"/>
  <c r="D70" i="16"/>
  <c r="C70" i="16"/>
  <c r="B70" i="16"/>
  <c r="F69" i="16"/>
  <c r="D69" i="16"/>
  <c r="C69" i="16"/>
  <c r="B69" i="16"/>
  <c r="F68" i="16"/>
  <c r="D68" i="16"/>
  <c r="C68" i="16"/>
  <c r="B68" i="16"/>
  <c r="F67" i="16"/>
  <c r="D67" i="16"/>
  <c r="C67" i="16"/>
  <c r="B67" i="16"/>
  <c r="F66" i="16"/>
  <c r="C66" i="16"/>
  <c r="B66" i="16"/>
  <c r="U29" i="16"/>
  <c r="U32" i="16" s="1"/>
  <c r="S16" i="16"/>
  <c r="F121" i="15"/>
  <c r="D121" i="15"/>
  <c r="C121" i="15"/>
  <c r="B121" i="15"/>
  <c r="F120" i="15"/>
  <c r="D120" i="15"/>
  <c r="C120" i="15"/>
  <c r="B120" i="15"/>
  <c r="F119" i="15"/>
  <c r="D119" i="15"/>
  <c r="C119" i="15"/>
  <c r="B119" i="15"/>
  <c r="F118" i="15"/>
  <c r="D118" i="15"/>
  <c r="C118" i="15"/>
  <c r="B118" i="15"/>
  <c r="F117" i="15"/>
  <c r="D117" i="15"/>
  <c r="C117" i="15"/>
  <c r="B117" i="15"/>
  <c r="F116" i="15"/>
  <c r="D116" i="15"/>
  <c r="C116" i="15"/>
  <c r="B116" i="15"/>
  <c r="F115" i="15"/>
  <c r="D115" i="15"/>
  <c r="C115" i="15"/>
  <c r="B115" i="15"/>
  <c r="F114" i="15"/>
  <c r="D114" i="15"/>
  <c r="C114" i="15"/>
  <c r="B114" i="15"/>
  <c r="F113" i="15"/>
  <c r="D113" i="15"/>
  <c r="C113" i="15"/>
  <c r="B113" i="15"/>
  <c r="F112" i="15"/>
  <c r="D112" i="15"/>
  <c r="C112" i="15"/>
  <c r="B112" i="15"/>
  <c r="F111" i="15"/>
  <c r="D111" i="15"/>
  <c r="C111" i="15"/>
  <c r="B111" i="15"/>
  <c r="F110" i="15"/>
  <c r="D110" i="15"/>
  <c r="C110" i="15"/>
  <c r="B110" i="15"/>
  <c r="F109" i="15"/>
  <c r="D109" i="15"/>
  <c r="C109" i="15"/>
  <c r="B109" i="15"/>
  <c r="F108" i="15"/>
  <c r="D108" i="15"/>
  <c r="C108" i="15"/>
  <c r="B108" i="15"/>
  <c r="F107" i="15"/>
  <c r="D107" i="15"/>
  <c r="C107" i="15"/>
  <c r="B107" i="15"/>
  <c r="F106" i="15"/>
  <c r="D106" i="15"/>
  <c r="C106" i="15"/>
  <c r="B106" i="15"/>
  <c r="F105" i="15"/>
  <c r="D105" i="15"/>
  <c r="C105" i="15"/>
  <c r="B105" i="15"/>
  <c r="F104" i="15"/>
  <c r="D104" i="15"/>
  <c r="C104" i="15"/>
  <c r="B104" i="15"/>
  <c r="F103" i="15"/>
  <c r="D103" i="15"/>
  <c r="C103" i="15"/>
  <c r="B103" i="15"/>
  <c r="F102" i="15"/>
  <c r="D102" i="15"/>
  <c r="C102" i="15"/>
  <c r="B102" i="15"/>
  <c r="F101" i="15"/>
  <c r="D101" i="15"/>
  <c r="C101" i="15"/>
  <c r="B101" i="15"/>
  <c r="F100" i="15"/>
  <c r="D100" i="15"/>
  <c r="C100" i="15"/>
  <c r="B100" i="15"/>
  <c r="F99" i="15"/>
  <c r="D99" i="15"/>
  <c r="C99" i="15"/>
  <c r="B99" i="15"/>
  <c r="F98" i="15"/>
  <c r="D98" i="15"/>
  <c r="C98" i="15"/>
  <c r="B98" i="15"/>
  <c r="F97" i="15"/>
  <c r="C97" i="15"/>
  <c r="B97" i="15"/>
  <c r="F89" i="15"/>
  <c r="D89" i="15"/>
  <c r="C89" i="15"/>
  <c r="B89" i="15"/>
  <c r="F88" i="15"/>
  <c r="D88" i="15"/>
  <c r="C88" i="15"/>
  <c r="B88" i="15"/>
  <c r="F87" i="15"/>
  <c r="D87" i="15"/>
  <c r="C87" i="15"/>
  <c r="B87" i="15"/>
  <c r="F86" i="15"/>
  <c r="D86" i="15"/>
  <c r="C86" i="15"/>
  <c r="B86" i="15"/>
  <c r="F85" i="15"/>
  <c r="D85" i="15"/>
  <c r="C85" i="15"/>
  <c r="B85" i="15"/>
  <c r="F84" i="15"/>
  <c r="D84" i="15"/>
  <c r="C84" i="15"/>
  <c r="B84" i="15"/>
  <c r="F83" i="15"/>
  <c r="D83" i="15"/>
  <c r="C83" i="15"/>
  <c r="B83" i="15"/>
  <c r="F82" i="15"/>
  <c r="D82" i="15"/>
  <c r="C82" i="15"/>
  <c r="B82" i="15"/>
  <c r="F81" i="15"/>
  <c r="D81" i="15"/>
  <c r="C81" i="15"/>
  <c r="B81" i="15"/>
  <c r="F80" i="15"/>
  <c r="D80" i="15"/>
  <c r="C80" i="15"/>
  <c r="B80" i="15"/>
  <c r="F79" i="15"/>
  <c r="D79" i="15"/>
  <c r="C79" i="15"/>
  <c r="B79" i="15"/>
  <c r="F78" i="15"/>
  <c r="D78" i="15"/>
  <c r="C78" i="15"/>
  <c r="B78" i="15"/>
  <c r="F77" i="15"/>
  <c r="D77" i="15"/>
  <c r="C77" i="15"/>
  <c r="B77" i="15"/>
  <c r="F76" i="15"/>
  <c r="D76" i="15"/>
  <c r="C76" i="15"/>
  <c r="B76" i="15"/>
  <c r="F75" i="15"/>
  <c r="D75" i="15"/>
  <c r="C75" i="15"/>
  <c r="B75" i="15"/>
  <c r="F74" i="15"/>
  <c r="D74" i="15"/>
  <c r="C74" i="15"/>
  <c r="B74" i="15"/>
  <c r="F73" i="15"/>
  <c r="D73" i="15"/>
  <c r="C73" i="15"/>
  <c r="B73" i="15"/>
  <c r="F72" i="15"/>
  <c r="D72" i="15"/>
  <c r="C72" i="15"/>
  <c r="B72" i="15"/>
  <c r="F71" i="15"/>
  <c r="D71" i="15"/>
  <c r="C71" i="15"/>
  <c r="B71" i="15"/>
  <c r="F70" i="15"/>
  <c r="D70" i="15"/>
  <c r="C70" i="15"/>
  <c r="B70" i="15"/>
  <c r="F69" i="15"/>
  <c r="D69" i="15"/>
  <c r="C69" i="15"/>
  <c r="B69" i="15"/>
  <c r="F68" i="15"/>
  <c r="D68" i="15"/>
  <c r="C68" i="15"/>
  <c r="B68" i="15"/>
  <c r="F67" i="15"/>
  <c r="D67" i="15"/>
  <c r="C67" i="15"/>
  <c r="B67" i="15"/>
  <c r="F66" i="15"/>
  <c r="D66" i="15"/>
  <c r="C66" i="15"/>
  <c r="B66" i="15"/>
  <c r="F65" i="15"/>
  <c r="C65" i="15"/>
  <c r="B65" i="15"/>
  <c r="V40" i="15"/>
  <c r="D51" i="15"/>
  <c r="R44" i="15" s="1"/>
  <c r="U44" i="15" s="1"/>
  <c r="W44" i="15" s="1"/>
  <c r="J51" i="15" s="1"/>
  <c r="C51" i="15"/>
  <c r="T30" i="15"/>
  <c r="S30" i="15"/>
  <c r="U29" i="15"/>
  <c r="U32" i="15" s="1"/>
  <c r="AE30" i="15" s="1"/>
  <c r="T28" i="15"/>
  <c r="S28" i="15"/>
  <c r="F126" i="14"/>
  <c r="D126" i="14"/>
  <c r="C126" i="14"/>
  <c r="B126" i="14"/>
  <c r="F125" i="14"/>
  <c r="D125" i="14"/>
  <c r="C125" i="14"/>
  <c r="B125" i="14"/>
  <c r="F124" i="14"/>
  <c r="D124" i="14"/>
  <c r="C124" i="14"/>
  <c r="B124" i="14"/>
  <c r="F123" i="14"/>
  <c r="D123" i="14"/>
  <c r="C123" i="14"/>
  <c r="B123" i="14"/>
  <c r="F122" i="14"/>
  <c r="D122" i="14"/>
  <c r="C122" i="14"/>
  <c r="B122" i="14"/>
  <c r="F121" i="14"/>
  <c r="D121" i="14"/>
  <c r="C121" i="14"/>
  <c r="B121" i="14"/>
  <c r="F120" i="14"/>
  <c r="D120" i="14"/>
  <c r="C120" i="14"/>
  <c r="B120" i="14"/>
  <c r="F113" i="14"/>
  <c r="D113" i="14"/>
  <c r="C113" i="14"/>
  <c r="B113" i="14"/>
  <c r="F112" i="14"/>
  <c r="D112" i="14"/>
  <c r="C112" i="14"/>
  <c r="B112" i="14"/>
  <c r="F111" i="14"/>
  <c r="D111" i="14"/>
  <c r="C111" i="14"/>
  <c r="B111" i="14"/>
  <c r="F110" i="14"/>
  <c r="D110" i="14"/>
  <c r="C110" i="14"/>
  <c r="B110" i="14"/>
  <c r="F109" i="14"/>
  <c r="D109" i="14"/>
  <c r="C109" i="14"/>
  <c r="B109" i="14"/>
  <c r="F108" i="14"/>
  <c r="D108" i="14"/>
  <c r="C108" i="14"/>
  <c r="B108" i="14"/>
  <c r="F107" i="14"/>
  <c r="D107" i="14"/>
  <c r="C107" i="14"/>
  <c r="B107" i="14"/>
  <c r="F71" i="14"/>
  <c r="D71" i="14"/>
  <c r="C71" i="14"/>
  <c r="B71" i="14"/>
  <c r="F70" i="14"/>
  <c r="D70" i="14"/>
  <c r="C70" i="14"/>
  <c r="B70" i="14"/>
  <c r="F69" i="14"/>
  <c r="D69" i="14"/>
  <c r="C69" i="14"/>
  <c r="B69" i="14"/>
  <c r="F68" i="14"/>
  <c r="D68" i="14"/>
  <c r="C68" i="14"/>
  <c r="B68" i="14"/>
  <c r="F67" i="14"/>
  <c r="D67" i="14"/>
  <c r="C67" i="14"/>
  <c r="B67" i="14"/>
  <c r="F66" i="14"/>
  <c r="D66" i="14"/>
  <c r="C66" i="14"/>
  <c r="B66" i="14"/>
  <c r="F65" i="14"/>
  <c r="D65" i="14"/>
  <c r="C65" i="14"/>
  <c r="B65" i="14"/>
  <c r="T29" i="14"/>
  <c r="S28" i="14"/>
  <c r="S30" i="14" s="1"/>
  <c r="C51" i="14"/>
  <c r="F73" i="13"/>
  <c r="D73" i="13"/>
  <c r="C73" i="13"/>
  <c r="B73" i="13"/>
  <c r="F72" i="13"/>
  <c r="D72" i="13"/>
  <c r="C72" i="13"/>
  <c r="B72" i="13"/>
  <c r="F71" i="13"/>
  <c r="D71" i="13"/>
  <c r="C71" i="13"/>
  <c r="B71" i="13"/>
  <c r="F70" i="13"/>
  <c r="D70" i="13"/>
  <c r="C70" i="13"/>
  <c r="B70" i="13"/>
  <c r="F69" i="13"/>
  <c r="D69" i="13"/>
  <c r="C69" i="13"/>
  <c r="B69" i="13"/>
  <c r="F68" i="13"/>
  <c r="D68" i="13"/>
  <c r="C68" i="13"/>
  <c r="B68" i="13"/>
  <c r="F67" i="13"/>
  <c r="D67" i="13"/>
  <c r="C67" i="13"/>
  <c r="B67" i="13"/>
  <c r="F66" i="13"/>
  <c r="D66" i="13"/>
  <c r="C66" i="13"/>
  <c r="B66" i="13"/>
  <c r="F65" i="13"/>
  <c r="D65" i="13"/>
  <c r="C65" i="13"/>
  <c r="B65" i="13"/>
  <c r="T29" i="13"/>
  <c r="S28" i="13"/>
  <c r="S30" i="13" s="1"/>
  <c r="T30" i="13" s="1"/>
  <c r="F72" i="12"/>
  <c r="D72" i="12"/>
  <c r="C72" i="12"/>
  <c r="B72" i="12"/>
  <c r="F71" i="12"/>
  <c r="D71" i="12"/>
  <c r="C71" i="12"/>
  <c r="B71" i="12"/>
  <c r="F70" i="12"/>
  <c r="D70" i="12"/>
  <c r="C70" i="12"/>
  <c r="B70" i="12"/>
  <c r="F69" i="12"/>
  <c r="D69" i="12"/>
  <c r="C69" i="12"/>
  <c r="B69" i="12"/>
  <c r="F68" i="12"/>
  <c r="D68" i="12"/>
  <c r="C68" i="12"/>
  <c r="B68" i="12"/>
  <c r="F67" i="12"/>
  <c r="D67" i="12"/>
  <c r="C67" i="12"/>
  <c r="B67" i="12"/>
  <c r="F66" i="12"/>
  <c r="D66" i="12"/>
  <c r="C66" i="12"/>
  <c r="B66" i="12"/>
  <c r="F65" i="12"/>
  <c r="D65" i="12"/>
  <c r="C65" i="12"/>
  <c r="B65" i="12"/>
  <c r="T29" i="12"/>
  <c r="T28" i="12"/>
  <c r="R44" i="11"/>
  <c r="V40" i="11"/>
  <c r="T35" i="11"/>
  <c r="AC30" i="11" s="1"/>
  <c r="T33" i="11"/>
  <c r="T32" i="11"/>
  <c r="U32" i="11" s="1"/>
  <c r="T31" i="11"/>
  <c r="U29" i="11"/>
  <c r="F93" i="10"/>
  <c r="D93" i="10"/>
  <c r="C93" i="10"/>
  <c r="B93" i="10"/>
  <c r="F92" i="10"/>
  <c r="D92" i="10"/>
  <c r="C92" i="10"/>
  <c r="B92" i="10"/>
  <c r="F91" i="10"/>
  <c r="D91" i="10"/>
  <c r="C91" i="10"/>
  <c r="B91" i="10"/>
  <c r="F90" i="10"/>
  <c r="D90" i="10"/>
  <c r="C90" i="10"/>
  <c r="B90" i="10"/>
  <c r="F89" i="10"/>
  <c r="C89" i="10"/>
  <c r="B89" i="10"/>
  <c r="F80" i="10"/>
  <c r="D80" i="10"/>
  <c r="C80" i="10"/>
  <c r="B80" i="10"/>
  <c r="F79" i="10"/>
  <c r="D79" i="10"/>
  <c r="C79" i="10"/>
  <c r="B79" i="10"/>
  <c r="F78" i="10"/>
  <c r="D78" i="10"/>
  <c r="C78" i="10"/>
  <c r="B78" i="10"/>
  <c r="F77" i="10"/>
  <c r="D77" i="10"/>
  <c r="C77" i="10"/>
  <c r="B77" i="10"/>
  <c r="F76" i="10"/>
  <c r="C76" i="10"/>
  <c r="B76" i="10"/>
  <c r="F69" i="10"/>
  <c r="D69" i="10"/>
  <c r="C69" i="10"/>
  <c r="B69" i="10"/>
  <c r="F68" i="10"/>
  <c r="D68" i="10"/>
  <c r="C68" i="10"/>
  <c r="B68" i="10"/>
  <c r="F67" i="10"/>
  <c r="D67" i="10"/>
  <c r="C67" i="10"/>
  <c r="B67" i="10"/>
  <c r="F66" i="10"/>
  <c r="D66" i="10"/>
  <c r="C66" i="10"/>
  <c r="B66" i="10"/>
  <c r="F65" i="10"/>
  <c r="C65" i="10"/>
  <c r="B65" i="10"/>
  <c r="V44" i="10"/>
  <c r="U44" i="10"/>
  <c r="T29" i="10"/>
  <c r="T28" i="10"/>
  <c r="R25" i="10"/>
  <c r="F65" i="9"/>
  <c r="C65" i="9"/>
  <c r="B65" i="9"/>
  <c r="V40" i="9"/>
  <c r="U29" i="9"/>
  <c r="U28" i="9"/>
  <c r="D51" i="9"/>
  <c r="R44" i="9"/>
  <c r="C51" i="9"/>
  <c r="F108" i="8"/>
  <c r="D108" i="8"/>
  <c r="C108" i="8"/>
  <c r="B108" i="8"/>
  <c r="F107" i="8"/>
  <c r="D107" i="8"/>
  <c r="C107" i="8"/>
  <c r="B107" i="8"/>
  <c r="F106" i="8"/>
  <c r="D106" i="8"/>
  <c r="C106" i="8"/>
  <c r="B106" i="8"/>
  <c r="F105" i="8"/>
  <c r="D105" i="8"/>
  <c r="C105" i="8"/>
  <c r="B105" i="8"/>
  <c r="F104" i="8"/>
  <c r="D104" i="8"/>
  <c r="C104" i="8"/>
  <c r="B104" i="8"/>
  <c r="F103" i="8"/>
  <c r="D103" i="8"/>
  <c r="C103" i="8"/>
  <c r="B103" i="8"/>
  <c r="F102" i="8"/>
  <c r="D102" i="8"/>
  <c r="C102" i="8"/>
  <c r="B102" i="8"/>
  <c r="F101" i="8"/>
  <c r="D101" i="8"/>
  <c r="C101" i="8"/>
  <c r="B101" i="8"/>
  <c r="F100" i="8"/>
  <c r="D100" i="8"/>
  <c r="C100" i="8"/>
  <c r="B100" i="8"/>
  <c r="F99" i="8"/>
  <c r="D99" i="8"/>
  <c r="C99" i="8"/>
  <c r="B99" i="8"/>
  <c r="F98" i="8"/>
  <c r="D98" i="8"/>
  <c r="C98" i="8"/>
  <c r="B98" i="8"/>
  <c r="F97" i="8"/>
  <c r="D97" i="8"/>
  <c r="C97" i="8"/>
  <c r="B97" i="8"/>
  <c r="F96" i="8"/>
  <c r="D96" i="8"/>
  <c r="C96" i="8"/>
  <c r="B96" i="8"/>
  <c r="F95" i="8"/>
  <c r="D95" i="8"/>
  <c r="C95" i="8"/>
  <c r="B95" i="8"/>
  <c r="F94" i="8"/>
  <c r="D94" i="8"/>
  <c r="C94" i="8"/>
  <c r="B94" i="8"/>
  <c r="F93" i="8"/>
  <c r="D93" i="8"/>
  <c r="C93" i="8"/>
  <c r="B93" i="8"/>
  <c r="F92" i="8"/>
  <c r="D92" i="8"/>
  <c r="C92" i="8"/>
  <c r="B92" i="8"/>
  <c r="F91" i="8"/>
  <c r="D91" i="8"/>
  <c r="C91" i="8"/>
  <c r="B91" i="8"/>
  <c r="F90" i="8"/>
  <c r="C90" i="8"/>
  <c r="B90" i="8"/>
  <c r="F83" i="8"/>
  <c r="D83" i="8"/>
  <c r="C83" i="8"/>
  <c r="B83" i="8"/>
  <c r="F82" i="8"/>
  <c r="D82" i="8"/>
  <c r="C82" i="8"/>
  <c r="B82" i="8"/>
  <c r="F81" i="8"/>
  <c r="D81" i="8"/>
  <c r="C81" i="8"/>
  <c r="B81" i="8"/>
  <c r="F80" i="8"/>
  <c r="D80" i="8"/>
  <c r="C80" i="8"/>
  <c r="B80" i="8"/>
  <c r="F79" i="8"/>
  <c r="D79" i="8"/>
  <c r="C79" i="8"/>
  <c r="B79" i="8"/>
  <c r="F78" i="8"/>
  <c r="D78" i="8"/>
  <c r="C78" i="8"/>
  <c r="B78" i="8"/>
  <c r="F77" i="8"/>
  <c r="D77" i="8"/>
  <c r="C77" i="8"/>
  <c r="B77" i="8"/>
  <c r="F76" i="8"/>
  <c r="D76" i="8"/>
  <c r="C76" i="8"/>
  <c r="B76" i="8"/>
  <c r="F75" i="8"/>
  <c r="D75" i="8"/>
  <c r="C75" i="8"/>
  <c r="B75" i="8"/>
  <c r="F74" i="8"/>
  <c r="D74" i="8"/>
  <c r="C74" i="8"/>
  <c r="B74" i="8"/>
  <c r="F73" i="8"/>
  <c r="D73" i="8"/>
  <c r="C73" i="8"/>
  <c r="B73" i="8"/>
  <c r="F72" i="8"/>
  <c r="D72" i="8"/>
  <c r="C72" i="8"/>
  <c r="B72" i="8"/>
  <c r="F71" i="8"/>
  <c r="D71" i="8"/>
  <c r="C71" i="8"/>
  <c r="B71" i="8"/>
  <c r="F70" i="8"/>
  <c r="D70" i="8"/>
  <c r="C70" i="8"/>
  <c r="B70" i="8"/>
  <c r="F69" i="8"/>
  <c r="D69" i="8"/>
  <c r="C69" i="8"/>
  <c r="B69" i="8"/>
  <c r="F68" i="8"/>
  <c r="D68" i="8"/>
  <c r="C68" i="8"/>
  <c r="B68" i="8"/>
  <c r="F67" i="8"/>
  <c r="D67" i="8"/>
  <c r="C67" i="8"/>
  <c r="B67" i="8"/>
  <c r="F66" i="8"/>
  <c r="D66" i="8"/>
  <c r="C66" i="8"/>
  <c r="B66" i="8"/>
  <c r="F65" i="8"/>
  <c r="C65" i="8"/>
  <c r="B65" i="8"/>
  <c r="D51" i="8"/>
  <c r="C51" i="8"/>
  <c r="V40" i="8"/>
  <c r="S30" i="8"/>
  <c r="S32" i="8" s="1"/>
  <c r="J52" i="8" s="1"/>
  <c r="I52" i="8" s="1"/>
  <c r="F102" i="7"/>
  <c r="D102" i="7"/>
  <c r="C102" i="7"/>
  <c r="B102" i="7"/>
  <c r="F101" i="7"/>
  <c r="D101" i="7"/>
  <c r="C101" i="7"/>
  <c r="B101" i="7"/>
  <c r="F100" i="7"/>
  <c r="D100" i="7"/>
  <c r="C100" i="7"/>
  <c r="B100" i="7"/>
  <c r="F99" i="7"/>
  <c r="D99" i="7"/>
  <c r="C99" i="7"/>
  <c r="B99" i="7"/>
  <c r="F98" i="7"/>
  <c r="D98" i="7"/>
  <c r="C98" i="7"/>
  <c r="B98" i="7"/>
  <c r="F97" i="7"/>
  <c r="D97" i="7"/>
  <c r="C97" i="7"/>
  <c r="B97" i="7"/>
  <c r="F96" i="7"/>
  <c r="D96" i="7"/>
  <c r="C96" i="7"/>
  <c r="B96" i="7"/>
  <c r="F95" i="7"/>
  <c r="D95" i="7"/>
  <c r="C95" i="7"/>
  <c r="B95" i="7"/>
  <c r="F94" i="7"/>
  <c r="D94" i="7"/>
  <c r="C94" i="7"/>
  <c r="B94" i="7"/>
  <c r="F93" i="7"/>
  <c r="D93" i="7"/>
  <c r="C93" i="7"/>
  <c r="B93" i="7"/>
  <c r="F92" i="7"/>
  <c r="D92" i="7"/>
  <c r="C92" i="7"/>
  <c r="B92" i="7"/>
  <c r="F91" i="7"/>
  <c r="D91" i="7"/>
  <c r="C91" i="7"/>
  <c r="B91" i="7"/>
  <c r="F90" i="7"/>
  <c r="D90" i="7"/>
  <c r="C90" i="7"/>
  <c r="B90" i="7"/>
  <c r="F89" i="7"/>
  <c r="D89" i="7"/>
  <c r="C89" i="7"/>
  <c r="B89" i="7"/>
  <c r="F88" i="7"/>
  <c r="C88" i="7"/>
  <c r="B88" i="7"/>
  <c r="F79" i="7"/>
  <c r="D79" i="7"/>
  <c r="C79" i="7"/>
  <c r="B79" i="7"/>
  <c r="F78" i="7"/>
  <c r="D78" i="7"/>
  <c r="C78" i="7"/>
  <c r="B78" i="7"/>
  <c r="F77" i="7"/>
  <c r="D77" i="7"/>
  <c r="C77" i="7"/>
  <c r="B77" i="7"/>
  <c r="F76" i="7"/>
  <c r="D76" i="7"/>
  <c r="C76" i="7"/>
  <c r="B76" i="7"/>
  <c r="F75" i="7"/>
  <c r="D75" i="7"/>
  <c r="C75" i="7"/>
  <c r="B75" i="7"/>
  <c r="F74" i="7"/>
  <c r="D74" i="7"/>
  <c r="C74" i="7"/>
  <c r="B74" i="7"/>
  <c r="F73" i="7"/>
  <c r="D73" i="7"/>
  <c r="C73" i="7"/>
  <c r="B73" i="7"/>
  <c r="F72" i="7"/>
  <c r="D72" i="7"/>
  <c r="C72" i="7"/>
  <c r="B72" i="7"/>
  <c r="F71" i="7"/>
  <c r="D71" i="7"/>
  <c r="C71" i="7"/>
  <c r="B71" i="7"/>
  <c r="F70" i="7"/>
  <c r="D70" i="7"/>
  <c r="C70" i="7"/>
  <c r="B70" i="7"/>
  <c r="F69" i="7"/>
  <c r="D69" i="7"/>
  <c r="C69" i="7"/>
  <c r="B69" i="7"/>
  <c r="F68" i="7"/>
  <c r="D68" i="7"/>
  <c r="C68" i="7"/>
  <c r="B68" i="7"/>
  <c r="F67" i="7"/>
  <c r="D67" i="7"/>
  <c r="C67" i="7"/>
  <c r="B67" i="7"/>
  <c r="F66" i="7"/>
  <c r="D66" i="7"/>
  <c r="C66" i="7"/>
  <c r="B66" i="7"/>
  <c r="F65" i="7"/>
  <c r="C65" i="7"/>
  <c r="B65" i="7"/>
  <c r="V40" i="7"/>
  <c r="T30" i="7"/>
  <c r="S30" i="7"/>
  <c r="T29" i="7"/>
  <c r="T28" i="7"/>
  <c r="S28" i="7"/>
  <c r="D51" i="7"/>
  <c r="K1" i="7"/>
  <c r="F71" i="6"/>
  <c r="D71" i="6"/>
  <c r="C71" i="6"/>
  <c r="B71" i="6"/>
  <c r="D70" i="6"/>
  <c r="C70" i="6"/>
  <c r="B70" i="6"/>
  <c r="D69" i="6"/>
  <c r="C69" i="6"/>
  <c r="B69" i="6"/>
  <c r="D68" i="6"/>
  <c r="C68" i="6"/>
  <c r="B68" i="6"/>
  <c r="D67" i="6"/>
  <c r="C67" i="6"/>
  <c r="B67" i="6"/>
  <c r="F66" i="6"/>
  <c r="D66" i="6"/>
  <c r="C66" i="6"/>
  <c r="B66" i="6"/>
  <c r="F65" i="6"/>
  <c r="C65" i="6"/>
  <c r="B65" i="6"/>
  <c r="D51" i="6"/>
  <c r="R44" i="6" s="1"/>
  <c r="C51" i="6"/>
  <c r="V40" i="6"/>
  <c r="AO1" i="6"/>
  <c r="T32" i="6"/>
  <c r="F7" i="6"/>
  <c r="F80" i="6" s="1"/>
  <c r="F87" i="5"/>
  <c r="D87" i="5"/>
  <c r="C87" i="5"/>
  <c r="B87" i="5"/>
  <c r="F86" i="5"/>
  <c r="D86" i="5"/>
  <c r="C86" i="5"/>
  <c r="B86" i="5"/>
  <c r="F85" i="5"/>
  <c r="D85" i="5"/>
  <c r="C85" i="5"/>
  <c r="B85" i="5"/>
  <c r="F84" i="5"/>
  <c r="D84" i="5"/>
  <c r="C84" i="5"/>
  <c r="B84" i="5"/>
  <c r="F83" i="5"/>
  <c r="D83" i="5"/>
  <c r="C83" i="5"/>
  <c r="B83" i="5"/>
  <c r="F82" i="5"/>
  <c r="D82" i="5"/>
  <c r="C82" i="5"/>
  <c r="B82" i="5"/>
  <c r="F81" i="5"/>
  <c r="D81" i="5"/>
  <c r="C81" i="5"/>
  <c r="B81" i="5"/>
  <c r="F80" i="5"/>
  <c r="D80" i="5"/>
  <c r="C80" i="5"/>
  <c r="B80" i="5"/>
  <c r="F79" i="5"/>
  <c r="D79" i="5"/>
  <c r="C79" i="5"/>
  <c r="B79" i="5"/>
  <c r="F78" i="5"/>
  <c r="D78" i="5"/>
  <c r="C78" i="5"/>
  <c r="B78" i="5"/>
  <c r="F77" i="5"/>
  <c r="D77" i="5"/>
  <c r="C77" i="5"/>
  <c r="B77" i="5"/>
  <c r="F76" i="5"/>
  <c r="D76" i="5"/>
  <c r="C76" i="5"/>
  <c r="B76" i="5"/>
  <c r="F75" i="5"/>
  <c r="D75" i="5"/>
  <c r="C75" i="5"/>
  <c r="B75" i="5"/>
  <c r="F74" i="5"/>
  <c r="D74" i="5"/>
  <c r="C74" i="5"/>
  <c r="B74" i="5"/>
  <c r="F73" i="5"/>
  <c r="D73" i="5"/>
  <c r="C73" i="5"/>
  <c r="B73" i="5"/>
  <c r="F72" i="5"/>
  <c r="D72" i="5"/>
  <c r="C72" i="5"/>
  <c r="B72" i="5"/>
  <c r="F71" i="5"/>
  <c r="D71" i="5"/>
  <c r="C71" i="5"/>
  <c r="B71" i="5"/>
  <c r="F70" i="5"/>
  <c r="D70" i="5"/>
  <c r="C70" i="5"/>
  <c r="B70" i="5"/>
  <c r="F69" i="5"/>
  <c r="D69" i="5"/>
  <c r="C69" i="5"/>
  <c r="B69" i="5"/>
  <c r="F68" i="5"/>
  <c r="D68" i="5"/>
  <c r="C68" i="5"/>
  <c r="B68" i="5"/>
  <c r="F67" i="5"/>
  <c r="D67" i="5"/>
  <c r="C67" i="5"/>
  <c r="B67" i="5"/>
  <c r="F66" i="5"/>
  <c r="D66" i="5"/>
  <c r="C66" i="5"/>
  <c r="B66" i="5"/>
  <c r="F65" i="5"/>
  <c r="C65" i="5"/>
  <c r="B65" i="5"/>
  <c r="V40" i="5"/>
  <c r="T30" i="5"/>
  <c r="S30" i="5"/>
  <c r="D51" i="5"/>
  <c r="R44" i="5" s="1"/>
  <c r="C51" i="5"/>
  <c r="U29" i="5"/>
  <c r="U32" i="5" s="1"/>
  <c r="AD30" i="5" s="1"/>
  <c r="T28" i="5"/>
  <c r="S28" i="5"/>
  <c r="F122" i="4"/>
  <c r="C122" i="4"/>
  <c r="B122" i="4"/>
  <c r="F103" i="4"/>
  <c r="C103" i="4"/>
  <c r="B103" i="4"/>
  <c r="F83" i="4"/>
  <c r="C83" i="4"/>
  <c r="B83" i="4"/>
  <c r="F65" i="4"/>
  <c r="C65" i="4"/>
  <c r="B65" i="4"/>
  <c r="V44" i="4"/>
  <c r="U44" i="4"/>
  <c r="V40" i="4"/>
  <c r="J52" i="4"/>
  <c r="T31" i="4"/>
  <c r="U29" i="4"/>
  <c r="D51" i="4"/>
  <c r="AA28" i="4"/>
  <c r="F133" i="3"/>
  <c r="D133" i="3"/>
  <c r="C133" i="3"/>
  <c r="B133" i="3"/>
  <c r="F132" i="3"/>
  <c r="D132" i="3"/>
  <c r="C132" i="3"/>
  <c r="B132" i="3"/>
  <c r="F131" i="3"/>
  <c r="D131" i="3"/>
  <c r="C131" i="3"/>
  <c r="B131" i="3"/>
  <c r="F130" i="3"/>
  <c r="D130" i="3"/>
  <c r="C130" i="3"/>
  <c r="B130" i="3"/>
  <c r="F129" i="3"/>
  <c r="D129" i="3"/>
  <c r="C129" i="3"/>
  <c r="B129" i="3"/>
  <c r="F128" i="3"/>
  <c r="D128" i="3"/>
  <c r="C128" i="3"/>
  <c r="B128" i="3"/>
  <c r="F127" i="3"/>
  <c r="D127" i="3"/>
  <c r="C127" i="3"/>
  <c r="B127" i="3"/>
  <c r="F126" i="3"/>
  <c r="D126" i="3"/>
  <c r="C126" i="3"/>
  <c r="B126" i="3"/>
  <c r="F125" i="3"/>
  <c r="D125" i="3"/>
  <c r="C125" i="3"/>
  <c r="B125" i="3"/>
  <c r="F124" i="3"/>
  <c r="D124" i="3"/>
  <c r="C124" i="3"/>
  <c r="B124" i="3"/>
  <c r="F123" i="3"/>
  <c r="D123" i="3"/>
  <c r="C123" i="3"/>
  <c r="B123" i="3"/>
  <c r="F122" i="3"/>
  <c r="D122" i="3"/>
  <c r="C122" i="3"/>
  <c r="B122" i="3"/>
  <c r="F121" i="3"/>
  <c r="D121" i="3"/>
  <c r="C121" i="3"/>
  <c r="B121" i="3"/>
  <c r="F120" i="3"/>
  <c r="D120" i="3"/>
  <c r="C120" i="3"/>
  <c r="B120" i="3"/>
  <c r="F119" i="3"/>
  <c r="D119" i="3"/>
  <c r="C119" i="3"/>
  <c r="B119" i="3"/>
  <c r="F118" i="3"/>
  <c r="D118" i="3"/>
  <c r="C118" i="3"/>
  <c r="B118" i="3"/>
  <c r="F117" i="3"/>
  <c r="C117" i="3"/>
  <c r="B117" i="3"/>
  <c r="F105" i="3"/>
  <c r="D105" i="3"/>
  <c r="C105" i="3"/>
  <c r="B105" i="3"/>
  <c r="F104" i="3"/>
  <c r="D104" i="3"/>
  <c r="C104" i="3"/>
  <c r="B104" i="3"/>
  <c r="F103" i="3"/>
  <c r="D103" i="3"/>
  <c r="C103" i="3"/>
  <c r="B103" i="3"/>
  <c r="F102" i="3"/>
  <c r="D102" i="3"/>
  <c r="C102" i="3"/>
  <c r="B102" i="3"/>
  <c r="F101" i="3"/>
  <c r="D101" i="3"/>
  <c r="C101" i="3"/>
  <c r="B101" i="3"/>
  <c r="F100" i="3"/>
  <c r="D100" i="3"/>
  <c r="C100" i="3"/>
  <c r="B100" i="3"/>
  <c r="F99" i="3"/>
  <c r="D99" i="3"/>
  <c r="C99" i="3"/>
  <c r="B99" i="3"/>
  <c r="F98" i="3"/>
  <c r="D98" i="3"/>
  <c r="C98" i="3"/>
  <c r="B98" i="3"/>
  <c r="F97" i="3"/>
  <c r="D97" i="3"/>
  <c r="C97" i="3"/>
  <c r="B97" i="3"/>
  <c r="F96" i="3"/>
  <c r="D96" i="3"/>
  <c r="C96" i="3"/>
  <c r="B96" i="3"/>
  <c r="F95" i="3"/>
  <c r="D95" i="3"/>
  <c r="C95" i="3"/>
  <c r="B95" i="3"/>
  <c r="F94" i="3"/>
  <c r="D94" i="3"/>
  <c r="C94" i="3"/>
  <c r="B94" i="3"/>
  <c r="F93" i="3"/>
  <c r="D93" i="3"/>
  <c r="C93" i="3"/>
  <c r="B93" i="3"/>
  <c r="F92" i="3"/>
  <c r="D92" i="3"/>
  <c r="C92" i="3"/>
  <c r="B92" i="3"/>
  <c r="F91" i="3"/>
  <c r="D91" i="3"/>
  <c r="C91" i="3"/>
  <c r="B91" i="3"/>
  <c r="F90" i="3"/>
  <c r="D90" i="3"/>
  <c r="C90" i="3"/>
  <c r="B90" i="3"/>
  <c r="F89" i="3"/>
  <c r="C89" i="3"/>
  <c r="B89" i="3"/>
  <c r="F81" i="3"/>
  <c r="D81" i="3"/>
  <c r="C81" i="3"/>
  <c r="B81" i="3"/>
  <c r="F80" i="3"/>
  <c r="D80" i="3"/>
  <c r="C80" i="3"/>
  <c r="B80" i="3"/>
  <c r="F79" i="3"/>
  <c r="D79" i="3"/>
  <c r="C79" i="3"/>
  <c r="B79" i="3"/>
  <c r="F78" i="3"/>
  <c r="D78" i="3"/>
  <c r="C78" i="3"/>
  <c r="B78" i="3"/>
  <c r="F77" i="3"/>
  <c r="D77" i="3"/>
  <c r="C77" i="3"/>
  <c r="B77" i="3"/>
  <c r="F76" i="3"/>
  <c r="D76" i="3"/>
  <c r="C76" i="3"/>
  <c r="B76" i="3"/>
  <c r="F75" i="3"/>
  <c r="D75" i="3"/>
  <c r="C75" i="3"/>
  <c r="B75" i="3"/>
  <c r="F74" i="3"/>
  <c r="D74" i="3"/>
  <c r="C74" i="3"/>
  <c r="B74" i="3"/>
  <c r="F73" i="3"/>
  <c r="D73" i="3"/>
  <c r="C73" i="3"/>
  <c r="B73" i="3"/>
  <c r="F72" i="3"/>
  <c r="D72" i="3"/>
  <c r="C72" i="3"/>
  <c r="B72" i="3"/>
  <c r="F71" i="3"/>
  <c r="D71" i="3"/>
  <c r="C71" i="3"/>
  <c r="B71" i="3"/>
  <c r="F70" i="3"/>
  <c r="D70" i="3"/>
  <c r="C70" i="3"/>
  <c r="B70" i="3"/>
  <c r="F69" i="3"/>
  <c r="D69" i="3"/>
  <c r="C69" i="3"/>
  <c r="B69" i="3"/>
  <c r="F68" i="3"/>
  <c r="D68" i="3"/>
  <c r="C68" i="3"/>
  <c r="B68" i="3"/>
  <c r="F67" i="3"/>
  <c r="D67" i="3"/>
  <c r="C67" i="3"/>
  <c r="B67" i="3"/>
  <c r="F66" i="3"/>
  <c r="D66" i="3"/>
  <c r="C66" i="3"/>
  <c r="B66" i="3"/>
  <c r="F65" i="3"/>
  <c r="C65" i="3"/>
  <c r="B65" i="3"/>
  <c r="D51" i="3"/>
  <c r="U44" i="3" s="1"/>
  <c r="C51" i="3"/>
  <c r="V40" i="3"/>
  <c r="S30" i="3"/>
  <c r="U32" i="3"/>
  <c r="AE30" i="3" s="1"/>
  <c r="O52" i="2"/>
  <c r="K52" i="2"/>
  <c r="N52" i="2" s="1"/>
  <c r="K50" i="2"/>
  <c r="N50" i="2" s="1"/>
  <c r="O57" i="2"/>
  <c r="K57" i="2"/>
  <c r="N57" i="2" s="1"/>
  <c r="O59" i="2"/>
  <c r="K59" i="2"/>
  <c r="N59" i="2" s="1"/>
  <c r="L10" i="2"/>
  <c r="O10" i="2" s="1"/>
  <c r="K10" i="2"/>
  <c r="N10" i="2" s="1"/>
  <c r="L3" i="2"/>
  <c r="O3" i="2" s="1"/>
  <c r="K3" i="2"/>
  <c r="N3" i="2" s="1"/>
  <c r="L5" i="2"/>
  <c r="O5" i="2" s="1"/>
  <c r="K5" i="2"/>
  <c r="N5" i="2" s="1"/>
  <c r="L8" i="2"/>
  <c r="O8" i="2" s="1"/>
  <c r="K8" i="2"/>
  <c r="N8" i="2" s="1"/>
  <c r="L4" i="2"/>
  <c r="O4" i="2" s="1"/>
  <c r="K4" i="2"/>
  <c r="N4" i="2" s="1"/>
  <c r="L15" i="2"/>
  <c r="O15" i="2" s="1"/>
  <c r="K15" i="2"/>
  <c r="N15" i="2" s="1"/>
  <c r="L12" i="2"/>
  <c r="O12" i="2" s="1"/>
  <c r="K12" i="2"/>
  <c r="N12" i="2" s="1"/>
  <c r="L16" i="2"/>
  <c r="O16" i="2" s="1"/>
  <c r="K16" i="2"/>
  <c r="N16" i="2" s="1"/>
  <c r="L42" i="2"/>
  <c r="O42" i="2" s="1"/>
  <c r="K42" i="2"/>
  <c r="N42" i="2" s="1"/>
  <c r="L39" i="2"/>
  <c r="O39" i="2" s="1"/>
  <c r="K39" i="2"/>
  <c r="N39" i="2" s="1"/>
  <c r="L40" i="2"/>
  <c r="O40" i="2" s="1"/>
  <c r="K40" i="2"/>
  <c r="N40" i="2" s="1"/>
  <c r="L44" i="2"/>
  <c r="O44" i="2" s="1"/>
  <c r="K44" i="2"/>
  <c r="N44" i="2" s="1"/>
  <c r="L46" i="2"/>
  <c r="O46" i="2" s="1"/>
  <c r="K46" i="2"/>
  <c r="N46" i="2" s="1"/>
  <c r="L14" i="2"/>
  <c r="O14" i="2" s="1"/>
  <c r="K14" i="2"/>
  <c r="N14" i="2" s="1"/>
  <c r="L34" i="2"/>
  <c r="O34" i="2" s="1"/>
  <c r="K34" i="2"/>
  <c r="N34" i="2" s="1"/>
  <c r="L32" i="2"/>
  <c r="O32" i="2" s="1"/>
  <c r="K32" i="2"/>
  <c r="N32" i="2" s="1"/>
  <c r="L30" i="2"/>
  <c r="O30" i="2" s="1"/>
  <c r="K30" i="2"/>
  <c r="N30" i="2" s="1"/>
  <c r="L29" i="2"/>
  <c r="O29" i="2" s="1"/>
  <c r="K29" i="2"/>
  <c r="N29" i="2" s="1"/>
  <c r="L28" i="2"/>
  <c r="O28" i="2" s="1"/>
  <c r="K28" i="2"/>
  <c r="N28" i="2" s="1"/>
  <c r="L27" i="2"/>
  <c r="O27" i="2" s="1"/>
  <c r="K27" i="2"/>
  <c r="N27" i="2" s="1"/>
  <c r="L26" i="2"/>
  <c r="O26" i="2" s="1"/>
  <c r="K26" i="2"/>
  <c r="N26" i="2" s="1"/>
  <c r="L25" i="2"/>
  <c r="O25" i="2" s="1"/>
  <c r="K25" i="2"/>
  <c r="N25" i="2" s="1"/>
  <c r="L24" i="2"/>
  <c r="O24" i="2" s="1"/>
  <c r="K24" i="2"/>
  <c r="N24" i="2" s="1"/>
  <c r="L23" i="2"/>
  <c r="O23" i="2" s="1"/>
  <c r="K23" i="2"/>
  <c r="N23" i="2" s="1"/>
  <c r="L22" i="2"/>
  <c r="O22" i="2" s="1"/>
  <c r="K22" i="2"/>
  <c r="N22" i="2" s="1"/>
  <c r="L33" i="2"/>
  <c r="O33" i="2" s="1"/>
  <c r="K33" i="2"/>
  <c r="N33" i="2" s="1"/>
  <c r="L36" i="2"/>
  <c r="O36" i="2" s="1"/>
  <c r="K36" i="2"/>
  <c r="N36" i="2" s="1"/>
  <c r="L35" i="2"/>
  <c r="O35" i="2" s="1"/>
  <c r="K35" i="2"/>
  <c r="N35" i="2" s="1"/>
  <c r="L37" i="2"/>
  <c r="O37" i="2" s="1"/>
  <c r="K37" i="2"/>
  <c r="N37" i="2" s="1"/>
  <c r="L21" i="2"/>
  <c r="O21" i="2" s="1"/>
  <c r="K21" i="2"/>
  <c r="N21" i="2" s="1"/>
  <c r="L20" i="2"/>
  <c r="O20" i="2" s="1"/>
  <c r="K20" i="2"/>
  <c r="N20" i="2" s="1"/>
  <c r="L19" i="2"/>
  <c r="O19" i="2" s="1"/>
  <c r="K19" i="2"/>
  <c r="N19" i="2" s="1"/>
  <c r="L147" i="1"/>
  <c r="O147" i="1" s="1"/>
  <c r="K147" i="1"/>
  <c r="N147" i="1" s="1"/>
  <c r="L143" i="1"/>
  <c r="O143" i="1" s="1"/>
  <c r="N143" i="1"/>
  <c r="L144" i="1"/>
  <c r="O144" i="1" s="1"/>
  <c r="L146" i="1"/>
  <c r="O146" i="1" s="1"/>
  <c r="K146" i="1"/>
  <c r="N146" i="1" s="1"/>
  <c r="K142" i="1"/>
  <c r="N142" i="1" s="1"/>
  <c r="L142" i="1"/>
  <c r="O142" i="1" s="1"/>
  <c r="L64" i="1"/>
  <c r="O64" i="1" s="1"/>
  <c r="K64" i="1"/>
  <c r="N64" i="1" s="1"/>
  <c r="J64" i="1"/>
  <c r="J20" i="28" s="1"/>
  <c r="L66" i="1"/>
  <c r="O66" i="1" s="1"/>
  <c r="K66" i="1"/>
  <c r="N66" i="1" s="1"/>
  <c r="J66" i="1"/>
  <c r="L63" i="1"/>
  <c r="O63" i="1" s="1"/>
  <c r="K63" i="1"/>
  <c r="N63" i="1" s="1"/>
  <c r="J63" i="1"/>
  <c r="J16" i="33" s="1"/>
  <c r="L65" i="1"/>
  <c r="O65" i="1" s="1"/>
  <c r="K65" i="1"/>
  <c r="N65" i="1" s="1"/>
  <c r="L19" i="1"/>
  <c r="O19" i="1" s="1"/>
  <c r="K19" i="1"/>
  <c r="N19" i="1" s="1"/>
  <c r="L16" i="1"/>
  <c r="O16" i="1" s="1"/>
  <c r="K16" i="1"/>
  <c r="N16" i="1" s="1"/>
  <c r="J16" i="1"/>
  <c r="J7" i="6" s="1"/>
  <c r="L27" i="1"/>
  <c r="O27" i="1" s="1"/>
  <c r="K27" i="1"/>
  <c r="N27" i="1" s="1"/>
  <c r="L30" i="1"/>
  <c r="O30" i="1" s="1"/>
  <c r="K30" i="1"/>
  <c r="N30" i="1" s="1"/>
  <c r="L29" i="1"/>
  <c r="O29" i="1" s="1"/>
  <c r="K29" i="1"/>
  <c r="N29" i="1" s="1"/>
  <c r="L21" i="1"/>
  <c r="O21" i="1" s="1"/>
  <c r="K21" i="1"/>
  <c r="N21" i="1" s="1"/>
  <c r="L18" i="1"/>
  <c r="O18" i="1" s="1"/>
  <c r="K18" i="1"/>
  <c r="N18" i="1" s="1"/>
  <c r="L26" i="1"/>
  <c r="O26" i="1" s="1"/>
  <c r="K26" i="1"/>
  <c r="N26" i="1" s="1"/>
  <c r="L25" i="1"/>
  <c r="O25" i="1" s="1"/>
  <c r="K25" i="1"/>
  <c r="N25" i="1" s="1"/>
  <c r="L22" i="1"/>
  <c r="O22" i="1" s="1"/>
  <c r="K22" i="1"/>
  <c r="N22" i="1" s="1"/>
  <c r="L24" i="1"/>
  <c r="O24" i="1" s="1"/>
  <c r="K24" i="1"/>
  <c r="N24" i="1" s="1"/>
  <c r="L20" i="1"/>
  <c r="O20" i="1" s="1"/>
  <c r="K20" i="1"/>
  <c r="N20" i="1" s="1"/>
  <c r="L23" i="1"/>
  <c r="O23" i="1" s="1"/>
  <c r="K23" i="1"/>
  <c r="N23" i="1" s="1"/>
  <c r="L17" i="1"/>
  <c r="O17" i="1" s="1"/>
  <c r="K17" i="1"/>
  <c r="N17" i="1" s="1"/>
  <c r="O94" i="1"/>
  <c r="K94" i="1"/>
  <c r="N94" i="1" s="1"/>
  <c r="L95" i="1"/>
  <c r="O95" i="1" s="1"/>
  <c r="K95" i="1"/>
  <c r="N95" i="1" s="1"/>
  <c r="L86" i="1"/>
  <c r="O86" i="1" s="1"/>
  <c r="K86" i="1"/>
  <c r="N86" i="1" s="1"/>
  <c r="L85" i="1"/>
  <c r="O85" i="1" s="1"/>
  <c r="K85" i="1"/>
  <c r="N85" i="1" s="1"/>
  <c r="J85" i="1"/>
  <c r="J17" i="72" s="1"/>
  <c r="L87" i="1"/>
  <c r="O87" i="1" s="1"/>
  <c r="K87" i="1"/>
  <c r="N87" i="1" s="1"/>
  <c r="L78" i="1"/>
  <c r="O78" i="1" s="1"/>
  <c r="K78" i="1"/>
  <c r="N78" i="1" s="1"/>
  <c r="L77" i="1"/>
  <c r="O77" i="1" s="1"/>
  <c r="K77" i="1"/>
  <c r="N77" i="1" s="1"/>
  <c r="L5" i="1"/>
  <c r="O5" i="1" s="1"/>
  <c r="K5" i="1"/>
  <c r="N5" i="1" s="1"/>
  <c r="L12" i="1"/>
  <c r="O12" i="1" s="1"/>
  <c r="K12" i="1"/>
  <c r="N12" i="1" s="1"/>
  <c r="L10" i="1"/>
  <c r="O10" i="1" s="1"/>
  <c r="K10" i="1"/>
  <c r="N10" i="1" s="1"/>
  <c r="L8" i="1"/>
  <c r="O8" i="1" s="1"/>
  <c r="K8" i="1"/>
  <c r="N8" i="1" s="1"/>
  <c r="L6" i="1"/>
  <c r="O6" i="1" s="1"/>
  <c r="K6" i="1"/>
  <c r="N6" i="1" s="1"/>
  <c r="L14" i="1"/>
  <c r="O14" i="1" s="1"/>
  <c r="K14" i="1"/>
  <c r="N14" i="1" s="1"/>
  <c r="L9" i="1"/>
  <c r="O9" i="1" s="1"/>
  <c r="K9" i="1"/>
  <c r="N9" i="1" s="1"/>
  <c r="L7" i="1"/>
  <c r="O7" i="1" s="1"/>
  <c r="K7" i="1"/>
  <c r="N7" i="1" s="1"/>
  <c r="O3" i="1"/>
  <c r="K3" i="1"/>
  <c r="N3" i="1" s="1"/>
  <c r="L49" i="1"/>
  <c r="O49" i="1" s="1"/>
  <c r="K49" i="1"/>
  <c r="N49" i="1" s="1"/>
  <c r="L35" i="1"/>
  <c r="O35" i="1" s="1"/>
  <c r="K35" i="1"/>
  <c r="N35" i="1" s="1"/>
  <c r="L55" i="1"/>
  <c r="O55" i="1" s="1"/>
  <c r="K55" i="1"/>
  <c r="N55" i="1" s="1"/>
  <c r="L50" i="1"/>
  <c r="O50" i="1" s="1"/>
  <c r="K50" i="1"/>
  <c r="N50" i="1" s="1"/>
  <c r="L54" i="1"/>
  <c r="O54" i="1" s="1"/>
  <c r="K54" i="1"/>
  <c r="N54" i="1" s="1"/>
  <c r="J54" i="1"/>
  <c r="L51" i="1"/>
  <c r="O51" i="1" s="1"/>
  <c r="K51" i="1"/>
  <c r="N51" i="1" s="1"/>
  <c r="L36" i="1"/>
  <c r="O36" i="1" s="1"/>
  <c r="K36" i="1"/>
  <c r="N36" i="1" s="1"/>
  <c r="J36" i="1"/>
  <c r="J12" i="47" s="1"/>
  <c r="L53" i="1"/>
  <c r="O53" i="1" s="1"/>
  <c r="K53" i="1"/>
  <c r="N53" i="1" s="1"/>
  <c r="L48" i="1"/>
  <c r="O48" i="1" s="1"/>
  <c r="K48" i="1"/>
  <c r="N48" i="1" s="1"/>
  <c r="L59" i="1"/>
  <c r="O59" i="1" s="1"/>
  <c r="K59" i="1"/>
  <c r="N59" i="1" s="1"/>
  <c r="J59" i="1"/>
  <c r="L39" i="1"/>
  <c r="O39" i="1" s="1"/>
  <c r="K39" i="1"/>
  <c r="N39" i="1" s="1"/>
  <c r="L40" i="1"/>
  <c r="O40" i="1" s="1"/>
  <c r="K40" i="1"/>
  <c r="N40" i="1" s="1"/>
  <c r="L43" i="1"/>
  <c r="O43" i="1" s="1"/>
  <c r="K43" i="1"/>
  <c r="N43" i="1" s="1"/>
  <c r="L41" i="1"/>
  <c r="O41" i="1" s="1"/>
  <c r="K41" i="1"/>
  <c r="N41" i="1" s="1"/>
  <c r="L42" i="1"/>
  <c r="O42" i="1" s="1"/>
  <c r="K42" i="1"/>
  <c r="N42" i="1" s="1"/>
  <c r="L60" i="1"/>
  <c r="O60" i="1" s="1"/>
  <c r="K60" i="1"/>
  <c r="N60" i="1" s="1"/>
  <c r="L52" i="1"/>
  <c r="O52" i="1" s="1"/>
  <c r="K52" i="1"/>
  <c r="N52" i="1" s="1"/>
  <c r="L57" i="1"/>
  <c r="O57" i="1" s="1"/>
  <c r="K57" i="1"/>
  <c r="N57" i="1" s="1"/>
  <c r="L56" i="1"/>
  <c r="O56" i="1" s="1"/>
  <c r="K56" i="1"/>
  <c r="N56" i="1" s="1"/>
  <c r="L47" i="1"/>
  <c r="O47" i="1" s="1"/>
  <c r="K47" i="1"/>
  <c r="N47" i="1" s="1"/>
  <c r="L44" i="1"/>
  <c r="O44" i="1" s="1"/>
  <c r="K44" i="1"/>
  <c r="N44" i="1" s="1"/>
  <c r="L45" i="1"/>
  <c r="O45" i="1" s="1"/>
  <c r="K45" i="1"/>
  <c r="N45" i="1" s="1"/>
  <c r="L46" i="1"/>
  <c r="O46" i="1" s="1"/>
  <c r="K46" i="1"/>
  <c r="N46" i="1" s="1"/>
  <c r="L61" i="1"/>
  <c r="O61" i="1" s="1"/>
  <c r="K61" i="1"/>
  <c r="N61" i="1" s="1"/>
  <c r="L37" i="1"/>
  <c r="O37" i="1" s="1"/>
  <c r="K37" i="1"/>
  <c r="N37" i="1" s="1"/>
  <c r="L38" i="1"/>
  <c r="O38" i="1" s="1"/>
  <c r="K38" i="1"/>
  <c r="N38" i="1" s="1"/>
  <c r="L58" i="1"/>
  <c r="O58" i="1" s="1"/>
  <c r="K58" i="1"/>
  <c r="N58" i="1" s="1"/>
  <c r="L97" i="1"/>
  <c r="O97" i="1" s="1"/>
  <c r="K97" i="1"/>
  <c r="N97" i="1" s="1"/>
  <c r="J97" i="1"/>
  <c r="L98" i="1"/>
  <c r="O98" i="1" s="1"/>
  <c r="K98" i="1"/>
  <c r="N98" i="1" s="1"/>
  <c r="J98" i="1"/>
  <c r="L99" i="1"/>
  <c r="O99" i="1" s="1"/>
  <c r="K99" i="1"/>
  <c r="N99" i="1" s="1"/>
  <c r="L100" i="1"/>
  <c r="O100" i="1" s="1"/>
  <c r="K100" i="1"/>
  <c r="N100" i="1" s="1"/>
  <c r="K101" i="1"/>
  <c r="N101" i="1" s="1"/>
  <c r="O137" i="1"/>
  <c r="K137" i="1"/>
  <c r="N137" i="1" s="1"/>
  <c r="J137" i="1"/>
  <c r="O115" i="1"/>
  <c r="K115" i="1"/>
  <c r="N115" i="1" s="1"/>
  <c r="O120" i="1"/>
  <c r="K120" i="1"/>
  <c r="N120" i="1" s="1"/>
  <c r="O116" i="1"/>
  <c r="K116" i="1"/>
  <c r="N116" i="1" s="1"/>
  <c r="O130" i="1"/>
  <c r="K130" i="1"/>
  <c r="N130" i="1" s="1"/>
  <c r="O113" i="1"/>
  <c r="K113" i="1"/>
  <c r="N113" i="1" s="1"/>
  <c r="O128" i="1"/>
  <c r="K128" i="1"/>
  <c r="N128" i="1" s="1"/>
  <c r="J128" i="1"/>
  <c r="J10" i="72" s="1"/>
  <c r="O129" i="1"/>
  <c r="K129" i="1"/>
  <c r="N129" i="1" s="1"/>
  <c r="J129" i="1"/>
  <c r="J9" i="72" s="1"/>
  <c r="O122" i="1"/>
  <c r="K122" i="1"/>
  <c r="N122" i="1" s="1"/>
  <c r="O112" i="1"/>
  <c r="K112" i="1"/>
  <c r="N112" i="1" s="1"/>
  <c r="O133" i="1"/>
  <c r="K133" i="1"/>
  <c r="N133" i="1" s="1"/>
  <c r="O140" i="1"/>
  <c r="K140" i="1"/>
  <c r="N140" i="1" s="1"/>
  <c r="O121" i="1"/>
  <c r="K121" i="1"/>
  <c r="N121" i="1" s="1"/>
  <c r="O126" i="1"/>
  <c r="K126" i="1"/>
  <c r="N126" i="1" s="1"/>
  <c r="O118" i="1"/>
  <c r="K118" i="1"/>
  <c r="N118" i="1" s="1"/>
  <c r="O131" i="1"/>
  <c r="K131" i="1"/>
  <c r="N131" i="1" s="1"/>
  <c r="O125" i="1"/>
  <c r="K125" i="1"/>
  <c r="N125" i="1" s="1"/>
  <c r="O124" i="1"/>
  <c r="K124" i="1"/>
  <c r="N124" i="1" s="1"/>
  <c r="O139" i="1"/>
  <c r="K139" i="1"/>
  <c r="N139" i="1" s="1"/>
  <c r="O135" i="1"/>
  <c r="K135" i="1"/>
  <c r="N135" i="1" s="1"/>
  <c r="K117" i="1"/>
  <c r="N117" i="1" s="1"/>
  <c r="K134" i="1"/>
  <c r="N134" i="1" s="1"/>
  <c r="K111" i="1"/>
  <c r="N111" i="1" s="1"/>
  <c r="K132" i="1"/>
  <c r="N132" i="1" s="1"/>
  <c r="S30" i="75"/>
  <c r="J53" i="75" s="1"/>
  <c r="I53" i="75" s="1"/>
  <c r="AF28" i="72"/>
  <c r="E1" i="68"/>
  <c r="N1" i="52"/>
  <c r="J52" i="50"/>
  <c r="AD28" i="46"/>
  <c r="AA29" i="46" s="1"/>
  <c r="V44" i="46"/>
  <c r="U44" i="46"/>
  <c r="AD28" i="32"/>
  <c r="AD29" i="32" s="1"/>
  <c r="U44" i="30"/>
  <c r="V44" i="30"/>
  <c r="U44" i="29"/>
  <c r="V44" i="29"/>
  <c r="V44" i="28"/>
  <c r="U44" i="28"/>
  <c r="J52" i="27"/>
  <c r="J53" i="27" s="1"/>
  <c r="B81" i="27" s="1"/>
  <c r="C53" i="22"/>
  <c r="U44" i="21"/>
  <c r="W44" i="21" s="1"/>
  <c r="J51" i="21" s="1"/>
  <c r="I51" i="21" s="1"/>
  <c r="V44" i="21"/>
  <c r="AE28" i="21"/>
  <c r="AE28" i="20"/>
  <c r="U44" i="20"/>
  <c r="W44" i="20" s="1"/>
  <c r="V44" i="20"/>
  <c r="AC28" i="18"/>
  <c r="AE28" i="18" s="1"/>
  <c r="AB29" i="18" s="1"/>
  <c r="I52" i="16"/>
  <c r="AC28" i="15"/>
  <c r="AF28" i="15" s="1"/>
  <c r="AB29" i="15" s="1"/>
  <c r="AF28" i="9"/>
  <c r="AF29" i="9" s="1"/>
  <c r="U31" i="9"/>
  <c r="U44" i="9"/>
  <c r="V44" i="9"/>
  <c r="AC28" i="6"/>
  <c r="AF28" i="6"/>
  <c r="F67" i="6"/>
  <c r="AM12" i="53"/>
  <c r="AO12" i="53" s="1"/>
  <c r="AP12" i="53" s="1"/>
  <c r="AS12" i="53" s="1"/>
  <c r="AT12" i="53" s="1"/>
  <c r="AM11" i="53"/>
  <c r="AO11" i="53" s="1"/>
  <c r="AP11" i="53" s="1"/>
  <c r="AS11" i="53" s="1"/>
  <c r="AT11" i="53" s="1"/>
  <c r="AM10" i="53"/>
  <c r="AM9" i="53"/>
  <c r="AO9" i="53" s="1"/>
  <c r="AP9" i="53" s="1"/>
  <c r="AS9" i="53" s="1"/>
  <c r="AT9" i="53" s="1"/>
  <c r="AM5" i="53"/>
  <c r="AO5" i="53" s="1"/>
  <c r="AP5" i="53" s="1"/>
  <c r="AM8" i="53"/>
  <c r="AO8" i="53" s="1"/>
  <c r="AP8" i="53" s="1"/>
  <c r="AS8" i="53" s="1"/>
  <c r="AT8" i="53" s="1"/>
  <c r="AM6" i="53"/>
  <c r="AM7" i="53"/>
  <c r="AO7" i="53" s="1"/>
  <c r="AP7" i="53" s="1"/>
  <c r="AS7" i="53" s="1"/>
  <c r="AT7" i="53" s="1"/>
  <c r="E1" i="50"/>
  <c r="H53" i="75" l="1"/>
  <c r="E5" i="75" s="1"/>
  <c r="U44" i="53"/>
  <c r="W44" i="53" s="1"/>
  <c r="J51" i="53" s="1"/>
  <c r="I51" i="53" s="1"/>
  <c r="V44" i="53"/>
  <c r="T32" i="48"/>
  <c r="S32" i="28"/>
  <c r="T33" i="86"/>
  <c r="AC25" i="86" s="1"/>
  <c r="S33" i="86"/>
  <c r="C54" i="86"/>
  <c r="D53" i="86"/>
  <c r="G1" i="85"/>
  <c r="C52" i="85" s="1"/>
  <c r="D52" i="85"/>
  <c r="J15" i="92"/>
  <c r="L15" i="92" s="1"/>
  <c r="J15" i="4"/>
  <c r="T32" i="47"/>
  <c r="T32" i="46"/>
  <c r="E1" i="46" s="1"/>
  <c r="T32" i="5"/>
  <c r="E1" i="5" s="1"/>
  <c r="S32" i="69"/>
  <c r="U32" i="69" s="1"/>
  <c r="AE30" i="69" s="1"/>
  <c r="S32" i="43"/>
  <c r="T32" i="41"/>
  <c r="E1" i="41" s="1"/>
  <c r="T32" i="25"/>
  <c r="E1" i="25" s="1"/>
  <c r="T32" i="21"/>
  <c r="E1" i="21" s="1"/>
  <c r="S32" i="21"/>
  <c r="AO1" i="21" s="1"/>
  <c r="AM8" i="21" s="1"/>
  <c r="AO8" i="21" s="1"/>
  <c r="AP8" i="21" s="1"/>
  <c r="AS8" i="21" s="1"/>
  <c r="AT8" i="21" s="1"/>
  <c r="S32" i="17"/>
  <c r="T32" i="61"/>
  <c r="E1" i="61" s="1"/>
  <c r="S32" i="3"/>
  <c r="AM1" i="3" s="1"/>
  <c r="AO1" i="3" s="1"/>
  <c r="S32" i="25"/>
  <c r="T32" i="72"/>
  <c r="AE29" i="20"/>
  <c r="AC29" i="20"/>
  <c r="U44" i="8"/>
  <c r="W44" i="8" s="1"/>
  <c r="J51" i="8" s="1"/>
  <c r="I51" i="8" s="1"/>
  <c r="V44" i="8"/>
  <c r="V44" i="57"/>
  <c r="U44" i="57"/>
  <c r="W44" i="57" s="1"/>
  <c r="J51" i="57" s="1"/>
  <c r="I51" i="57" s="1"/>
  <c r="V44" i="43"/>
  <c r="U44" i="43"/>
  <c r="U44" i="6"/>
  <c r="V44" i="6"/>
  <c r="U44" i="18"/>
  <c r="W44" i="18" s="1"/>
  <c r="J51" i="18" s="1"/>
  <c r="V44" i="18"/>
  <c r="H51" i="20"/>
  <c r="D65" i="20"/>
  <c r="D108" i="20"/>
  <c r="D87" i="20"/>
  <c r="V44" i="32"/>
  <c r="U44" i="32"/>
  <c r="W44" i="32" s="1"/>
  <c r="J51" i="32" s="1"/>
  <c r="I51" i="32" s="1"/>
  <c r="D5" i="32" s="1"/>
  <c r="T32" i="62"/>
  <c r="E1" i="62" s="1"/>
  <c r="S32" i="70"/>
  <c r="F8" i="6"/>
  <c r="T30" i="38"/>
  <c r="T32" i="70"/>
  <c r="T32" i="26"/>
  <c r="E1" i="26" s="1"/>
  <c r="D6" i="52"/>
  <c r="W52" i="52"/>
  <c r="T30" i="40"/>
  <c r="E1" i="59"/>
  <c r="T32" i="44"/>
  <c r="E1" i="44" s="1"/>
  <c r="T30" i="55"/>
  <c r="S32" i="5"/>
  <c r="J52" i="5" s="1"/>
  <c r="I52" i="5" s="1"/>
  <c r="E66" i="84"/>
  <c r="G66" i="84" s="1"/>
  <c r="H66" i="84" s="1"/>
  <c r="E65" i="84"/>
  <c r="G65" i="84" s="1"/>
  <c r="H65" i="84" s="1"/>
  <c r="E68" i="84"/>
  <c r="G68" i="84" s="1"/>
  <c r="H68" i="84" s="1"/>
  <c r="E67" i="84"/>
  <c r="G67" i="84" s="1"/>
  <c r="H67" i="84" s="1"/>
  <c r="S32" i="57"/>
  <c r="U32" i="57" s="1"/>
  <c r="AE30" i="57" s="1"/>
  <c r="S32" i="20"/>
  <c r="U44" i="60"/>
  <c r="W44" i="60" s="1"/>
  <c r="V44" i="60"/>
  <c r="T30" i="24"/>
  <c r="S32" i="48"/>
  <c r="E1" i="49"/>
  <c r="S32" i="72"/>
  <c r="T32" i="71"/>
  <c r="E1" i="71" s="1"/>
  <c r="S32" i="41"/>
  <c r="S32" i="62"/>
  <c r="J52" i="62" s="1"/>
  <c r="AB29" i="6"/>
  <c r="AD29" i="6"/>
  <c r="U44" i="37"/>
  <c r="W44" i="37" s="1"/>
  <c r="J51" i="37" s="1"/>
  <c r="I51" i="37" s="1"/>
  <c r="V44" i="37"/>
  <c r="AC28" i="77"/>
  <c r="T32" i="7"/>
  <c r="E1" i="7" s="1"/>
  <c r="G1" i="7" s="1"/>
  <c r="I1" i="7" s="1"/>
  <c r="V44" i="15"/>
  <c r="V44" i="3"/>
  <c r="AC28" i="35"/>
  <c r="AC28" i="34"/>
  <c r="J15" i="74"/>
  <c r="J24" i="75"/>
  <c r="J37" i="88"/>
  <c r="L37" i="88" s="1"/>
  <c r="U33" i="88" s="1"/>
  <c r="AB30" i="88" s="1"/>
  <c r="J37" i="66"/>
  <c r="L37" i="66" s="1"/>
  <c r="U33" i="66" s="1"/>
  <c r="J38" i="4"/>
  <c r="L38" i="4" s="1"/>
  <c r="V35" i="4" s="1"/>
  <c r="AD30" i="4" s="1"/>
  <c r="J24" i="33"/>
  <c r="J16" i="92"/>
  <c r="L16" i="92" s="1"/>
  <c r="S32" i="71"/>
  <c r="T32" i="29"/>
  <c r="S32" i="7"/>
  <c r="T30" i="51"/>
  <c r="AB30" i="51" s="1"/>
  <c r="S32" i="47"/>
  <c r="S32" i="46"/>
  <c r="J52" i="46" s="1"/>
  <c r="S32" i="18"/>
  <c r="AM1" i="18" s="1"/>
  <c r="AB29" i="32"/>
  <c r="AA29" i="32"/>
  <c r="AE29" i="21"/>
  <c r="AB29" i="21"/>
  <c r="AC29" i="21"/>
  <c r="AB29" i="20"/>
  <c r="AA29" i="20"/>
  <c r="AC29" i="18"/>
  <c r="AE29" i="18"/>
  <c r="T32" i="17"/>
  <c r="E1" i="17" s="1"/>
  <c r="AC29" i="15"/>
  <c r="AF29" i="15"/>
  <c r="AB29" i="9"/>
  <c r="AC29" i="6"/>
  <c r="AF29" i="6"/>
  <c r="S32" i="61"/>
  <c r="AA30" i="61" s="1"/>
  <c r="T32" i="58"/>
  <c r="S32" i="44"/>
  <c r="J52" i="44" s="1"/>
  <c r="S32" i="26"/>
  <c r="AM1" i="26" s="1"/>
  <c r="T32" i="15"/>
  <c r="E1" i="15" s="1"/>
  <c r="D52" i="15" s="1"/>
  <c r="S32" i="15"/>
  <c r="AO1" i="15" s="1"/>
  <c r="T30" i="10"/>
  <c r="AB30" i="10" s="1"/>
  <c r="AF28" i="30"/>
  <c r="AC29" i="30" s="1"/>
  <c r="AC28" i="28"/>
  <c r="AF28" i="60"/>
  <c r="AB29" i="60" s="1"/>
  <c r="V44" i="5"/>
  <c r="U44" i="5"/>
  <c r="W44" i="5" s="1"/>
  <c r="J51" i="5" s="1"/>
  <c r="I51" i="5" s="1"/>
  <c r="AE28" i="5"/>
  <c r="AA29" i="5" s="1"/>
  <c r="J11" i="4"/>
  <c r="J15" i="88"/>
  <c r="L15" i="88" s="1"/>
  <c r="S33" i="88" s="1"/>
  <c r="J9" i="71"/>
  <c r="J18" i="15"/>
  <c r="J15" i="3"/>
  <c r="J17" i="87"/>
  <c r="J10" i="19"/>
  <c r="J16" i="74"/>
  <c r="J18" i="7"/>
  <c r="J9" i="16"/>
  <c r="J11" i="27"/>
  <c r="J17" i="20"/>
  <c r="J11" i="23"/>
  <c r="J11" i="26"/>
  <c r="J10" i="29"/>
  <c r="J10" i="30"/>
  <c r="J15" i="31"/>
  <c r="J15" i="32"/>
  <c r="J15" i="33"/>
  <c r="J15" i="44"/>
  <c r="J9" i="42"/>
  <c r="J17" i="43"/>
  <c r="J15" i="45"/>
  <c r="J10" i="46"/>
  <c r="J14" i="48"/>
  <c r="J15" i="49"/>
  <c r="J8" i="51"/>
  <c r="J14" i="62"/>
  <c r="J14" i="59"/>
  <c r="J17" i="60"/>
  <c r="J10" i="64"/>
  <c r="J21" i="69"/>
  <c r="J13" i="70"/>
  <c r="J25" i="5"/>
  <c r="J22" i="33"/>
  <c r="J26" i="17"/>
  <c r="J15" i="29"/>
  <c r="J20" i="58"/>
  <c r="J16" i="87"/>
  <c r="J23" i="33"/>
  <c r="J8" i="12"/>
  <c r="T32" i="73"/>
  <c r="S32" i="37"/>
  <c r="T30" i="77"/>
  <c r="T30" i="66"/>
  <c r="T30" i="34"/>
  <c r="AB30" i="34" s="1"/>
  <c r="T30" i="23"/>
  <c r="AB30" i="23" s="1"/>
  <c r="T32" i="18"/>
  <c r="E1" i="18" s="1"/>
  <c r="C53" i="84"/>
  <c r="T34" i="22"/>
  <c r="U32" i="22"/>
  <c r="E69" i="22"/>
  <c r="D53" i="22"/>
  <c r="G69" i="22" s="1"/>
  <c r="E126" i="88"/>
  <c r="G126" i="88" s="1"/>
  <c r="H126" i="88" s="1"/>
  <c r="E120" i="88"/>
  <c r="G120" i="88" s="1"/>
  <c r="H120" i="88" s="1"/>
  <c r="E119" i="88"/>
  <c r="G119" i="88" s="1"/>
  <c r="H119" i="88" s="1"/>
  <c r="E118" i="88"/>
  <c r="G118" i="88" s="1"/>
  <c r="H118" i="88" s="1"/>
  <c r="E123" i="88"/>
  <c r="G123" i="88" s="1"/>
  <c r="H123" i="88" s="1"/>
  <c r="E128" i="88"/>
  <c r="G128" i="88" s="1"/>
  <c r="H128" i="88" s="1"/>
  <c r="E127" i="88"/>
  <c r="G127" i="88" s="1"/>
  <c r="H127" i="88" s="1"/>
  <c r="E125" i="88"/>
  <c r="G125" i="88" s="1"/>
  <c r="H125" i="88" s="1"/>
  <c r="E124" i="88"/>
  <c r="G124" i="88" s="1"/>
  <c r="H124" i="88" s="1"/>
  <c r="E122" i="88"/>
  <c r="G122" i="88" s="1"/>
  <c r="H122" i="88" s="1"/>
  <c r="E121" i="88"/>
  <c r="G121" i="88" s="1"/>
  <c r="H121" i="88" s="1"/>
  <c r="H57" i="88"/>
  <c r="W44" i="66"/>
  <c r="J51" i="66" s="1"/>
  <c r="I51" i="66" s="1"/>
  <c r="D5" i="66" s="1"/>
  <c r="C51" i="67"/>
  <c r="R44" i="62"/>
  <c r="V54" i="52"/>
  <c r="D8" i="52" s="1"/>
  <c r="L1" i="52"/>
  <c r="J1" i="52"/>
  <c r="W44" i="46"/>
  <c r="J51" i="46" s="1"/>
  <c r="W44" i="43"/>
  <c r="J51" i="43" s="1"/>
  <c r="I51" i="43" s="1"/>
  <c r="W44" i="30"/>
  <c r="J51" i="30" s="1"/>
  <c r="I51" i="30" s="1"/>
  <c r="D5" i="30" s="1"/>
  <c r="W44" i="29"/>
  <c r="J51" i="29" s="1"/>
  <c r="I51" i="29" s="1"/>
  <c r="W44" i="28"/>
  <c r="J51" i="28" s="1"/>
  <c r="R44" i="26"/>
  <c r="U44" i="26" s="1"/>
  <c r="W44" i="26" s="1"/>
  <c r="J51" i="26" s="1"/>
  <c r="AE28" i="26"/>
  <c r="AE29" i="26" s="1"/>
  <c r="AE28" i="22"/>
  <c r="D65" i="22"/>
  <c r="V44" i="22"/>
  <c r="U44" i="22"/>
  <c r="W44" i="22" s="1"/>
  <c r="J51" i="22" s="1"/>
  <c r="I51" i="22" s="1"/>
  <c r="H51" i="22" s="1"/>
  <c r="D5" i="21"/>
  <c r="D65" i="21" s="1"/>
  <c r="I51" i="18"/>
  <c r="V44" i="17"/>
  <c r="U44" i="17"/>
  <c r="W44" i="17" s="1"/>
  <c r="J51" i="17" s="1"/>
  <c r="I51" i="17" s="1"/>
  <c r="W44" i="4"/>
  <c r="J51" i="4" s="1"/>
  <c r="I51" i="4" s="1"/>
  <c r="I51" i="15"/>
  <c r="D5" i="15" s="1"/>
  <c r="U31" i="11"/>
  <c r="U44" i="11"/>
  <c r="V44" i="11"/>
  <c r="AC28" i="11"/>
  <c r="W44" i="9"/>
  <c r="J51" i="9" s="1"/>
  <c r="I51" i="9" s="1"/>
  <c r="D5" i="9" s="1"/>
  <c r="W44" i="6"/>
  <c r="J51" i="6" s="1"/>
  <c r="I51" i="6" s="1"/>
  <c r="D5" i="6" s="1"/>
  <c r="W44" i="3"/>
  <c r="U31" i="4"/>
  <c r="AB28" i="4"/>
  <c r="AE28" i="4" s="1"/>
  <c r="AA29" i="4" s="1"/>
  <c r="R44" i="25"/>
  <c r="Q16" i="25"/>
  <c r="P16" i="25"/>
  <c r="T14" i="25"/>
  <c r="AE29" i="25"/>
  <c r="AB29" i="25"/>
  <c r="D66" i="16"/>
  <c r="D86" i="16"/>
  <c r="D129" i="16"/>
  <c r="G129" i="16" s="1"/>
  <c r="H129" i="16" s="1"/>
  <c r="D108" i="16"/>
  <c r="H52" i="16"/>
  <c r="E9" i="75"/>
  <c r="O138" i="1"/>
  <c r="N138" i="1"/>
  <c r="AF29" i="72"/>
  <c r="AB29" i="72"/>
  <c r="AD29" i="72"/>
  <c r="AC29" i="72"/>
  <c r="D1" i="77"/>
  <c r="G5" i="77" s="1"/>
  <c r="I1" i="83"/>
  <c r="E8" i="83" s="1"/>
  <c r="G8" i="83" s="1"/>
  <c r="H8" i="83" s="1"/>
  <c r="K8" i="83" s="1"/>
  <c r="L8" i="83" s="1"/>
  <c r="T34" i="20"/>
  <c r="E1" i="4"/>
  <c r="G1" i="4" s="1"/>
  <c r="C52" i="83"/>
  <c r="J52" i="77"/>
  <c r="I52" i="77" s="1"/>
  <c r="E1" i="57"/>
  <c r="G1" i="82"/>
  <c r="D52" i="82"/>
  <c r="B70" i="82" s="1"/>
  <c r="E1" i="28"/>
  <c r="D52" i="28" s="1"/>
  <c r="J52" i="34"/>
  <c r="J53" i="34" s="1"/>
  <c r="B72" i="34" s="1"/>
  <c r="H72" i="34" s="1"/>
  <c r="AO1" i="29"/>
  <c r="AM6" i="29" s="1"/>
  <c r="AO6" i="29" s="1"/>
  <c r="AP6" i="29" s="1"/>
  <c r="AS6" i="29" s="1"/>
  <c r="AT6" i="29" s="1"/>
  <c r="J52" i="33"/>
  <c r="I52" i="33" s="1"/>
  <c r="E1" i="20"/>
  <c r="G1" i="20" s="1"/>
  <c r="I1" i="20" s="1"/>
  <c r="U34" i="62"/>
  <c r="U30" i="58"/>
  <c r="R44" i="65"/>
  <c r="R44" i="74"/>
  <c r="T34" i="56"/>
  <c r="V44" i="75"/>
  <c r="U44" i="75"/>
  <c r="W44" i="75" s="1"/>
  <c r="J52" i="75" s="1"/>
  <c r="AE28" i="75"/>
  <c r="AB29" i="75" s="1"/>
  <c r="AD28" i="74"/>
  <c r="V44" i="73"/>
  <c r="U44" i="73"/>
  <c r="W44" i="73" s="1"/>
  <c r="J51" i="73" s="1"/>
  <c r="I51" i="73" s="1"/>
  <c r="AE28" i="73"/>
  <c r="V44" i="72"/>
  <c r="U44" i="72"/>
  <c r="W44" i="72" s="1"/>
  <c r="J51" i="72" s="1"/>
  <c r="I51" i="72" s="1"/>
  <c r="U44" i="71"/>
  <c r="W44" i="71" s="1"/>
  <c r="J51" i="71" s="1"/>
  <c r="I51" i="71" s="1"/>
  <c r="V44" i="71"/>
  <c r="AF28" i="71"/>
  <c r="AB29" i="71" s="1"/>
  <c r="V44" i="70"/>
  <c r="U44" i="70"/>
  <c r="W44" i="70" s="1"/>
  <c r="J51" i="70" s="1"/>
  <c r="I51" i="70" s="1"/>
  <c r="AF28" i="70"/>
  <c r="AB29" i="70" s="1"/>
  <c r="AB28" i="67"/>
  <c r="AE28" i="67" s="1"/>
  <c r="AE29" i="67" s="1"/>
  <c r="AC28" i="66"/>
  <c r="AC29" i="66" s="1"/>
  <c r="S40" i="66"/>
  <c r="D73" i="66"/>
  <c r="D105" i="66"/>
  <c r="D153" i="66"/>
  <c r="D88" i="66"/>
  <c r="D137" i="66"/>
  <c r="D121" i="66"/>
  <c r="D152" i="66"/>
  <c r="D120" i="66"/>
  <c r="D104" i="66"/>
  <c r="D72" i="66"/>
  <c r="D87" i="66"/>
  <c r="D136" i="66"/>
  <c r="D103" i="66"/>
  <c r="D86" i="66"/>
  <c r="D71" i="66"/>
  <c r="D119" i="66"/>
  <c r="D151" i="66"/>
  <c r="D135" i="66"/>
  <c r="D118" i="66"/>
  <c r="D102" i="66"/>
  <c r="D134" i="66"/>
  <c r="D70" i="66"/>
  <c r="D150" i="66"/>
  <c r="D85" i="66"/>
  <c r="D149" i="66"/>
  <c r="D101" i="66"/>
  <c r="D133" i="66"/>
  <c r="D117" i="66"/>
  <c r="D84" i="66"/>
  <c r="D69" i="66"/>
  <c r="D68" i="66"/>
  <c r="D148" i="66"/>
  <c r="D132" i="66"/>
  <c r="D116" i="66"/>
  <c r="D83" i="66"/>
  <c r="D100" i="66"/>
  <c r="D147" i="66"/>
  <c r="D131" i="66"/>
  <c r="D99" i="66"/>
  <c r="D115" i="66"/>
  <c r="D82" i="66"/>
  <c r="D67" i="66"/>
  <c r="D66" i="66"/>
  <c r="D98" i="66"/>
  <c r="D146" i="66"/>
  <c r="D130" i="66"/>
  <c r="D114" i="66"/>
  <c r="D81" i="66"/>
  <c r="V44" i="61"/>
  <c r="U44" i="61"/>
  <c r="W44" i="61" s="1"/>
  <c r="J51" i="61" s="1"/>
  <c r="I51" i="61" s="1"/>
  <c r="AC28" i="61"/>
  <c r="AE28" i="61"/>
  <c r="AE29" i="61" s="1"/>
  <c r="AD28" i="59"/>
  <c r="W44" i="59"/>
  <c r="J51" i="59" s="1"/>
  <c r="I51" i="59" s="1"/>
  <c r="V44" i="59"/>
  <c r="U29" i="58"/>
  <c r="AD28" i="58"/>
  <c r="AA29" i="58" s="1"/>
  <c r="AF28" i="57"/>
  <c r="E1" i="56"/>
  <c r="R44" i="48"/>
  <c r="J51" i="51"/>
  <c r="I51" i="51" s="1"/>
  <c r="D5" i="51" s="1"/>
  <c r="D124" i="51" s="1"/>
  <c r="E1" i="43"/>
  <c r="AM1" i="79"/>
  <c r="R44" i="47"/>
  <c r="AC28" i="51"/>
  <c r="AC29" i="51" s="1"/>
  <c r="AD28" i="49"/>
  <c r="J51" i="49"/>
  <c r="I51" i="49" s="1"/>
  <c r="AA29" i="48"/>
  <c r="AB28" i="47"/>
  <c r="AD28" i="47" s="1"/>
  <c r="AD29" i="44"/>
  <c r="U44" i="44"/>
  <c r="W44" i="44" s="1"/>
  <c r="J51" i="44" s="1"/>
  <c r="I51" i="44" s="1"/>
  <c r="V44" i="44"/>
  <c r="AE28" i="41"/>
  <c r="AB29" i="41" s="1"/>
  <c r="U44" i="41"/>
  <c r="W44" i="41" s="1"/>
  <c r="J51" i="41" s="1"/>
  <c r="I51" i="41" s="1"/>
  <c r="V44" i="41"/>
  <c r="T28" i="53"/>
  <c r="T32" i="53" s="1"/>
  <c r="S28" i="53"/>
  <c r="S32" i="53" s="1"/>
  <c r="AD28" i="79"/>
  <c r="AA29" i="79" s="1"/>
  <c r="W53" i="52"/>
  <c r="AD29" i="46"/>
  <c r="AB29" i="46"/>
  <c r="I51" i="46"/>
  <c r="E1" i="67"/>
  <c r="T34" i="57"/>
  <c r="C51" i="48"/>
  <c r="AO10" i="53"/>
  <c r="AP10" i="53" s="1"/>
  <c r="AS10" i="53" s="1"/>
  <c r="AT10" i="53" s="1"/>
  <c r="AO6" i="53"/>
  <c r="AP6" i="53" s="1"/>
  <c r="AS6" i="53" s="1"/>
  <c r="AT6" i="53" s="1"/>
  <c r="G5" i="34"/>
  <c r="U29" i="30"/>
  <c r="I53" i="27"/>
  <c r="R44" i="33"/>
  <c r="AD28" i="33"/>
  <c r="E1" i="33"/>
  <c r="U29" i="20"/>
  <c r="U32" i="20" s="1"/>
  <c r="AD30" i="20" s="1"/>
  <c r="E1" i="8"/>
  <c r="D5" i="77"/>
  <c r="W44" i="23"/>
  <c r="J51" i="23" s="1"/>
  <c r="I51" i="23" s="1"/>
  <c r="AC28" i="23"/>
  <c r="AC29" i="23" s="1"/>
  <c r="C54" i="22"/>
  <c r="D54" i="22" s="1"/>
  <c r="AB28" i="19"/>
  <c r="AD28" i="19" s="1"/>
  <c r="W44" i="19"/>
  <c r="V44" i="19"/>
  <c r="E1" i="16"/>
  <c r="I1" i="84"/>
  <c r="W44" i="10"/>
  <c r="J51" i="10" s="1"/>
  <c r="I51" i="10" s="1"/>
  <c r="D5" i="10" s="1"/>
  <c r="D1" i="10"/>
  <c r="H5" i="10" s="1"/>
  <c r="T34" i="11"/>
  <c r="R44" i="7"/>
  <c r="AB28" i="7"/>
  <c r="C51" i="7"/>
  <c r="J52" i="10"/>
  <c r="J53" i="10" s="1"/>
  <c r="B71" i="10" s="1"/>
  <c r="E9" i="11"/>
  <c r="U29" i="7"/>
  <c r="U32" i="7" s="1"/>
  <c r="AD30" i="7" s="1"/>
  <c r="T34" i="73"/>
  <c r="U29" i="73"/>
  <c r="I52" i="56"/>
  <c r="I52" i="58"/>
  <c r="G9" i="75"/>
  <c r="I52" i="73"/>
  <c r="J52" i="51"/>
  <c r="D1" i="51"/>
  <c r="H5" i="51" s="1"/>
  <c r="K5" i="51" s="1"/>
  <c r="AM1" i="58"/>
  <c r="AO1" i="58"/>
  <c r="AO1" i="56"/>
  <c r="AM1" i="56"/>
  <c r="G1" i="50"/>
  <c r="I1" i="50" s="1"/>
  <c r="E15" i="50" s="1"/>
  <c r="G15" i="50" s="1"/>
  <c r="H15" i="50" s="1"/>
  <c r="K15" i="50" s="1"/>
  <c r="L15" i="50" s="1"/>
  <c r="D52" i="50"/>
  <c r="D89" i="35"/>
  <c r="D65" i="35"/>
  <c r="D76" i="35"/>
  <c r="D65" i="34"/>
  <c r="D91" i="34"/>
  <c r="D77" i="34"/>
  <c r="T30" i="35"/>
  <c r="D1" i="35"/>
  <c r="H5" i="35" s="1"/>
  <c r="K5" i="35" s="1"/>
  <c r="L5" i="35" s="1"/>
  <c r="S33" i="35" s="1"/>
  <c r="J52" i="35"/>
  <c r="E1" i="79"/>
  <c r="AO1" i="79"/>
  <c r="U32" i="36"/>
  <c r="K5" i="34"/>
  <c r="L5" i="34" s="1"/>
  <c r="I52" i="32"/>
  <c r="S30" i="78"/>
  <c r="D52" i="68"/>
  <c r="B74" i="68" s="1"/>
  <c r="G1" i="68"/>
  <c r="U30" i="79"/>
  <c r="J53" i="50"/>
  <c r="B83" i="50" s="1"/>
  <c r="I52" i="50"/>
  <c r="H52" i="50" s="1"/>
  <c r="E1" i="39"/>
  <c r="I52" i="27"/>
  <c r="E1" i="27"/>
  <c r="J53" i="16"/>
  <c r="B81" i="16" s="1"/>
  <c r="E1" i="12"/>
  <c r="AM8" i="36"/>
  <c r="AO8" i="36" s="1"/>
  <c r="AP8" i="36" s="1"/>
  <c r="AS8" i="36" s="1"/>
  <c r="AT8" i="36" s="1"/>
  <c r="AM13" i="36"/>
  <c r="AO13" i="36" s="1"/>
  <c r="AP13" i="36" s="1"/>
  <c r="AS13" i="36" s="1"/>
  <c r="AT13" i="36" s="1"/>
  <c r="AM7" i="36"/>
  <c r="AO7" i="36" s="1"/>
  <c r="AP7" i="36" s="1"/>
  <c r="AS7" i="36" s="1"/>
  <c r="AT7" i="36" s="1"/>
  <c r="AM12" i="36"/>
  <c r="AO12" i="36" s="1"/>
  <c r="AP12" i="36" s="1"/>
  <c r="AS12" i="36" s="1"/>
  <c r="AT12" i="36" s="1"/>
  <c r="AM9" i="36"/>
  <c r="AO9" i="36" s="1"/>
  <c r="AP9" i="36" s="1"/>
  <c r="AS9" i="36" s="1"/>
  <c r="AT9" i="36" s="1"/>
  <c r="AM6" i="36"/>
  <c r="AO6" i="36" s="1"/>
  <c r="AP6" i="36" s="1"/>
  <c r="AS6" i="36" s="1"/>
  <c r="AT6" i="36" s="1"/>
  <c r="AM5" i="36"/>
  <c r="AO5" i="36" s="1"/>
  <c r="AP5" i="36" s="1"/>
  <c r="AM11" i="36"/>
  <c r="AO11" i="36" s="1"/>
  <c r="AP11" i="36" s="1"/>
  <c r="AS11" i="36" s="1"/>
  <c r="AT11" i="36" s="1"/>
  <c r="AM10" i="36"/>
  <c r="AO10" i="36" s="1"/>
  <c r="AP10" i="36" s="1"/>
  <c r="AS10" i="36" s="1"/>
  <c r="AT10" i="36" s="1"/>
  <c r="AM1" i="36"/>
  <c r="J52" i="30"/>
  <c r="K5" i="23"/>
  <c r="J52" i="23"/>
  <c r="AO1" i="22"/>
  <c r="AM1" i="22"/>
  <c r="E1" i="19"/>
  <c r="G9" i="11"/>
  <c r="E28" i="11" s="1"/>
  <c r="G28" i="11" s="1"/>
  <c r="H28" i="11" s="1"/>
  <c r="K28" i="11" s="1"/>
  <c r="L28" i="11" s="1"/>
  <c r="E1" i="11"/>
  <c r="AM13" i="9"/>
  <c r="AO13" i="9" s="1"/>
  <c r="AP13" i="9" s="1"/>
  <c r="AS13" i="9" s="1"/>
  <c r="AT13" i="9" s="1"/>
  <c r="AM5" i="9"/>
  <c r="AO5" i="9" s="1"/>
  <c r="AP5" i="9" s="1"/>
  <c r="AM6" i="9"/>
  <c r="AO6" i="9" s="1"/>
  <c r="AP6" i="9" s="1"/>
  <c r="AS6" i="9" s="1"/>
  <c r="AT6" i="9" s="1"/>
  <c r="AM14" i="9"/>
  <c r="AO14" i="9" s="1"/>
  <c r="AP14" i="9" s="1"/>
  <c r="AS14" i="9" s="1"/>
  <c r="AT14" i="9" s="1"/>
  <c r="AM10" i="9"/>
  <c r="AO10" i="9" s="1"/>
  <c r="AP10" i="9" s="1"/>
  <c r="AS10" i="9" s="1"/>
  <c r="AT10" i="9" s="1"/>
  <c r="AM11" i="9"/>
  <c r="AO11" i="9" s="1"/>
  <c r="AP11" i="9" s="1"/>
  <c r="AS11" i="9" s="1"/>
  <c r="AT11" i="9" s="1"/>
  <c r="AM7" i="9"/>
  <c r="AO7" i="9" s="1"/>
  <c r="AP7" i="9" s="1"/>
  <c r="AS7" i="9" s="1"/>
  <c r="AT7" i="9" s="1"/>
  <c r="AM15" i="9"/>
  <c r="AO15" i="9" s="1"/>
  <c r="AP15" i="9" s="1"/>
  <c r="AS15" i="9" s="1"/>
  <c r="AT15" i="9" s="1"/>
  <c r="AM8" i="9"/>
  <c r="AO8" i="9" s="1"/>
  <c r="AP8" i="9" s="1"/>
  <c r="AS8" i="9" s="1"/>
  <c r="AT8" i="9" s="1"/>
  <c r="AM16" i="9"/>
  <c r="AO16" i="9" s="1"/>
  <c r="AP16" i="9" s="1"/>
  <c r="AS16" i="9" s="1"/>
  <c r="AT16" i="9" s="1"/>
  <c r="AM9" i="9"/>
  <c r="AO9" i="9" s="1"/>
  <c r="AP9" i="9" s="1"/>
  <c r="AS9" i="9" s="1"/>
  <c r="AT9" i="9" s="1"/>
  <c r="AM17" i="9"/>
  <c r="AO17" i="9" s="1"/>
  <c r="AP17" i="9" s="1"/>
  <c r="AS17" i="9" s="1"/>
  <c r="AT17" i="9" s="1"/>
  <c r="AM12" i="9"/>
  <c r="AO12" i="9" s="1"/>
  <c r="AP12" i="9" s="1"/>
  <c r="AS12" i="9" s="1"/>
  <c r="AT12" i="9" s="1"/>
  <c r="AM20" i="9"/>
  <c r="AO20" i="9" s="1"/>
  <c r="AP20" i="9" s="1"/>
  <c r="AS20" i="9" s="1"/>
  <c r="AT20" i="9" s="1"/>
  <c r="AM18" i="9"/>
  <c r="AO18" i="9" s="1"/>
  <c r="AP18" i="9" s="1"/>
  <c r="AS18" i="9" s="1"/>
  <c r="AT18" i="9" s="1"/>
  <c r="AM19" i="9"/>
  <c r="AO19" i="9" s="1"/>
  <c r="AP19" i="9" s="1"/>
  <c r="AS19" i="9" s="1"/>
  <c r="AT19" i="9" s="1"/>
  <c r="AM1" i="9"/>
  <c r="AM11" i="6"/>
  <c r="AO11" i="6" s="1"/>
  <c r="AP11" i="6" s="1"/>
  <c r="AS11" i="6" s="1"/>
  <c r="AT11" i="6" s="1"/>
  <c r="AM12" i="6"/>
  <c r="AO12" i="6" s="1"/>
  <c r="AP12" i="6" s="1"/>
  <c r="AS12" i="6" s="1"/>
  <c r="AT12" i="6" s="1"/>
  <c r="AM13" i="6"/>
  <c r="AO13" i="6" s="1"/>
  <c r="AP13" i="6" s="1"/>
  <c r="AS13" i="6" s="1"/>
  <c r="AT13" i="6" s="1"/>
  <c r="AM9" i="6"/>
  <c r="AO9" i="6" s="1"/>
  <c r="AP9" i="6" s="1"/>
  <c r="AS9" i="6" s="1"/>
  <c r="AT9" i="6" s="1"/>
  <c r="AM6" i="6"/>
  <c r="AO6" i="6" s="1"/>
  <c r="AP6" i="6" s="1"/>
  <c r="AS6" i="6" s="1"/>
  <c r="AT6" i="6" s="1"/>
  <c r="AM5" i="6"/>
  <c r="AO5" i="6" s="1"/>
  <c r="AP5" i="6" s="1"/>
  <c r="AM7" i="6"/>
  <c r="AO7" i="6" s="1"/>
  <c r="AP7" i="6" s="1"/>
  <c r="AS7" i="6" s="1"/>
  <c r="AT7" i="6" s="1"/>
  <c r="AM8" i="6"/>
  <c r="AO8" i="6" s="1"/>
  <c r="AP8" i="6" s="1"/>
  <c r="AS8" i="6" s="1"/>
  <c r="AT8" i="6" s="1"/>
  <c r="AM10" i="6"/>
  <c r="AO10" i="6" s="1"/>
  <c r="AP10" i="6" s="1"/>
  <c r="AS10" i="6" s="1"/>
  <c r="AT10" i="6" s="1"/>
  <c r="AM1" i="6"/>
  <c r="I52" i="4"/>
  <c r="D79" i="45"/>
  <c r="D104" i="45"/>
  <c r="D103" i="45"/>
  <c r="D78" i="45"/>
  <c r="D77" i="45"/>
  <c r="D102" i="45"/>
  <c r="D100" i="45"/>
  <c r="D75" i="45"/>
  <c r="D97" i="45"/>
  <c r="D72" i="45"/>
  <c r="D91" i="45"/>
  <c r="D66" i="45"/>
  <c r="E1" i="45"/>
  <c r="G1" i="45" s="1"/>
  <c r="I1" i="45" s="1"/>
  <c r="J52" i="6"/>
  <c r="E1" i="6"/>
  <c r="U29" i="6"/>
  <c r="U32" i="6" s="1"/>
  <c r="AE30" i="6" s="1"/>
  <c r="J52" i="9"/>
  <c r="E1" i="9"/>
  <c r="E1" i="74"/>
  <c r="U29" i="74"/>
  <c r="AO1" i="73"/>
  <c r="AM1" i="73"/>
  <c r="J52" i="66"/>
  <c r="D1" i="66"/>
  <c r="G5" i="66" s="1"/>
  <c r="E1" i="69"/>
  <c r="J52" i="59" l="1"/>
  <c r="AO1" i="59"/>
  <c r="AM1" i="59"/>
  <c r="J52" i="49"/>
  <c r="AO1" i="49"/>
  <c r="AM1" i="49"/>
  <c r="J52" i="19"/>
  <c r="AO1" i="19"/>
  <c r="AM1" i="19"/>
  <c r="U32" i="28"/>
  <c r="AO1" i="28"/>
  <c r="I1" i="85"/>
  <c r="D54" i="86"/>
  <c r="C55" i="86"/>
  <c r="D55" i="86" s="1"/>
  <c r="C53" i="85"/>
  <c r="D53" i="85" s="1"/>
  <c r="T33" i="88"/>
  <c r="AA30" i="88"/>
  <c r="AC30" i="88" s="1"/>
  <c r="AC25" i="88" s="1"/>
  <c r="T33" i="92"/>
  <c r="I51" i="28"/>
  <c r="E15" i="4"/>
  <c r="G15" i="4" s="1"/>
  <c r="H15" i="4" s="1"/>
  <c r="K15" i="4" s="1"/>
  <c r="L15" i="4" s="1"/>
  <c r="E16" i="4"/>
  <c r="G16" i="4" s="1"/>
  <c r="H16" i="4" s="1"/>
  <c r="K16" i="4" s="1"/>
  <c r="L16" i="4" s="1"/>
  <c r="V32" i="43"/>
  <c r="AE30" i="43" s="1"/>
  <c r="AO1" i="43"/>
  <c r="U32" i="72"/>
  <c r="AE30" i="72" s="1"/>
  <c r="U32" i="71"/>
  <c r="AE30" i="71" s="1"/>
  <c r="AB30" i="66"/>
  <c r="V35" i="53"/>
  <c r="AA30" i="53" s="1"/>
  <c r="E1" i="73"/>
  <c r="U32" i="73"/>
  <c r="AD30" i="73" s="1"/>
  <c r="U32" i="70"/>
  <c r="AE30" i="70" s="1"/>
  <c r="J52" i="48"/>
  <c r="U32" i="48"/>
  <c r="AD30" i="48" s="1"/>
  <c r="V28" i="36"/>
  <c r="V32" i="36" s="1"/>
  <c r="V35" i="36"/>
  <c r="AB30" i="36" s="1"/>
  <c r="E1" i="29"/>
  <c r="G1" i="29" s="1"/>
  <c r="I1" i="29" s="1"/>
  <c r="U32" i="29"/>
  <c r="AE30" i="29" s="1"/>
  <c r="AE29" i="73"/>
  <c r="AC29" i="73"/>
  <c r="E1" i="72"/>
  <c r="AD29" i="33"/>
  <c r="AB29" i="33"/>
  <c r="V28" i="9"/>
  <c r="U32" i="58"/>
  <c r="AC30" i="58" s="1"/>
  <c r="J53" i="32"/>
  <c r="J54" i="32" s="1"/>
  <c r="B103" i="32" s="1"/>
  <c r="V35" i="30"/>
  <c r="AA30" i="30" s="1"/>
  <c r="V44" i="26"/>
  <c r="U32" i="17"/>
  <c r="AE30" i="17" s="1"/>
  <c r="V28" i="53"/>
  <c r="D5" i="57"/>
  <c r="H51" i="57" s="1"/>
  <c r="H52" i="32"/>
  <c r="F81" i="6"/>
  <c r="F9" i="6"/>
  <c r="F68" i="6"/>
  <c r="E66" i="83"/>
  <c r="E65" i="83"/>
  <c r="E67" i="83"/>
  <c r="E68" i="83"/>
  <c r="V35" i="9"/>
  <c r="AA30" i="9" s="1"/>
  <c r="D5" i="8"/>
  <c r="H51" i="8"/>
  <c r="V35" i="6"/>
  <c r="AA30" i="6" s="1"/>
  <c r="V28" i="6"/>
  <c r="AC29" i="77"/>
  <c r="AB29" i="77"/>
  <c r="AF28" i="3"/>
  <c r="E5" i="87"/>
  <c r="G5" i="87" s="1"/>
  <c r="H5" i="87" s="1"/>
  <c r="K5" i="87" s="1"/>
  <c r="L5" i="87" s="1"/>
  <c r="AC29" i="35"/>
  <c r="AB29" i="35"/>
  <c r="AC29" i="34"/>
  <c r="AB29" i="61"/>
  <c r="AD29" i="59"/>
  <c r="AA29" i="59"/>
  <c r="AD29" i="49"/>
  <c r="AA29" i="49"/>
  <c r="AD29" i="47"/>
  <c r="AA29" i="47"/>
  <c r="AA29" i="44"/>
  <c r="AD29" i="19"/>
  <c r="AA29" i="19"/>
  <c r="V28" i="30"/>
  <c r="AD29" i="30"/>
  <c r="AB29" i="30"/>
  <c r="AF29" i="30"/>
  <c r="AF28" i="29"/>
  <c r="AC29" i="29" s="1"/>
  <c r="AF28" i="28"/>
  <c r="AC29" i="28" s="1"/>
  <c r="AF28" i="17"/>
  <c r="AD29" i="60"/>
  <c r="AF29" i="60"/>
  <c r="AC29" i="60"/>
  <c r="AB29" i="5"/>
  <c r="AE29" i="5"/>
  <c r="U28" i="79"/>
  <c r="U32" i="79" s="1"/>
  <c r="AC30" i="79" s="1"/>
  <c r="D53" i="84"/>
  <c r="C54" i="84"/>
  <c r="J52" i="22"/>
  <c r="E1" i="22"/>
  <c r="C69" i="22"/>
  <c r="E135" i="88"/>
  <c r="G135" i="88" s="1"/>
  <c r="H135" i="88" s="1"/>
  <c r="E136" i="88"/>
  <c r="G136" i="88" s="1"/>
  <c r="H136" i="88" s="1"/>
  <c r="E138" i="88"/>
  <c r="G138" i="88" s="1"/>
  <c r="H138" i="88" s="1"/>
  <c r="E137" i="88"/>
  <c r="G137" i="88" s="1"/>
  <c r="H137" i="88" s="1"/>
  <c r="E140" i="88"/>
  <c r="G140" i="88" s="1"/>
  <c r="H140" i="88" s="1"/>
  <c r="E141" i="88"/>
  <c r="G141" i="88" s="1"/>
  <c r="H141" i="88" s="1"/>
  <c r="E142" i="88"/>
  <c r="G142" i="88" s="1"/>
  <c r="H142" i="88" s="1"/>
  <c r="E143" i="88"/>
  <c r="G143" i="88" s="1"/>
  <c r="H143" i="88" s="1"/>
  <c r="E139" i="88"/>
  <c r="G139" i="88" s="1"/>
  <c r="H139" i="88" s="1"/>
  <c r="E144" i="88"/>
  <c r="G144" i="88" s="1"/>
  <c r="H144" i="88" s="1"/>
  <c r="E145" i="88"/>
  <c r="G145" i="88" s="1"/>
  <c r="H145" i="88" s="1"/>
  <c r="H58" i="88"/>
  <c r="J51" i="60"/>
  <c r="I51" i="60" s="1"/>
  <c r="J54" i="75"/>
  <c r="I52" i="75"/>
  <c r="H52" i="75" s="1"/>
  <c r="H54" i="75" s="1"/>
  <c r="AF28" i="69"/>
  <c r="AA29" i="67"/>
  <c r="AD28" i="62"/>
  <c r="AB29" i="62" s="1"/>
  <c r="V44" i="62"/>
  <c r="U44" i="62"/>
  <c r="W44" i="62" s="1"/>
  <c r="J51" i="62" s="1"/>
  <c r="I51" i="62" s="1"/>
  <c r="D5" i="53"/>
  <c r="W54" i="52"/>
  <c r="X56" i="52" s="1"/>
  <c r="X52" i="52" s="1"/>
  <c r="D5" i="37"/>
  <c r="D65" i="37" s="1"/>
  <c r="AM1" i="37"/>
  <c r="AO1" i="37"/>
  <c r="D66" i="32"/>
  <c r="D87" i="32"/>
  <c r="H51" i="32"/>
  <c r="D80" i="30"/>
  <c r="D65" i="30"/>
  <c r="H51" i="30"/>
  <c r="D5" i="29"/>
  <c r="I51" i="26"/>
  <c r="D5" i="26" s="1"/>
  <c r="D65" i="26" s="1"/>
  <c r="AC29" i="26"/>
  <c r="AB29" i="26"/>
  <c r="D65" i="10"/>
  <c r="D100" i="10"/>
  <c r="D5" i="23"/>
  <c r="AE29" i="22"/>
  <c r="AB29" i="22"/>
  <c r="H51" i="21"/>
  <c r="D5" i="18"/>
  <c r="D5" i="17"/>
  <c r="J51" i="19"/>
  <c r="I51" i="19" s="1"/>
  <c r="D5" i="19" s="1"/>
  <c r="J53" i="4"/>
  <c r="B78" i="4" s="1"/>
  <c r="W44" i="11"/>
  <c r="AF28" i="11"/>
  <c r="D65" i="9"/>
  <c r="D5" i="5"/>
  <c r="J51" i="3"/>
  <c r="I51" i="3" s="1"/>
  <c r="D5" i="3" s="1"/>
  <c r="D5" i="4"/>
  <c r="AE29" i="4"/>
  <c r="AC29" i="4"/>
  <c r="AB29" i="4"/>
  <c r="V44" i="25"/>
  <c r="U44" i="25"/>
  <c r="W44" i="25" s="1"/>
  <c r="J51" i="25" s="1"/>
  <c r="I51" i="25" s="1"/>
  <c r="H53" i="16"/>
  <c r="D52" i="16"/>
  <c r="G1" i="16"/>
  <c r="I1" i="16" s="1"/>
  <c r="J52" i="70"/>
  <c r="AO1" i="70"/>
  <c r="AM1" i="70"/>
  <c r="E1" i="48"/>
  <c r="E1" i="47"/>
  <c r="G1" i="41"/>
  <c r="I1" i="41" s="1"/>
  <c r="D52" i="41"/>
  <c r="E7" i="83"/>
  <c r="G7" i="83" s="1"/>
  <c r="H7" i="83" s="1"/>
  <c r="K7" i="83" s="1"/>
  <c r="L7" i="83" s="1"/>
  <c r="E9" i="83"/>
  <c r="G9" i="83" s="1"/>
  <c r="H9" i="83" s="1"/>
  <c r="K9" i="83" s="1"/>
  <c r="L9" i="83" s="1"/>
  <c r="E6" i="83"/>
  <c r="G6" i="83" s="1"/>
  <c r="H6" i="83" s="1"/>
  <c r="K6" i="83" s="1"/>
  <c r="L6" i="83" s="1"/>
  <c r="C53" i="83"/>
  <c r="D53" i="83" s="1"/>
  <c r="E7" i="50"/>
  <c r="G7" i="50" s="1"/>
  <c r="H7" i="50" s="1"/>
  <c r="K7" i="50" s="1"/>
  <c r="L7" i="50" s="1"/>
  <c r="E11" i="50"/>
  <c r="G11" i="50" s="1"/>
  <c r="H11" i="50" s="1"/>
  <c r="K11" i="50" s="1"/>
  <c r="L11" i="50" s="1"/>
  <c r="E6" i="50"/>
  <c r="G6" i="50" s="1"/>
  <c r="H6" i="50" s="1"/>
  <c r="K6" i="50" s="1"/>
  <c r="L6" i="50" s="1"/>
  <c r="E14" i="50"/>
  <c r="G14" i="50" s="1"/>
  <c r="H14" i="50" s="1"/>
  <c r="K14" i="50" s="1"/>
  <c r="L14" i="50" s="1"/>
  <c r="AO1" i="69"/>
  <c r="AM12" i="69" s="1"/>
  <c r="AO12" i="69" s="1"/>
  <c r="AP12" i="69" s="1"/>
  <c r="AS12" i="69" s="1"/>
  <c r="AT12" i="69" s="1"/>
  <c r="AM1" i="69"/>
  <c r="J52" i="69"/>
  <c r="E10" i="50"/>
  <c r="G10" i="50" s="1"/>
  <c r="H10" i="50" s="1"/>
  <c r="K10" i="50" s="1"/>
  <c r="L10" i="50" s="1"/>
  <c r="E8" i="50"/>
  <c r="G8" i="50" s="1"/>
  <c r="H8" i="50" s="1"/>
  <c r="K8" i="50" s="1"/>
  <c r="L8" i="50" s="1"/>
  <c r="H5" i="77"/>
  <c r="K5" i="77" s="1"/>
  <c r="AO1" i="71"/>
  <c r="AM1" i="57"/>
  <c r="J52" i="57"/>
  <c r="AO1" i="57"/>
  <c r="E9" i="50"/>
  <c r="G9" i="50" s="1"/>
  <c r="H9" i="50" s="1"/>
  <c r="K9" i="50" s="1"/>
  <c r="L9" i="50" s="1"/>
  <c r="I1" i="82"/>
  <c r="E8" i="82" s="1"/>
  <c r="G8" i="82" s="1"/>
  <c r="H8" i="82" s="1"/>
  <c r="K8" i="82" s="1"/>
  <c r="L8" i="82" s="1"/>
  <c r="C52" i="82"/>
  <c r="D52" i="4"/>
  <c r="J53" i="77"/>
  <c r="B72" i="77" s="1"/>
  <c r="H72" i="77" s="1"/>
  <c r="J52" i="71"/>
  <c r="AM1" i="71"/>
  <c r="AO1" i="61"/>
  <c r="AM1" i="61"/>
  <c r="J52" i="61"/>
  <c r="I52" i="61" s="1"/>
  <c r="E9" i="4"/>
  <c r="G9" i="4" s="1"/>
  <c r="H9" i="4" s="1"/>
  <c r="K9" i="4" s="1"/>
  <c r="L9" i="4" s="1"/>
  <c r="E11" i="4"/>
  <c r="G11" i="4" s="1"/>
  <c r="H11" i="4" s="1"/>
  <c r="K11" i="4" s="1"/>
  <c r="L11" i="4" s="1"/>
  <c r="E7" i="4"/>
  <c r="G7" i="4" s="1"/>
  <c r="H7" i="4" s="1"/>
  <c r="K7" i="4" s="1"/>
  <c r="L7" i="4" s="1"/>
  <c r="I1" i="4"/>
  <c r="C52" i="4" s="1"/>
  <c r="E10" i="4"/>
  <c r="G10" i="4" s="1"/>
  <c r="H10" i="4" s="1"/>
  <c r="K10" i="4" s="1"/>
  <c r="L10" i="4" s="1"/>
  <c r="E14" i="4"/>
  <c r="G14" i="4" s="1"/>
  <c r="H14" i="4" s="1"/>
  <c r="K14" i="4" s="1"/>
  <c r="L14" i="4" s="1"/>
  <c r="E13" i="4"/>
  <c r="G13" i="4" s="1"/>
  <c r="H13" i="4" s="1"/>
  <c r="K13" i="4" s="1"/>
  <c r="L13" i="4" s="1"/>
  <c r="E6" i="4"/>
  <c r="G6" i="4" s="1"/>
  <c r="H6" i="4" s="1"/>
  <c r="K6" i="4" s="1"/>
  <c r="L6" i="4" s="1"/>
  <c r="E8" i="4"/>
  <c r="G8" i="4" s="1"/>
  <c r="H8" i="4" s="1"/>
  <c r="K8" i="4" s="1"/>
  <c r="L8" i="4" s="1"/>
  <c r="E12" i="4"/>
  <c r="G12" i="4" s="1"/>
  <c r="H12" i="4" s="1"/>
  <c r="K12" i="4" s="1"/>
  <c r="L12" i="4" s="1"/>
  <c r="E1" i="53"/>
  <c r="AM1" i="47"/>
  <c r="J52" i="47"/>
  <c r="AO1" i="47"/>
  <c r="D52" i="46"/>
  <c r="G1" i="46"/>
  <c r="I1" i="46" s="1"/>
  <c r="J53" i="46"/>
  <c r="B77" i="46" s="1"/>
  <c r="G1" i="59"/>
  <c r="I1" i="59" s="1"/>
  <c r="E21" i="59" s="1"/>
  <c r="G21" i="59" s="1"/>
  <c r="H21" i="59" s="1"/>
  <c r="K21" i="59" s="1"/>
  <c r="L21" i="59" s="1"/>
  <c r="D52" i="57"/>
  <c r="G1" i="57"/>
  <c r="I1" i="57" s="1"/>
  <c r="E17" i="50"/>
  <c r="G17" i="50" s="1"/>
  <c r="H17" i="50" s="1"/>
  <c r="K17" i="50" s="1"/>
  <c r="L17" i="50" s="1"/>
  <c r="E12" i="50"/>
  <c r="G12" i="50" s="1"/>
  <c r="H12" i="50" s="1"/>
  <c r="K12" i="50" s="1"/>
  <c r="L12" i="50" s="1"/>
  <c r="E16" i="50"/>
  <c r="G16" i="50" s="1"/>
  <c r="H16" i="50" s="1"/>
  <c r="K16" i="50" s="1"/>
  <c r="L16" i="50" s="1"/>
  <c r="E13" i="50"/>
  <c r="G13" i="50" s="1"/>
  <c r="H13" i="50" s="1"/>
  <c r="K13" i="50" s="1"/>
  <c r="L13" i="50" s="1"/>
  <c r="E1" i="40"/>
  <c r="J52" i="37"/>
  <c r="I52" i="34"/>
  <c r="E5" i="34" s="1"/>
  <c r="H52" i="34" s="1"/>
  <c r="G1" i="28"/>
  <c r="I1" i="28" s="1"/>
  <c r="E25" i="28" s="1"/>
  <c r="G25" i="28" s="1"/>
  <c r="H25" i="28" s="1"/>
  <c r="K25" i="28" s="1"/>
  <c r="L25" i="28" s="1"/>
  <c r="E1" i="24"/>
  <c r="J52" i="20"/>
  <c r="G1" i="18"/>
  <c r="I1" i="18" s="1"/>
  <c r="E6" i="18" s="1"/>
  <c r="D52" i="18"/>
  <c r="D52" i="17"/>
  <c r="G1" i="17"/>
  <c r="I1" i="17" s="1"/>
  <c r="AM1" i="8"/>
  <c r="AO1" i="8"/>
  <c r="AM5" i="3"/>
  <c r="AO5" i="3" s="1"/>
  <c r="J52" i="3"/>
  <c r="J52" i="26"/>
  <c r="AO1" i="26"/>
  <c r="G1" i="15"/>
  <c r="I1" i="15" s="1"/>
  <c r="D52" i="7"/>
  <c r="AO1" i="18"/>
  <c r="AM8" i="18" s="1"/>
  <c r="AO8" i="18" s="1"/>
  <c r="AP8" i="18" s="1"/>
  <c r="AS8" i="18" s="1"/>
  <c r="AT8" i="18" s="1"/>
  <c r="I53" i="34"/>
  <c r="AM1" i="29"/>
  <c r="AM8" i="29"/>
  <c r="AO8" i="29" s="1"/>
  <c r="AP8" i="29" s="1"/>
  <c r="AS8" i="29" s="1"/>
  <c r="AT8" i="29" s="1"/>
  <c r="AM7" i="29"/>
  <c r="AO7" i="29" s="1"/>
  <c r="AP7" i="29" s="1"/>
  <c r="AS7" i="29" s="1"/>
  <c r="AT7" i="29" s="1"/>
  <c r="AM13" i="29"/>
  <c r="AO13" i="29" s="1"/>
  <c r="AP13" i="29" s="1"/>
  <c r="AS13" i="29" s="1"/>
  <c r="AT13" i="29" s="1"/>
  <c r="AM10" i="29"/>
  <c r="AO10" i="29" s="1"/>
  <c r="AP10" i="29" s="1"/>
  <c r="AS10" i="29" s="1"/>
  <c r="AT10" i="29" s="1"/>
  <c r="AM12" i="29"/>
  <c r="AO12" i="29" s="1"/>
  <c r="AP12" i="29" s="1"/>
  <c r="AS12" i="29" s="1"/>
  <c r="AT12" i="29" s="1"/>
  <c r="AM11" i="29"/>
  <c r="AO11" i="29" s="1"/>
  <c r="AP11" i="29" s="1"/>
  <c r="AS11" i="29" s="1"/>
  <c r="AT11" i="29" s="1"/>
  <c r="AM5" i="29"/>
  <c r="AO5" i="29" s="1"/>
  <c r="AP5" i="29" s="1"/>
  <c r="AM9" i="29"/>
  <c r="AO9" i="29" s="1"/>
  <c r="AP9" i="29" s="1"/>
  <c r="AS9" i="29" s="1"/>
  <c r="AT9" i="29" s="1"/>
  <c r="J52" i="29"/>
  <c r="AM1" i="28"/>
  <c r="J52" i="28"/>
  <c r="J54" i="34"/>
  <c r="B84" i="34" s="1"/>
  <c r="H84" i="34" s="1"/>
  <c r="J52" i="18"/>
  <c r="AM1" i="21"/>
  <c r="AM7" i="21"/>
  <c r="AO7" i="21" s="1"/>
  <c r="AP7" i="21" s="1"/>
  <c r="AS7" i="21" s="1"/>
  <c r="AT7" i="21" s="1"/>
  <c r="AM5" i="21"/>
  <c r="AO5" i="21" s="1"/>
  <c r="AP5" i="21" s="1"/>
  <c r="AM10" i="21"/>
  <c r="AO10" i="21" s="1"/>
  <c r="AP10" i="21" s="1"/>
  <c r="AS10" i="21" s="1"/>
  <c r="AT10" i="21" s="1"/>
  <c r="AM9" i="21"/>
  <c r="AO9" i="21" s="1"/>
  <c r="AP9" i="21" s="1"/>
  <c r="AS9" i="21" s="1"/>
  <c r="AT9" i="21" s="1"/>
  <c r="J52" i="21"/>
  <c r="I52" i="21" s="1"/>
  <c r="H52" i="21" s="1"/>
  <c r="E5" i="21" s="1"/>
  <c r="J53" i="5"/>
  <c r="B90" i="5" s="1"/>
  <c r="E1" i="36"/>
  <c r="G1" i="36" s="1"/>
  <c r="E5" i="36" s="1"/>
  <c r="G5" i="36" s="1"/>
  <c r="H5" i="36" s="1"/>
  <c r="K5" i="36" s="1"/>
  <c r="L5" i="36" s="1"/>
  <c r="S35" i="36" s="1"/>
  <c r="D52" i="20"/>
  <c r="D52" i="21"/>
  <c r="G1" i="21"/>
  <c r="I1" i="21" s="1"/>
  <c r="E6" i="21" s="1"/>
  <c r="AM6" i="21"/>
  <c r="AO6" i="21" s="1"/>
  <c r="AP6" i="21" s="1"/>
  <c r="AS6" i="21" s="1"/>
  <c r="AT6" i="21" s="1"/>
  <c r="AM13" i="21"/>
  <c r="AO13" i="21" s="1"/>
  <c r="AP13" i="21" s="1"/>
  <c r="AS13" i="21" s="1"/>
  <c r="AT13" i="21" s="1"/>
  <c r="AM12" i="21"/>
  <c r="AO12" i="21" s="1"/>
  <c r="AP12" i="21" s="1"/>
  <c r="AS12" i="21" s="1"/>
  <c r="AT12" i="21" s="1"/>
  <c r="AM11" i="21"/>
  <c r="AO11" i="21" s="1"/>
  <c r="AP11" i="21" s="1"/>
  <c r="AS11" i="21" s="1"/>
  <c r="AT11" i="21" s="1"/>
  <c r="AM1" i="17"/>
  <c r="AO1" i="17"/>
  <c r="AM6" i="17" s="1"/>
  <c r="AO6" i="17" s="1"/>
  <c r="AP6" i="17" s="1"/>
  <c r="AS6" i="17" s="1"/>
  <c r="AT6" i="17" s="1"/>
  <c r="J52" i="17"/>
  <c r="J52" i="15"/>
  <c r="I52" i="15" s="1"/>
  <c r="AM12" i="15"/>
  <c r="AO12" i="15" s="1"/>
  <c r="AP12" i="15" s="1"/>
  <c r="AS12" i="15" s="1"/>
  <c r="AT12" i="15" s="1"/>
  <c r="AM9" i="15"/>
  <c r="AO9" i="15" s="1"/>
  <c r="AP9" i="15" s="1"/>
  <c r="AS9" i="15" s="1"/>
  <c r="AT9" i="15" s="1"/>
  <c r="AM6" i="15"/>
  <c r="AO6" i="15" s="1"/>
  <c r="AP6" i="15" s="1"/>
  <c r="AS6" i="15" s="1"/>
  <c r="AT6" i="15" s="1"/>
  <c r="AM11" i="15"/>
  <c r="AO11" i="15" s="1"/>
  <c r="AP11" i="15" s="1"/>
  <c r="AS11" i="15" s="1"/>
  <c r="AT11" i="15" s="1"/>
  <c r="AM5" i="15"/>
  <c r="AO5" i="15" s="1"/>
  <c r="AP5" i="15" s="1"/>
  <c r="AM10" i="15"/>
  <c r="AO10" i="15" s="1"/>
  <c r="AP10" i="15" s="1"/>
  <c r="AS10" i="15" s="1"/>
  <c r="AT10" i="15" s="1"/>
  <c r="AM8" i="15"/>
  <c r="AO8" i="15" s="1"/>
  <c r="AP8" i="15" s="1"/>
  <c r="AS8" i="15" s="1"/>
  <c r="AT8" i="15" s="1"/>
  <c r="AM1" i="15"/>
  <c r="AM7" i="15"/>
  <c r="AO7" i="15" s="1"/>
  <c r="AP7" i="15" s="1"/>
  <c r="AS7" i="15" s="1"/>
  <c r="AT7" i="15" s="1"/>
  <c r="D52" i="56"/>
  <c r="G1" i="56"/>
  <c r="I1" i="56" s="1"/>
  <c r="E17" i="56" s="1"/>
  <c r="G17" i="56" s="1"/>
  <c r="H17" i="56" s="1"/>
  <c r="K17" i="56" s="1"/>
  <c r="L17" i="56" s="1"/>
  <c r="J52" i="7"/>
  <c r="G1" i="5"/>
  <c r="I1" i="5" s="1"/>
  <c r="D52" i="5"/>
  <c r="E1" i="78"/>
  <c r="D52" i="59"/>
  <c r="J52" i="72"/>
  <c r="AO1" i="72"/>
  <c r="AM1" i="72"/>
  <c r="D52" i="67"/>
  <c r="G1" i="67"/>
  <c r="I1" i="67" s="1"/>
  <c r="G1" i="62"/>
  <c r="E20" i="62" s="1"/>
  <c r="G20" i="62" s="1"/>
  <c r="H20" i="62" s="1"/>
  <c r="K20" i="62" s="1"/>
  <c r="L20" i="62" s="1"/>
  <c r="D52" i="62"/>
  <c r="D52" i="61"/>
  <c r="G1" i="61"/>
  <c r="I1" i="61" s="1"/>
  <c r="E1" i="58"/>
  <c r="AM1" i="53"/>
  <c r="J52" i="53"/>
  <c r="J51" i="56"/>
  <c r="J53" i="56" s="1"/>
  <c r="B79" i="56" s="1"/>
  <c r="V44" i="65"/>
  <c r="U44" i="65"/>
  <c r="W44" i="65" s="1"/>
  <c r="J51" i="65" s="1"/>
  <c r="J51" i="67"/>
  <c r="I51" i="67" s="1"/>
  <c r="V44" i="58"/>
  <c r="U44" i="58"/>
  <c r="W44" i="58" s="1"/>
  <c r="J51" i="58" s="1"/>
  <c r="V44" i="74"/>
  <c r="U44" i="74"/>
  <c r="W44" i="74" s="1"/>
  <c r="J51" i="74" s="1"/>
  <c r="AE29" i="75"/>
  <c r="AD29" i="74"/>
  <c r="AB29" i="74"/>
  <c r="D5" i="73"/>
  <c r="D5" i="72"/>
  <c r="H51" i="72" s="1"/>
  <c r="D5" i="71"/>
  <c r="D100" i="71" s="1"/>
  <c r="AD29" i="71"/>
  <c r="AF29" i="71"/>
  <c r="D5" i="70"/>
  <c r="AF29" i="70"/>
  <c r="AD29" i="70"/>
  <c r="D5" i="62"/>
  <c r="D65" i="62" s="1"/>
  <c r="D5" i="61"/>
  <c r="D65" i="61" s="1"/>
  <c r="H51" i="61"/>
  <c r="D5" i="59"/>
  <c r="AD29" i="58"/>
  <c r="AB29" i="58"/>
  <c r="AB29" i="57"/>
  <c r="AF29" i="57"/>
  <c r="AC29" i="57"/>
  <c r="AD29" i="57"/>
  <c r="AA29" i="74"/>
  <c r="AB29" i="73"/>
  <c r="AC29" i="71"/>
  <c r="AC29" i="70"/>
  <c r="AB29" i="67"/>
  <c r="AC29" i="61"/>
  <c r="AB29" i="59"/>
  <c r="J53" i="73"/>
  <c r="J53" i="62"/>
  <c r="B82" i="62" s="1"/>
  <c r="I52" i="62"/>
  <c r="V44" i="48"/>
  <c r="U44" i="48"/>
  <c r="W44" i="48" s="1"/>
  <c r="J51" i="48" s="1"/>
  <c r="I51" i="48" s="1"/>
  <c r="D105" i="51"/>
  <c r="D84" i="51"/>
  <c r="D65" i="51"/>
  <c r="V44" i="47"/>
  <c r="U44" i="47"/>
  <c r="W44" i="47" s="1"/>
  <c r="D5" i="49"/>
  <c r="AE29" i="48"/>
  <c r="AC29" i="48"/>
  <c r="D5" i="44"/>
  <c r="H51" i="44" s="1"/>
  <c r="AE29" i="41"/>
  <c r="D5" i="41"/>
  <c r="AD29" i="79"/>
  <c r="D5" i="46"/>
  <c r="D65" i="46" s="1"/>
  <c r="D5" i="43"/>
  <c r="AB29" i="79"/>
  <c r="AB29" i="49"/>
  <c r="AB29" i="48"/>
  <c r="AB29" i="47"/>
  <c r="AC29" i="41"/>
  <c r="G1" i="49"/>
  <c r="I1" i="49" s="1"/>
  <c r="D52" i="49"/>
  <c r="J53" i="44"/>
  <c r="B82" i="44" s="1"/>
  <c r="E1" i="42"/>
  <c r="D52" i="42" s="1"/>
  <c r="J52" i="67"/>
  <c r="AM1" i="43"/>
  <c r="J52" i="43"/>
  <c r="J53" i="43" s="1"/>
  <c r="B79" i="43" s="1"/>
  <c r="I52" i="44"/>
  <c r="H52" i="44" s="1"/>
  <c r="G1" i="44"/>
  <c r="I1" i="44" s="1"/>
  <c r="D52" i="44"/>
  <c r="G1" i="43"/>
  <c r="I1" i="43" s="1"/>
  <c r="D52" i="43"/>
  <c r="AO1" i="41"/>
  <c r="AM1" i="41"/>
  <c r="J52" i="41"/>
  <c r="L5" i="51"/>
  <c r="I52" i="46"/>
  <c r="V44" i="33"/>
  <c r="U44" i="33"/>
  <c r="W44" i="33" s="1"/>
  <c r="J51" i="33" s="1"/>
  <c r="AA29" i="33"/>
  <c r="E1" i="32"/>
  <c r="D52" i="8"/>
  <c r="G1" i="8"/>
  <c r="I1" i="8" s="1"/>
  <c r="D52" i="33"/>
  <c r="G1" i="33"/>
  <c r="I1" i="33" s="1"/>
  <c r="E26" i="33" s="1"/>
  <c r="G26" i="33" s="1"/>
  <c r="H26" i="33" s="1"/>
  <c r="K26" i="33" s="1"/>
  <c r="L26" i="33" s="1"/>
  <c r="G1" i="26"/>
  <c r="I1" i="26" s="1"/>
  <c r="E20" i="26" s="1"/>
  <c r="G20" i="26" s="1"/>
  <c r="H20" i="26" s="1"/>
  <c r="K20" i="26" s="1"/>
  <c r="L20" i="26" s="1"/>
  <c r="D52" i="26"/>
  <c r="D65" i="77"/>
  <c r="D91" i="77"/>
  <c r="D77" i="77"/>
  <c r="E5" i="77"/>
  <c r="H52" i="77" s="1"/>
  <c r="C55" i="22"/>
  <c r="D55" i="22" s="1"/>
  <c r="AB29" i="19"/>
  <c r="E6" i="84"/>
  <c r="G6" i="84" s="1"/>
  <c r="H6" i="84" s="1"/>
  <c r="K6" i="84" s="1"/>
  <c r="L6" i="84" s="1"/>
  <c r="E7" i="84"/>
  <c r="G7" i="84" s="1"/>
  <c r="H7" i="84" s="1"/>
  <c r="K7" i="84" s="1"/>
  <c r="L7" i="84" s="1"/>
  <c r="E8" i="84"/>
  <c r="G8" i="84" s="1"/>
  <c r="H8" i="84" s="1"/>
  <c r="K8" i="84" s="1"/>
  <c r="L8" i="84" s="1"/>
  <c r="E9" i="84"/>
  <c r="G9" i="84" s="1"/>
  <c r="H9" i="84" s="1"/>
  <c r="K9" i="84" s="1"/>
  <c r="L9" i="84" s="1"/>
  <c r="D76" i="10"/>
  <c r="D89" i="10"/>
  <c r="K5" i="10"/>
  <c r="V44" i="7"/>
  <c r="U44" i="7"/>
  <c r="W44" i="7" s="1"/>
  <c r="J51" i="7" s="1"/>
  <c r="V44" i="69"/>
  <c r="U44" i="69"/>
  <c r="W44" i="69" s="1"/>
  <c r="J51" i="69" s="1"/>
  <c r="I51" i="69" s="1"/>
  <c r="J54" i="10"/>
  <c r="B82" i="10" s="1"/>
  <c r="I52" i="10"/>
  <c r="E5" i="10" s="1"/>
  <c r="I53" i="10"/>
  <c r="G5" i="75"/>
  <c r="H5" i="75" s="1"/>
  <c r="I52" i="51"/>
  <c r="E5" i="51" s="1"/>
  <c r="J53" i="51"/>
  <c r="B79" i="51" s="1"/>
  <c r="H79" i="51" s="1"/>
  <c r="J52" i="60"/>
  <c r="AO1" i="60"/>
  <c r="AM1" i="60"/>
  <c r="E1" i="60"/>
  <c r="AM11" i="58"/>
  <c r="AO11" i="58" s="1"/>
  <c r="AP11" i="58" s="1"/>
  <c r="AS11" i="58" s="1"/>
  <c r="AT11" i="58" s="1"/>
  <c r="AM6" i="58"/>
  <c r="AO6" i="58" s="1"/>
  <c r="AP6" i="58" s="1"/>
  <c r="AS6" i="58" s="1"/>
  <c r="AT6" i="58" s="1"/>
  <c r="AM10" i="58"/>
  <c r="AO10" i="58" s="1"/>
  <c r="AP10" i="58" s="1"/>
  <c r="AS10" i="58" s="1"/>
  <c r="AT10" i="58" s="1"/>
  <c r="AM12" i="58"/>
  <c r="AO12" i="58" s="1"/>
  <c r="AP12" i="58" s="1"/>
  <c r="AS12" i="58" s="1"/>
  <c r="AT12" i="58" s="1"/>
  <c r="AM13" i="58"/>
  <c r="AO13" i="58" s="1"/>
  <c r="AP13" i="58" s="1"/>
  <c r="AS13" i="58" s="1"/>
  <c r="AT13" i="58" s="1"/>
  <c r="AM5" i="58"/>
  <c r="AO5" i="58" s="1"/>
  <c r="AP5" i="58" s="1"/>
  <c r="AM14" i="58"/>
  <c r="AO14" i="58" s="1"/>
  <c r="AP14" i="58" s="1"/>
  <c r="AS14" i="58" s="1"/>
  <c r="AT14" i="58" s="1"/>
  <c r="AM9" i="58"/>
  <c r="AO9" i="58" s="1"/>
  <c r="AP9" i="58" s="1"/>
  <c r="AS9" i="58" s="1"/>
  <c r="AT9" i="58" s="1"/>
  <c r="AM8" i="58"/>
  <c r="AO8" i="58" s="1"/>
  <c r="AP8" i="58" s="1"/>
  <c r="AS8" i="58" s="1"/>
  <c r="AT8" i="58" s="1"/>
  <c r="AM15" i="58"/>
  <c r="AO15" i="58" s="1"/>
  <c r="AP15" i="58" s="1"/>
  <c r="AS15" i="58" s="1"/>
  <c r="AT15" i="58" s="1"/>
  <c r="AM7" i="58"/>
  <c r="AO7" i="58" s="1"/>
  <c r="AP7" i="58" s="1"/>
  <c r="AS7" i="58" s="1"/>
  <c r="AT7" i="58" s="1"/>
  <c r="AM10" i="56"/>
  <c r="AO10" i="56" s="1"/>
  <c r="AP10" i="56" s="1"/>
  <c r="AS10" i="56" s="1"/>
  <c r="AT10" i="56" s="1"/>
  <c r="AM5" i="56"/>
  <c r="AO5" i="56" s="1"/>
  <c r="AP5" i="56" s="1"/>
  <c r="AM13" i="56"/>
  <c r="AO13" i="56" s="1"/>
  <c r="AP13" i="56" s="1"/>
  <c r="AS13" i="56" s="1"/>
  <c r="AT13" i="56" s="1"/>
  <c r="AM8" i="56"/>
  <c r="AO8" i="56" s="1"/>
  <c r="AP8" i="56" s="1"/>
  <c r="AS8" i="56" s="1"/>
  <c r="AT8" i="56" s="1"/>
  <c r="AM9" i="56"/>
  <c r="AO9" i="56" s="1"/>
  <c r="AP9" i="56" s="1"/>
  <c r="AS9" i="56" s="1"/>
  <c r="AT9" i="56" s="1"/>
  <c r="AM11" i="56"/>
  <c r="AO11" i="56" s="1"/>
  <c r="AP11" i="56" s="1"/>
  <c r="AS11" i="56" s="1"/>
  <c r="AT11" i="56" s="1"/>
  <c r="AM12" i="56"/>
  <c r="AO12" i="56" s="1"/>
  <c r="AP12" i="56" s="1"/>
  <c r="AS12" i="56" s="1"/>
  <c r="AT12" i="56" s="1"/>
  <c r="AM7" i="56"/>
  <c r="AO7" i="56" s="1"/>
  <c r="AP7" i="56" s="1"/>
  <c r="AS7" i="56" s="1"/>
  <c r="AT7" i="56" s="1"/>
  <c r="AM6" i="56"/>
  <c r="AO6" i="56" s="1"/>
  <c r="AP6" i="56" s="1"/>
  <c r="AS6" i="56" s="1"/>
  <c r="AT6" i="56" s="1"/>
  <c r="E19" i="50"/>
  <c r="G19" i="50" s="1"/>
  <c r="H19" i="50" s="1"/>
  <c r="K19" i="50" s="1"/>
  <c r="L19" i="50" s="1"/>
  <c r="E18" i="50"/>
  <c r="G18" i="50" s="1"/>
  <c r="H18" i="50" s="1"/>
  <c r="K18" i="50" s="1"/>
  <c r="L18" i="50" s="1"/>
  <c r="E20" i="50"/>
  <c r="G20" i="50" s="1"/>
  <c r="H20" i="50" s="1"/>
  <c r="K20" i="50" s="1"/>
  <c r="L20" i="50" s="1"/>
  <c r="E21" i="50"/>
  <c r="G21" i="50" s="1"/>
  <c r="H21" i="50" s="1"/>
  <c r="K21" i="50" s="1"/>
  <c r="L21" i="50" s="1"/>
  <c r="E5" i="50"/>
  <c r="G5" i="50" s="1"/>
  <c r="H5" i="50" s="1"/>
  <c r="K5" i="50" s="1"/>
  <c r="L5" i="50" s="1"/>
  <c r="S35" i="50" s="1"/>
  <c r="C52" i="50"/>
  <c r="J53" i="35"/>
  <c r="B71" i="35" s="1"/>
  <c r="H71" i="35" s="1"/>
  <c r="I52" i="35"/>
  <c r="E5" i="35" s="1"/>
  <c r="AA30" i="35"/>
  <c r="T33" i="35"/>
  <c r="D52" i="25"/>
  <c r="G1" i="25"/>
  <c r="I1" i="25" s="1"/>
  <c r="C52" i="25" s="1"/>
  <c r="C53" i="25" s="1"/>
  <c r="D53" i="25" s="1"/>
  <c r="J52" i="25"/>
  <c r="AM1" i="25"/>
  <c r="AO1" i="25"/>
  <c r="G1" i="79"/>
  <c r="E5" i="79" s="1"/>
  <c r="AM6" i="79"/>
  <c r="AO6" i="79" s="1"/>
  <c r="AP6" i="79" s="1"/>
  <c r="AS6" i="79" s="1"/>
  <c r="AT6" i="79" s="1"/>
  <c r="AM7" i="79"/>
  <c r="AO7" i="79" s="1"/>
  <c r="AP7" i="79" s="1"/>
  <c r="AS7" i="79" s="1"/>
  <c r="AT7" i="79" s="1"/>
  <c r="AM8" i="79"/>
  <c r="AO8" i="79" s="1"/>
  <c r="AP8" i="79" s="1"/>
  <c r="AS8" i="79" s="1"/>
  <c r="AT8" i="79" s="1"/>
  <c r="AM9" i="79"/>
  <c r="AO9" i="79" s="1"/>
  <c r="AP9" i="79" s="1"/>
  <c r="AS9" i="79" s="1"/>
  <c r="AT9" i="79" s="1"/>
  <c r="AM10" i="79"/>
  <c r="AO10" i="79" s="1"/>
  <c r="AP10" i="79" s="1"/>
  <c r="AS10" i="79" s="1"/>
  <c r="AT10" i="79" s="1"/>
  <c r="AM11" i="79"/>
  <c r="AO11" i="79" s="1"/>
  <c r="AP11" i="79" s="1"/>
  <c r="AS11" i="79" s="1"/>
  <c r="AT11" i="79" s="1"/>
  <c r="AM12" i="79"/>
  <c r="AO12" i="79" s="1"/>
  <c r="AP12" i="79" s="1"/>
  <c r="AS12" i="79" s="1"/>
  <c r="AT12" i="79" s="1"/>
  <c r="AM13" i="79"/>
  <c r="AO13" i="79" s="1"/>
  <c r="AP13" i="79" s="1"/>
  <c r="AS13" i="79" s="1"/>
  <c r="AT13" i="79" s="1"/>
  <c r="AM14" i="79"/>
  <c r="AO14" i="79" s="1"/>
  <c r="AP14" i="79" s="1"/>
  <c r="AS14" i="79" s="1"/>
  <c r="AT14" i="79" s="1"/>
  <c r="AM15" i="79"/>
  <c r="AO15" i="79" s="1"/>
  <c r="AP15" i="79" s="1"/>
  <c r="AS15" i="79" s="1"/>
  <c r="AT15" i="79" s="1"/>
  <c r="AM16" i="79"/>
  <c r="AO16" i="79" s="1"/>
  <c r="AP16" i="79" s="1"/>
  <c r="AS16" i="79" s="1"/>
  <c r="AT16" i="79" s="1"/>
  <c r="AM17" i="79"/>
  <c r="AO17" i="79" s="1"/>
  <c r="AP17" i="79" s="1"/>
  <c r="AS17" i="79" s="1"/>
  <c r="AT17" i="79" s="1"/>
  <c r="AM18" i="79"/>
  <c r="AO18" i="79" s="1"/>
  <c r="AP18" i="79" s="1"/>
  <c r="AS18" i="79" s="1"/>
  <c r="AT18" i="79" s="1"/>
  <c r="AM19" i="79"/>
  <c r="AO19" i="79" s="1"/>
  <c r="AP19" i="79" s="1"/>
  <c r="AS19" i="79" s="1"/>
  <c r="AT19" i="79" s="1"/>
  <c r="AM5" i="79"/>
  <c r="AO5" i="79" s="1"/>
  <c r="AP5" i="79" s="1"/>
  <c r="C52" i="68"/>
  <c r="I1" i="68"/>
  <c r="I53" i="50"/>
  <c r="J54" i="50"/>
  <c r="B106" i="50" s="1"/>
  <c r="H53" i="50"/>
  <c r="E65" i="50" s="1"/>
  <c r="E1" i="55"/>
  <c r="E1" i="54"/>
  <c r="T30" i="54"/>
  <c r="D52" i="39"/>
  <c r="B73" i="39" s="1"/>
  <c r="G1" i="39"/>
  <c r="E1" i="38"/>
  <c r="E1" i="31"/>
  <c r="D52" i="31" s="1"/>
  <c r="G1" i="27"/>
  <c r="I1" i="27" s="1"/>
  <c r="D52" i="27"/>
  <c r="J54" i="27"/>
  <c r="B104" i="27" s="1"/>
  <c r="J54" i="16"/>
  <c r="B101" i="16" s="1"/>
  <c r="I53" i="16"/>
  <c r="E1" i="14"/>
  <c r="T30" i="14"/>
  <c r="E1" i="13"/>
  <c r="G1" i="12"/>
  <c r="I1" i="12" s="1"/>
  <c r="D52" i="12"/>
  <c r="B74" i="12" s="1"/>
  <c r="E1" i="37"/>
  <c r="J53" i="30"/>
  <c r="B75" i="30" s="1"/>
  <c r="I52" i="30"/>
  <c r="H52" i="30" s="1"/>
  <c r="L5" i="23"/>
  <c r="S33" i="23" s="1"/>
  <c r="J53" i="23"/>
  <c r="B80" i="23" s="1"/>
  <c r="I52" i="23"/>
  <c r="E5" i="23" s="1"/>
  <c r="AM7" i="22"/>
  <c r="AO7" i="22" s="1"/>
  <c r="AP7" i="22" s="1"/>
  <c r="AS7" i="22" s="1"/>
  <c r="AT7" i="22" s="1"/>
  <c r="AM9" i="22"/>
  <c r="AO9" i="22" s="1"/>
  <c r="AP9" i="22" s="1"/>
  <c r="AS9" i="22" s="1"/>
  <c r="AT9" i="22" s="1"/>
  <c r="AM16" i="22"/>
  <c r="AO16" i="22" s="1"/>
  <c r="AP16" i="22" s="1"/>
  <c r="AS16" i="22" s="1"/>
  <c r="AT16" i="22" s="1"/>
  <c r="AM11" i="22"/>
  <c r="AO11" i="22" s="1"/>
  <c r="AP11" i="22" s="1"/>
  <c r="AS11" i="22" s="1"/>
  <c r="AT11" i="22" s="1"/>
  <c r="AM17" i="22"/>
  <c r="AO17" i="22" s="1"/>
  <c r="AP17" i="22" s="1"/>
  <c r="AS17" i="22" s="1"/>
  <c r="AT17" i="22" s="1"/>
  <c r="AM13" i="22"/>
  <c r="AO13" i="22" s="1"/>
  <c r="AP13" i="22" s="1"/>
  <c r="AS13" i="22" s="1"/>
  <c r="AT13" i="22" s="1"/>
  <c r="AM12" i="22"/>
  <c r="AO12" i="22" s="1"/>
  <c r="AP12" i="22" s="1"/>
  <c r="AS12" i="22" s="1"/>
  <c r="AT12" i="22" s="1"/>
  <c r="AM15" i="22"/>
  <c r="AO15" i="22" s="1"/>
  <c r="AP15" i="22" s="1"/>
  <c r="AS15" i="22" s="1"/>
  <c r="AT15" i="22" s="1"/>
  <c r="AM10" i="22"/>
  <c r="AO10" i="22" s="1"/>
  <c r="AP10" i="22" s="1"/>
  <c r="AS10" i="22" s="1"/>
  <c r="AT10" i="22" s="1"/>
  <c r="AM5" i="22"/>
  <c r="AO5" i="22" s="1"/>
  <c r="AP5" i="22" s="1"/>
  <c r="AM14" i="22"/>
  <c r="AO14" i="22" s="1"/>
  <c r="AP14" i="22" s="1"/>
  <c r="AS14" i="22" s="1"/>
  <c r="AT14" i="22" s="1"/>
  <c r="AM8" i="22"/>
  <c r="AO8" i="22" s="1"/>
  <c r="AP8" i="22" s="1"/>
  <c r="AS8" i="22" s="1"/>
  <c r="AT8" i="22" s="1"/>
  <c r="AM6" i="22"/>
  <c r="AO6" i="22" s="1"/>
  <c r="AP6" i="22" s="1"/>
  <c r="AS6" i="22" s="1"/>
  <c r="AT6" i="22" s="1"/>
  <c r="E13" i="20"/>
  <c r="G13" i="20" s="1"/>
  <c r="H13" i="20" s="1"/>
  <c r="K13" i="20" s="1"/>
  <c r="L13" i="20" s="1"/>
  <c r="E8" i="20"/>
  <c r="G8" i="20" s="1"/>
  <c r="H8" i="20" s="1"/>
  <c r="K8" i="20" s="1"/>
  <c r="L8" i="20" s="1"/>
  <c r="E16" i="20"/>
  <c r="G16" i="20" s="1"/>
  <c r="H16" i="20" s="1"/>
  <c r="K16" i="20" s="1"/>
  <c r="L16" i="20" s="1"/>
  <c r="E11" i="20"/>
  <c r="G11" i="20" s="1"/>
  <c r="H11" i="20" s="1"/>
  <c r="K11" i="20" s="1"/>
  <c r="L11" i="20" s="1"/>
  <c r="E19" i="20"/>
  <c r="G19" i="20" s="1"/>
  <c r="H19" i="20" s="1"/>
  <c r="K19" i="20" s="1"/>
  <c r="L19" i="20" s="1"/>
  <c r="E12" i="20"/>
  <c r="G12" i="20" s="1"/>
  <c r="H12" i="20" s="1"/>
  <c r="K12" i="20" s="1"/>
  <c r="L12" i="20" s="1"/>
  <c r="E15" i="20"/>
  <c r="G15" i="20" s="1"/>
  <c r="H15" i="20" s="1"/>
  <c r="K15" i="20" s="1"/>
  <c r="L15" i="20" s="1"/>
  <c r="E10" i="20"/>
  <c r="G10" i="20" s="1"/>
  <c r="H10" i="20" s="1"/>
  <c r="K10" i="20" s="1"/>
  <c r="L10" i="20" s="1"/>
  <c r="E18" i="20"/>
  <c r="G18" i="20" s="1"/>
  <c r="H18" i="20" s="1"/>
  <c r="K18" i="20" s="1"/>
  <c r="L18" i="20" s="1"/>
  <c r="E6" i="20"/>
  <c r="G6" i="20" s="1"/>
  <c r="H6" i="20" s="1"/>
  <c r="K6" i="20" s="1"/>
  <c r="L6" i="20" s="1"/>
  <c r="E14" i="20"/>
  <c r="G14" i="20" s="1"/>
  <c r="H14" i="20" s="1"/>
  <c r="K14" i="20" s="1"/>
  <c r="L14" i="20" s="1"/>
  <c r="E9" i="20"/>
  <c r="G9" i="20" s="1"/>
  <c r="H9" i="20" s="1"/>
  <c r="K9" i="20" s="1"/>
  <c r="L9" i="20" s="1"/>
  <c r="E17" i="20"/>
  <c r="G17" i="20" s="1"/>
  <c r="H17" i="20" s="1"/>
  <c r="K17" i="20" s="1"/>
  <c r="L17" i="20" s="1"/>
  <c r="C52" i="20"/>
  <c r="E7" i="20"/>
  <c r="G7" i="20" s="1"/>
  <c r="H7" i="20" s="1"/>
  <c r="K7" i="20" s="1"/>
  <c r="L7" i="20" s="1"/>
  <c r="D52" i="19"/>
  <c r="G1" i="19"/>
  <c r="I1" i="19" s="1"/>
  <c r="G1" i="11"/>
  <c r="E18" i="11"/>
  <c r="G18" i="11" s="1"/>
  <c r="H18" i="11" s="1"/>
  <c r="K18" i="11" s="1"/>
  <c r="L18" i="11" s="1"/>
  <c r="E26" i="11"/>
  <c r="G26" i="11" s="1"/>
  <c r="H26" i="11" s="1"/>
  <c r="K26" i="11" s="1"/>
  <c r="L26" i="11" s="1"/>
  <c r="E19" i="11"/>
  <c r="G19" i="11" s="1"/>
  <c r="H19" i="11" s="1"/>
  <c r="K19" i="11" s="1"/>
  <c r="L19" i="11" s="1"/>
  <c r="E27" i="11"/>
  <c r="G27" i="11" s="1"/>
  <c r="H27" i="11" s="1"/>
  <c r="K27" i="11" s="1"/>
  <c r="L27" i="11" s="1"/>
  <c r="E23" i="11"/>
  <c r="G23" i="11" s="1"/>
  <c r="H23" i="11" s="1"/>
  <c r="K23" i="11" s="1"/>
  <c r="L23" i="11" s="1"/>
  <c r="E20" i="11"/>
  <c r="G20" i="11" s="1"/>
  <c r="H20" i="11" s="1"/>
  <c r="K20" i="11" s="1"/>
  <c r="L20" i="11" s="1"/>
  <c r="E14" i="11"/>
  <c r="G14" i="11" s="1"/>
  <c r="H14" i="11" s="1"/>
  <c r="E21" i="11"/>
  <c r="G21" i="11" s="1"/>
  <c r="H21" i="11" s="1"/>
  <c r="K21" i="11" s="1"/>
  <c r="L21" i="11" s="1"/>
  <c r="E22" i="11"/>
  <c r="G22" i="11" s="1"/>
  <c r="H22" i="11" s="1"/>
  <c r="K22" i="11" s="1"/>
  <c r="L22" i="11" s="1"/>
  <c r="E16" i="11"/>
  <c r="G16" i="11" s="1"/>
  <c r="H16" i="11" s="1"/>
  <c r="K16" i="11" s="1"/>
  <c r="L16" i="11" s="1"/>
  <c r="E24" i="11"/>
  <c r="G24" i="11" s="1"/>
  <c r="H24" i="11" s="1"/>
  <c r="K24" i="11" s="1"/>
  <c r="L24" i="11" s="1"/>
  <c r="E17" i="11"/>
  <c r="G17" i="11" s="1"/>
  <c r="H17" i="11" s="1"/>
  <c r="K17" i="11" s="1"/>
  <c r="L17" i="11" s="1"/>
  <c r="E25" i="11"/>
  <c r="G25" i="11" s="1"/>
  <c r="H25" i="11" s="1"/>
  <c r="K25" i="11" s="1"/>
  <c r="L25" i="11" s="1"/>
  <c r="E15" i="11"/>
  <c r="G15" i="11" s="1"/>
  <c r="H15" i="11" s="1"/>
  <c r="K15" i="11" s="1"/>
  <c r="L15" i="11" s="1"/>
  <c r="E12" i="7"/>
  <c r="G12" i="7" s="1"/>
  <c r="H12" i="7" s="1"/>
  <c r="K12" i="7" s="1"/>
  <c r="L12" i="7" s="1"/>
  <c r="C52" i="7"/>
  <c r="E7" i="7"/>
  <c r="G7" i="7" s="1"/>
  <c r="H7" i="7" s="1"/>
  <c r="K7" i="7" s="1"/>
  <c r="L7" i="7" s="1"/>
  <c r="E15" i="7"/>
  <c r="G15" i="7" s="1"/>
  <c r="H15" i="7" s="1"/>
  <c r="K15" i="7" s="1"/>
  <c r="L15" i="7" s="1"/>
  <c r="E10" i="7"/>
  <c r="G10" i="7" s="1"/>
  <c r="H10" i="7" s="1"/>
  <c r="K10" i="7" s="1"/>
  <c r="L10" i="7" s="1"/>
  <c r="E18" i="7"/>
  <c r="G18" i="7" s="1"/>
  <c r="H18" i="7" s="1"/>
  <c r="K18" i="7" s="1"/>
  <c r="L18" i="7" s="1"/>
  <c r="E13" i="7"/>
  <c r="G13" i="7" s="1"/>
  <c r="H13" i="7" s="1"/>
  <c r="K13" i="7" s="1"/>
  <c r="L13" i="7" s="1"/>
  <c r="E8" i="7"/>
  <c r="G8" i="7" s="1"/>
  <c r="H8" i="7" s="1"/>
  <c r="K8" i="7" s="1"/>
  <c r="L8" i="7" s="1"/>
  <c r="E16" i="7"/>
  <c r="G16" i="7" s="1"/>
  <c r="H16" i="7" s="1"/>
  <c r="K16" i="7" s="1"/>
  <c r="L16" i="7" s="1"/>
  <c r="E11" i="7"/>
  <c r="G11" i="7" s="1"/>
  <c r="H11" i="7" s="1"/>
  <c r="K11" i="7" s="1"/>
  <c r="L11" i="7" s="1"/>
  <c r="E19" i="7"/>
  <c r="G19" i="7" s="1"/>
  <c r="H19" i="7" s="1"/>
  <c r="K19" i="7" s="1"/>
  <c r="L19" i="7" s="1"/>
  <c r="E6" i="7"/>
  <c r="G6" i="7" s="1"/>
  <c r="H6" i="7" s="1"/>
  <c r="K6" i="7" s="1"/>
  <c r="L6" i="7" s="1"/>
  <c r="E14" i="7"/>
  <c r="G14" i="7" s="1"/>
  <c r="H14" i="7" s="1"/>
  <c r="K14" i="7" s="1"/>
  <c r="L14" i="7" s="1"/>
  <c r="E9" i="7"/>
  <c r="G9" i="7" s="1"/>
  <c r="H9" i="7" s="1"/>
  <c r="K9" i="7" s="1"/>
  <c r="L9" i="7" s="1"/>
  <c r="E17" i="7"/>
  <c r="G17" i="7" s="1"/>
  <c r="H17" i="7" s="1"/>
  <c r="K17" i="7" s="1"/>
  <c r="L17" i="7" s="1"/>
  <c r="C52" i="45"/>
  <c r="C53" i="45" s="1"/>
  <c r="D53" i="45" s="1"/>
  <c r="E13" i="45"/>
  <c r="G13" i="45" s="1"/>
  <c r="H13" i="45" s="1"/>
  <c r="K13" i="45" s="1"/>
  <c r="L13" i="45" s="1"/>
  <c r="E14" i="45"/>
  <c r="G14" i="45" s="1"/>
  <c r="H14" i="45" s="1"/>
  <c r="K14" i="45" s="1"/>
  <c r="L14" i="45" s="1"/>
  <c r="E10" i="45"/>
  <c r="G10" i="45" s="1"/>
  <c r="H10" i="45" s="1"/>
  <c r="K10" i="45" s="1"/>
  <c r="L10" i="45" s="1"/>
  <c r="E18" i="45"/>
  <c r="G18" i="45" s="1"/>
  <c r="H18" i="45" s="1"/>
  <c r="K18" i="45" s="1"/>
  <c r="L18" i="45" s="1"/>
  <c r="E6" i="45"/>
  <c r="G6" i="45" s="1"/>
  <c r="H6" i="45" s="1"/>
  <c r="K6" i="45" s="1"/>
  <c r="L6" i="45" s="1"/>
  <c r="J52" i="45"/>
  <c r="I52" i="45" s="1"/>
  <c r="D52" i="45"/>
  <c r="V44" i="45" s="1"/>
  <c r="E7" i="45"/>
  <c r="G7" i="45" s="1"/>
  <c r="H7" i="45" s="1"/>
  <c r="K7" i="45" s="1"/>
  <c r="L7" i="45" s="1"/>
  <c r="E11" i="45"/>
  <c r="G11" i="45" s="1"/>
  <c r="H11" i="45" s="1"/>
  <c r="K11" i="45" s="1"/>
  <c r="L11" i="45" s="1"/>
  <c r="E20" i="45"/>
  <c r="G20" i="45" s="1"/>
  <c r="H20" i="45" s="1"/>
  <c r="K20" i="45" s="1"/>
  <c r="L20" i="45" s="1"/>
  <c r="E5" i="45"/>
  <c r="E12" i="45"/>
  <c r="G12" i="45" s="1"/>
  <c r="H12" i="45" s="1"/>
  <c r="K12" i="45" s="1"/>
  <c r="L12" i="45" s="1"/>
  <c r="E16" i="45"/>
  <c r="G16" i="45" s="1"/>
  <c r="H16" i="45" s="1"/>
  <c r="K16" i="45" s="1"/>
  <c r="L16" i="45" s="1"/>
  <c r="E19" i="45"/>
  <c r="G19" i="45" s="1"/>
  <c r="H19" i="45" s="1"/>
  <c r="K19" i="45" s="1"/>
  <c r="L19" i="45" s="1"/>
  <c r="E17" i="45"/>
  <c r="G17" i="45" s="1"/>
  <c r="H17" i="45" s="1"/>
  <c r="K17" i="45" s="1"/>
  <c r="L17" i="45" s="1"/>
  <c r="E8" i="45"/>
  <c r="G8" i="45" s="1"/>
  <c r="H8" i="45" s="1"/>
  <c r="K8" i="45" s="1"/>
  <c r="L8" i="45" s="1"/>
  <c r="E15" i="45"/>
  <c r="G15" i="45" s="1"/>
  <c r="H15" i="45" s="1"/>
  <c r="K15" i="45" s="1"/>
  <c r="L15" i="45" s="1"/>
  <c r="E9" i="45"/>
  <c r="G9" i="45" s="1"/>
  <c r="H9" i="45" s="1"/>
  <c r="K9" i="45" s="1"/>
  <c r="L9" i="45" s="1"/>
  <c r="U44" i="45"/>
  <c r="W44" i="45" s="1"/>
  <c r="J51" i="45" s="1"/>
  <c r="D52" i="3"/>
  <c r="J53" i="6"/>
  <c r="B73" i="6" s="1"/>
  <c r="I52" i="6"/>
  <c r="G1" i="6"/>
  <c r="I1" i="6" s="1"/>
  <c r="D52" i="6"/>
  <c r="J53" i="9"/>
  <c r="I52" i="9"/>
  <c r="H52" i="9" s="1"/>
  <c r="E65" i="9" s="1"/>
  <c r="D52" i="9"/>
  <c r="G1" i="9"/>
  <c r="I1" i="9" s="1"/>
  <c r="C52" i="9" s="1"/>
  <c r="E13" i="75"/>
  <c r="G13" i="75" s="1"/>
  <c r="H13" i="75" s="1"/>
  <c r="E15" i="75"/>
  <c r="G15" i="75" s="1"/>
  <c r="H15" i="75" s="1"/>
  <c r="K15" i="75" s="1"/>
  <c r="L15" i="75" s="1"/>
  <c r="E22" i="75"/>
  <c r="G22" i="75" s="1"/>
  <c r="H22" i="75" s="1"/>
  <c r="K22" i="75" s="1"/>
  <c r="L22" i="75" s="1"/>
  <c r="E24" i="75"/>
  <c r="G24" i="75" s="1"/>
  <c r="H24" i="75" s="1"/>
  <c r="K24" i="75" s="1"/>
  <c r="L24" i="75" s="1"/>
  <c r="E21" i="75"/>
  <c r="G21" i="75" s="1"/>
  <c r="H21" i="75" s="1"/>
  <c r="K21" i="75" s="1"/>
  <c r="L21" i="75" s="1"/>
  <c r="E20" i="75"/>
  <c r="G20" i="75" s="1"/>
  <c r="H20" i="75" s="1"/>
  <c r="K20" i="75" s="1"/>
  <c r="L20" i="75" s="1"/>
  <c r="E19" i="75"/>
  <c r="G19" i="75" s="1"/>
  <c r="H19" i="75" s="1"/>
  <c r="K19" i="75" s="1"/>
  <c r="L19" i="75" s="1"/>
  <c r="E18" i="75"/>
  <c r="G18" i="75" s="1"/>
  <c r="H18" i="75" s="1"/>
  <c r="K18" i="75" s="1"/>
  <c r="L18" i="75" s="1"/>
  <c r="E17" i="75"/>
  <c r="G17" i="75" s="1"/>
  <c r="H17" i="75" s="1"/>
  <c r="K17" i="75" s="1"/>
  <c r="L17" i="75" s="1"/>
  <c r="E16" i="75"/>
  <c r="G16" i="75" s="1"/>
  <c r="H16" i="75" s="1"/>
  <c r="K16" i="75" s="1"/>
  <c r="L16" i="75" s="1"/>
  <c r="E14" i="75"/>
  <c r="G14" i="75" s="1"/>
  <c r="H14" i="75" s="1"/>
  <c r="K14" i="75" s="1"/>
  <c r="L14" i="75" s="1"/>
  <c r="E23" i="75"/>
  <c r="G23" i="75" s="1"/>
  <c r="H23" i="75" s="1"/>
  <c r="K23" i="75" s="1"/>
  <c r="L23" i="75" s="1"/>
  <c r="G1" i="74"/>
  <c r="I1" i="74" s="1"/>
  <c r="D52" i="74"/>
  <c r="AM6" i="73"/>
  <c r="AO6" i="73" s="1"/>
  <c r="AP6" i="73" s="1"/>
  <c r="AS6" i="73" s="1"/>
  <c r="AT6" i="73" s="1"/>
  <c r="AM11" i="73"/>
  <c r="AO11" i="73" s="1"/>
  <c r="AP11" i="73" s="1"/>
  <c r="AS11" i="73" s="1"/>
  <c r="AT11" i="73" s="1"/>
  <c r="AM7" i="73"/>
  <c r="AO7" i="73" s="1"/>
  <c r="AP7" i="73" s="1"/>
  <c r="AS7" i="73" s="1"/>
  <c r="AT7" i="73" s="1"/>
  <c r="AM12" i="73"/>
  <c r="AO12" i="73" s="1"/>
  <c r="AP12" i="73" s="1"/>
  <c r="AS12" i="73" s="1"/>
  <c r="AT12" i="73" s="1"/>
  <c r="AM10" i="73"/>
  <c r="AO10" i="73" s="1"/>
  <c r="AP10" i="73" s="1"/>
  <c r="AS10" i="73" s="1"/>
  <c r="AT10" i="73" s="1"/>
  <c r="AM8" i="73"/>
  <c r="AO8" i="73" s="1"/>
  <c r="AP8" i="73" s="1"/>
  <c r="AS8" i="73" s="1"/>
  <c r="AT8" i="73" s="1"/>
  <c r="AM5" i="73"/>
  <c r="AO5" i="73" s="1"/>
  <c r="AP5" i="73" s="1"/>
  <c r="AM9" i="73"/>
  <c r="AO9" i="73" s="1"/>
  <c r="AP9" i="73" s="1"/>
  <c r="AS9" i="73" s="1"/>
  <c r="AT9" i="73" s="1"/>
  <c r="AM13" i="73"/>
  <c r="AO13" i="73" s="1"/>
  <c r="AP13" i="73" s="1"/>
  <c r="AS13" i="73" s="1"/>
  <c r="AT13" i="73" s="1"/>
  <c r="G1" i="71"/>
  <c r="I1" i="71" s="1"/>
  <c r="D52" i="71"/>
  <c r="E1" i="70"/>
  <c r="I52" i="66"/>
  <c r="J53" i="66"/>
  <c r="B75" i="66" s="1"/>
  <c r="H75" i="66" s="1"/>
  <c r="H5" i="66"/>
  <c r="K5" i="66" s="1"/>
  <c r="L5" i="66" s="1"/>
  <c r="D52" i="69"/>
  <c r="G1" i="69"/>
  <c r="I1" i="69" s="1"/>
  <c r="J53" i="59" l="1"/>
  <c r="I52" i="59"/>
  <c r="H52" i="59" s="1"/>
  <c r="J53" i="49"/>
  <c r="I52" i="49"/>
  <c r="H52" i="49" s="1"/>
  <c r="I52" i="19"/>
  <c r="J53" i="19"/>
  <c r="AM7" i="59"/>
  <c r="AO7" i="59" s="1"/>
  <c r="AP7" i="59" s="1"/>
  <c r="AS7" i="59" s="1"/>
  <c r="AT7" i="59" s="1"/>
  <c r="AM5" i="59"/>
  <c r="AO5" i="59" s="1"/>
  <c r="AP5" i="59" s="1"/>
  <c r="AM6" i="59"/>
  <c r="AO6" i="59" s="1"/>
  <c r="AP6" i="59" s="1"/>
  <c r="AS6" i="59" s="1"/>
  <c r="AT6" i="59" s="1"/>
  <c r="AM13" i="59"/>
  <c r="AO13" i="59" s="1"/>
  <c r="AP13" i="59" s="1"/>
  <c r="AS13" i="59" s="1"/>
  <c r="AT13" i="59" s="1"/>
  <c r="AM8" i="59"/>
  <c r="AO8" i="59" s="1"/>
  <c r="AP8" i="59" s="1"/>
  <c r="AS8" i="59" s="1"/>
  <c r="AT8" i="59" s="1"/>
  <c r="AM10" i="59"/>
  <c r="AO10" i="59" s="1"/>
  <c r="AP10" i="59" s="1"/>
  <c r="AS10" i="59" s="1"/>
  <c r="AT10" i="59" s="1"/>
  <c r="AM11" i="59"/>
  <c r="AO11" i="59" s="1"/>
  <c r="AP11" i="59" s="1"/>
  <c r="AS11" i="59" s="1"/>
  <c r="AT11" i="59" s="1"/>
  <c r="AM9" i="59"/>
  <c r="AO9" i="59" s="1"/>
  <c r="AP9" i="59" s="1"/>
  <c r="AS9" i="59" s="1"/>
  <c r="AT9" i="59" s="1"/>
  <c r="AM12" i="59"/>
  <c r="AO12" i="59" s="1"/>
  <c r="AP12" i="59" s="1"/>
  <c r="AS12" i="59" s="1"/>
  <c r="AT12" i="59" s="1"/>
  <c r="E20" i="85"/>
  <c r="G20" i="85" s="1"/>
  <c r="H20" i="85" s="1"/>
  <c r="K20" i="85" s="1"/>
  <c r="L20" i="85" s="1"/>
  <c r="E12" i="85"/>
  <c r="G12" i="85" s="1"/>
  <c r="H12" i="85" s="1"/>
  <c r="K12" i="85" s="1"/>
  <c r="L12" i="85" s="1"/>
  <c r="AM6" i="49"/>
  <c r="AO6" i="49" s="1"/>
  <c r="AP6" i="49" s="1"/>
  <c r="AS6" i="49" s="1"/>
  <c r="AT6" i="49" s="1"/>
  <c r="AM7" i="49"/>
  <c r="AO7" i="49" s="1"/>
  <c r="AP7" i="49" s="1"/>
  <c r="AS7" i="49" s="1"/>
  <c r="AT7" i="49" s="1"/>
  <c r="AM5" i="49"/>
  <c r="AO5" i="49" s="1"/>
  <c r="AP5" i="49" s="1"/>
  <c r="AM8" i="49"/>
  <c r="AO8" i="49" s="1"/>
  <c r="AP8" i="49" s="1"/>
  <c r="AS8" i="49" s="1"/>
  <c r="AT8" i="49" s="1"/>
  <c r="AM9" i="49"/>
  <c r="AO9" i="49" s="1"/>
  <c r="AP9" i="49" s="1"/>
  <c r="AS9" i="49" s="1"/>
  <c r="AT9" i="49" s="1"/>
  <c r="AM10" i="49"/>
  <c r="AO10" i="49" s="1"/>
  <c r="AP10" i="49" s="1"/>
  <c r="AS10" i="49" s="1"/>
  <c r="AT10" i="49" s="1"/>
  <c r="AM11" i="49"/>
  <c r="AO11" i="49" s="1"/>
  <c r="AP11" i="49" s="1"/>
  <c r="AS11" i="49" s="1"/>
  <c r="AT11" i="49" s="1"/>
  <c r="AM12" i="49"/>
  <c r="AO12" i="49" s="1"/>
  <c r="AP12" i="49" s="1"/>
  <c r="AS12" i="49" s="1"/>
  <c r="AT12" i="49" s="1"/>
  <c r="AM13" i="49"/>
  <c r="AO13" i="49" s="1"/>
  <c r="AP13" i="49" s="1"/>
  <c r="AS13" i="49" s="1"/>
  <c r="AT13" i="49" s="1"/>
  <c r="AM5" i="19"/>
  <c r="AO5" i="19" s="1"/>
  <c r="AP5" i="19" s="1"/>
  <c r="AM8" i="19"/>
  <c r="AO8" i="19" s="1"/>
  <c r="AP8" i="19" s="1"/>
  <c r="AS8" i="19" s="1"/>
  <c r="AT8" i="19" s="1"/>
  <c r="AM9" i="19"/>
  <c r="AO9" i="19" s="1"/>
  <c r="AP9" i="19" s="1"/>
  <c r="AS9" i="19" s="1"/>
  <c r="AT9" i="19" s="1"/>
  <c r="AM6" i="19"/>
  <c r="AO6" i="19" s="1"/>
  <c r="AP6" i="19" s="1"/>
  <c r="AS6" i="19" s="1"/>
  <c r="AT6" i="19" s="1"/>
  <c r="AM11" i="19"/>
  <c r="AO11" i="19" s="1"/>
  <c r="AP11" i="19" s="1"/>
  <c r="AS11" i="19" s="1"/>
  <c r="AT11" i="19" s="1"/>
  <c r="AM10" i="19"/>
  <c r="AO10" i="19" s="1"/>
  <c r="AP10" i="19" s="1"/>
  <c r="AS10" i="19" s="1"/>
  <c r="AT10" i="19" s="1"/>
  <c r="AM7" i="19"/>
  <c r="AO7" i="19" s="1"/>
  <c r="AP7" i="19" s="1"/>
  <c r="AS7" i="19" s="1"/>
  <c r="AT7" i="19" s="1"/>
  <c r="AM12" i="19"/>
  <c r="AO12" i="19" s="1"/>
  <c r="AP12" i="19" s="1"/>
  <c r="AS12" i="19" s="1"/>
  <c r="AT12" i="19" s="1"/>
  <c r="AM13" i="19"/>
  <c r="AO13" i="19" s="1"/>
  <c r="AP13" i="19" s="1"/>
  <c r="AS13" i="19" s="1"/>
  <c r="AT13" i="19" s="1"/>
  <c r="E15" i="85"/>
  <c r="G15" i="85" s="1"/>
  <c r="H15" i="85" s="1"/>
  <c r="K15" i="85" s="1"/>
  <c r="L15" i="85" s="1"/>
  <c r="E13" i="85"/>
  <c r="G13" i="85" s="1"/>
  <c r="H13" i="85" s="1"/>
  <c r="K13" i="85" s="1"/>
  <c r="L13" i="85" s="1"/>
  <c r="E8" i="85"/>
  <c r="G8" i="85" s="1"/>
  <c r="H8" i="85" s="1"/>
  <c r="K8" i="85" s="1"/>
  <c r="L8" i="85" s="1"/>
  <c r="E6" i="85"/>
  <c r="G6" i="85" s="1"/>
  <c r="H6" i="85" s="1"/>
  <c r="K6" i="85" s="1"/>
  <c r="L6" i="85" s="1"/>
  <c r="E9" i="85"/>
  <c r="G9" i="85" s="1"/>
  <c r="H9" i="85" s="1"/>
  <c r="K9" i="85" s="1"/>
  <c r="L9" i="85" s="1"/>
  <c r="E19" i="85"/>
  <c r="G19" i="85" s="1"/>
  <c r="H19" i="85" s="1"/>
  <c r="K19" i="85" s="1"/>
  <c r="L19" i="85" s="1"/>
  <c r="E14" i="85"/>
  <c r="G14" i="85" s="1"/>
  <c r="H14" i="85" s="1"/>
  <c r="K14" i="85" s="1"/>
  <c r="L14" i="85" s="1"/>
  <c r="E16" i="85"/>
  <c r="G16" i="85" s="1"/>
  <c r="H16" i="85" s="1"/>
  <c r="K16" i="85" s="1"/>
  <c r="L16" i="85" s="1"/>
  <c r="AM7" i="28"/>
  <c r="AO7" i="28" s="1"/>
  <c r="AP7" i="28" s="1"/>
  <c r="AS7" i="28" s="1"/>
  <c r="AT7" i="28" s="1"/>
  <c r="AM5" i="28"/>
  <c r="AO5" i="28" s="1"/>
  <c r="AP5" i="28" s="1"/>
  <c r="AM17" i="28"/>
  <c r="AO17" i="28" s="1"/>
  <c r="AP17" i="28" s="1"/>
  <c r="AS17" i="28" s="1"/>
  <c r="AT17" i="28" s="1"/>
  <c r="AM12" i="28"/>
  <c r="AO12" i="28" s="1"/>
  <c r="AP12" i="28" s="1"/>
  <c r="AS12" i="28" s="1"/>
  <c r="AT12" i="28" s="1"/>
  <c r="AM13" i="28"/>
  <c r="AO13" i="28" s="1"/>
  <c r="AP13" i="28" s="1"/>
  <c r="AS13" i="28" s="1"/>
  <c r="AT13" i="28" s="1"/>
  <c r="AM8" i="28"/>
  <c r="AO8" i="28" s="1"/>
  <c r="AP8" i="28" s="1"/>
  <c r="AS8" i="28" s="1"/>
  <c r="AT8" i="28" s="1"/>
  <c r="AM9" i="28"/>
  <c r="AO9" i="28" s="1"/>
  <c r="AP9" i="28" s="1"/>
  <c r="AS9" i="28" s="1"/>
  <c r="AT9" i="28" s="1"/>
  <c r="AM14" i="28"/>
  <c r="AO14" i="28" s="1"/>
  <c r="AP14" i="28" s="1"/>
  <c r="AS14" i="28" s="1"/>
  <c r="AT14" i="28" s="1"/>
  <c r="AM6" i="28"/>
  <c r="AO6" i="28" s="1"/>
  <c r="AP6" i="28" s="1"/>
  <c r="AS6" i="28" s="1"/>
  <c r="AT6" i="28" s="1"/>
  <c r="E5" i="85"/>
  <c r="G5" i="85" s="1"/>
  <c r="H5" i="85" s="1"/>
  <c r="K5" i="85" s="1"/>
  <c r="L5" i="85" s="1"/>
  <c r="E10" i="85"/>
  <c r="G10" i="85" s="1"/>
  <c r="H10" i="85" s="1"/>
  <c r="K10" i="85" s="1"/>
  <c r="L10" i="85" s="1"/>
  <c r="E7" i="85"/>
  <c r="G7" i="85" s="1"/>
  <c r="H7" i="85" s="1"/>
  <c r="K7" i="85" s="1"/>
  <c r="L7" i="85" s="1"/>
  <c r="E18" i="85"/>
  <c r="G18" i="85" s="1"/>
  <c r="H18" i="85" s="1"/>
  <c r="K18" i="85" s="1"/>
  <c r="L18" i="85" s="1"/>
  <c r="E11" i="85"/>
  <c r="G11" i="85" s="1"/>
  <c r="H11" i="85" s="1"/>
  <c r="K11" i="85" s="1"/>
  <c r="L11" i="85" s="1"/>
  <c r="E17" i="85"/>
  <c r="G17" i="85" s="1"/>
  <c r="H17" i="85" s="1"/>
  <c r="K17" i="85" s="1"/>
  <c r="L17" i="85" s="1"/>
  <c r="E21" i="85"/>
  <c r="G21" i="85" s="1"/>
  <c r="H21" i="85" s="1"/>
  <c r="K21" i="85" s="1"/>
  <c r="L21" i="85" s="1"/>
  <c r="AM11" i="28"/>
  <c r="AO11" i="28" s="1"/>
  <c r="AP11" i="28" s="1"/>
  <c r="AS11" i="28" s="1"/>
  <c r="AT11" i="28" s="1"/>
  <c r="AM18" i="28"/>
  <c r="AO18" i="28" s="1"/>
  <c r="AP18" i="28" s="1"/>
  <c r="AS18" i="28" s="1"/>
  <c r="AT18" i="28" s="1"/>
  <c r="AM15" i="28"/>
  <c r="AO15" i="28" s="1"/>
  <c r="AP15" i="28" s="1"/>
  <c r="AS15" i="28" s="1"/>
  <c r="AT15" i="28" s="1"/>
  <c r="AM16" i="28"/>
  <c r="AO16" i="28" s="1"/>
  <c r="AP16" i="28" s="1"/>
  <c r="AS16" i="28" s="1"/>
  <c r="AT16" i="28" s="1"/>
  <c r="AM10" i="28"/>
  <c r="AO10" i="28" s="1"/>
  <c r="AP10" i="28" s="1"/>
  <c r="AS10" i="28" s="1"/>
  <c r="AT10" i="28" s="1"/>
  <c r="AM19" i="28"/>
  <c r="AO19" i="28" s="1"/>
  <c r="AP19" i="28" s="1"/>
  <c r="AS19" i="28" s="1"/>
  <c r="AT19" i="28" s="1"/>
  <c r="C54" i="85"/>
  <c r="D54" i="85" s="1"/>
  <c r="AB21" i="92"/>
  <c r="AC21" i="92" s="1"/>
  <c r="AC16" i="92" s="1"/>
  <c r="U33" i="92"/>
  <c r="I52" i="28"/>
  <c r="J53" i="28"/>
  <c r="J54" i="28" s="1"/>
  <c r="D5" i="28"/>
  <c r="I52" i="48"/>
  <c r="J53" i="48"/>
  <c r="E16" i="29"/>
  <c r="G16" i="29" s="1"/>
  <c r="H16" i="29" s="1"/>
  <c r="K16" i="29" s="1"/>
  <c r="L16" i="29" s="1"/>
  <c r="E15" i="29"/>
  <c r="G15" i="29" s="1"/>
  <c r="H15" i="29" s="1"/>
  <c r="K15" i="29" s="1"/>
  <c r="L15" i="29" s="1"/>
  <c r="AM13" i="43"/>
  <c r="AO13" i="43" s="1"/>
  <c r="AP13" i="43" s="1"/>
  <c r="AS13" i="43" s="1"/>
  <c r="AT13" i="43" s="1"/>
  <c r="AM16" i="43"/>
  <c r="AO16" i="43" s="1"/>
  <c r="AP16" i="43" s="1"/>
  <c r="AS16" i="43" s="1"/>
  <c r="AT16" i="43" s="1"/>
  <c r="AM10" i="43"/>
  <c r="AO10" i="43" s="1"/>
  <c r="AP10" i="43" s="1"/>
  <c r="AS10" i="43" s="1"/>
  <c r="AT10" i="43" s="1"/>
  <c r="AM17" i="43"/>
  <c r="AO17" i="43" s="1"/>
  <c r="AP17" i="43" s="1"/>
  <c r="AS17" i="43" s="1"/>
  <c r="AT17" i="43" s="1"/>
  <c r="AM9" i="43"/>
  <c r="AO9" i="43" s="1"/>
  <c r="AP9" i="43" s="1"/>
  <c r="AS9" i="43" s="1"/>
  <c r="AT9" i="43" s="1"/>
  <c r="AM11" i="43"/>
  <c r="AO11" i="43" s="1"/>
  <c r="AP11" i="43" s="1"/>
  <c r="AS11" i="43" s="1"/>
  <c r="AT11" i="43" s="1"/>
  <c r="AM15" i="43"/>
  <c r="AO15" i="43" s="1"/>
  <c r="AP15" i="43" s="1"/>
  <c r="AS15" i="43" s="1"/>
  <c r="AT15" i="43" s="1"/>
  <c r="AM8" i="43"/>
  <c r="AO8" i="43" s="1"/>
  <c r="AP8" i="43" s="1"/>
  <c r="AS8" i="43" s="1"/>
  <c r="AT8" i="43" s="1"/>
  <c r="AM12" i="43"/>
  <c r="AO12" i="43" s="1"/>
  <c r="AP12" i="43" s="1"/>
  <c r="AS12" i="43" s="1"/>
  <c r="AT12" i="43" s="1"/>
  <c r="AM7" i="43"/>
  <c r="AO7" i="43" s="1"/>
  <c r="AP7" i="43" s="1"/>
  <c r="AS7" i="43" s="1"/>
  <c r="AT7" i="43" s="1"/>
  <c r="AM14" i="43"/>
  <c r="AO14" i="43" s="1"/>
  <c r="AP14" i="43" s="1"/>
  <c r="AS14" i="43" s="1"/>
  <c r="AT14" i="43" s="1"/>
  <c r="E7" i="29"/>
  <c r="G7" i="29" s="1"/>
  <c r="H7" i="29" s="1"/>
  <c r="K7" i="29" s="1"/>
  <c r="L7" i="29" s="1"/>
  <c r="E8" i="29"/>
  <c r="G8" i="29" s="1"/>
  <c r="H8" i="29" s="1"/>
  <c r="K8" i="29" s="1"/>
  <c r="L8" i="29" s="1"/>
  <c r="E18" i="29"/>
  <c r="G18" i="29" s="1"/>
  <c r="H18" i="29" s="1"/>
  <c r="K18" i="29" s="1"/>
  <c r="L18" i="29" s="1"/>
  <c r="E10" i="29"/>
  <c r="G10" i="29" s="1"/>
  <c r="H10" i="29" s="1"/>
  <c r="K10" i="29" s="1"/>
  <c r="L10" i="29" s="1"/>
  <c r="C52" i="29"/>
  <c r="C53" i="29" s="1"/>
  <c r="D53" i="29" s="1"/>
  <c r="E17" i="29"/>
  <c r="G17" i="29" s="1"/>
  <c r="H17" i="29" s="1"/>
  <c r="K17" i="29" s="1"/>
  <c r="L17" i="29" s="1"/>
  <c r="E6" i="29"/>
  <c r="G6" i="29" s="1"/>
  <c r="H6" i="29" s="1"/>
  <c r="K6" i="29" s="1"/>
  <c r="L6" i="29" s="1"/>
  <c r="E14" i="29"/>
  <c r="G14" i="29" s="1"/>
  <c r="H14" i="29" s="1"/>
  <c r="K14" i="29" s="1"/>
  <c r="L14" i="29" s="1"/>
  <c r="E11" i="29"/>
  <c r="G11" i="29" s="1"/>
  <c r="H11" i="29" s="1"/>
  <c r="K11" i="29" s="1"/>
  <c r="L11" i="29" s="1"/>
  <c r="E13" i="29"/>
  <c r="G13" i="29" s="1"/>
  <c r="H13" i="29" s="1"/>
  <c r="K13" i="29" s="1"/>
  <c r="L13" i="29" s="1"/>
  <c r="E19" i="29"/>
  <c r="G19" i="29" s="1"/>
  <c r="H19" i="29" s="1"/>
  <c r="K19" i="29" s="1"/>
  <c r="L19" i="29" s="1"/>
  <c r="D52" i="29"/>
  <c r="V35" i="56"/>
  <c r="AA30" i="56" s="1"/>
  <c r="V28" i="79"/>
  <c r="V32" i="79" s="1"/>
  <c r="S32" i="83"/>
  <c r="AC25" i="83" s="1"/>
  <c r="S33" i="84"/>
  <c r="AC25" i="84" s="1"/>
  <c r="K13" i="75"/>
  <c r="L13" i="75" s="1"/>
  <c r="U33" i="75" s="1"/>
  <c r="AA30" i="75" s="1"/>
  <c r="U28" i="75"/>
  <c r="V35" i="73"/>
  <c r="AA30" i="73" s="1"/>
  <c r="G1" i="73"/>
  <c r="I1" i="73" s="1"/>
  <c r="D52" i="73"/>
  <c r="G1" i="72"/>
  <c r="I1" i="72" s="1"/>
  <c r="D52" i="72"/>
  <c r="V35" i="79"/>
  <c r="Z30" i="79" s="1"/>
  <c r="AA30" i="50"/>
  <c r="U35" i="36"/>
  <c r="AA30" i="36"/>
  <c r="AC30" i="36" s="1"/>
  <c r="AC25" i="36" s="1"/>
  <c r="E5" i="32"/>
  <c r="G5" i="32" s="1"/>
  <c r="H5" i="32" s="1"/>
  <c r="H53" i="32"/>
  <c r="B82" i="32"/>
  <c r="I53" i="32"/>
  <c r="E12" i="29"/>
  <c r="G12" i="29" s="1"/>
  <c r="H12" i="29" s="1"/>
  <c r="K12" i="29" s="1"/>
  <c r="L12" i="29" s="1"/>
  <c r="E9" i="29"/>
  <c r="G9" i="29" s="1"/>
  <c r="H9" i="29" s="1"/>
  <c r="K9" i="29" s="1"/>
  <c r="L9" i="29" s="1"/>
  <c r="T33" i="23"/>
  <c r="AA30" i="23"/>
  <c r="AC30" i="23" s="1"/>
  <c r="V35" i="21"/>
  <c r="AA30" i="21" s="1"/>
  <c r="V28" i="56"/>
  <c r="T35" i="45"/>
  <c r="AB30" i="45" s="1"/>
  <c r="V28" i="22"/>
  <c r="T35" i="20"/>
  <c r="K14" i="11"/>
  <c r="L14" i="11" s="1"/>
  <c r="V35" i="11" s="1"/>
  <c r="AA30" i="11" s="1"/>
  <c r="V28" i="11"/>
  <c r="F82" i="6"/>
  <c r="F10" i="6"/>
  <c r="F69" i="6"/>
  <c r="E68" i="68"/>
  <c r="E66" i="68"/>
  <c r="E69" i="68"/>
  <c r="E70" i="68"/>
  <c r="E71" i="68"/>
  <c r="E72" i="68"/>
  <c r="E65" i="68"/>
  <c r="E67" i="68"/>
  <c r="D120" i="57"/>
  <c r="D65" i="57"/>
  <c r="D93" i="57"/>
  <c r="V35" i="22"/>
  <c r="AA30" i="22" s="1"/>
  <c r="V28" i="21"/>
  <c r="D115" i="8"/>
  <c r="D65" i="8"/>
  <c r="D90" i="8"/>
  <c r="E66" i="82"/>
  <c r="E67" i="82"/>
  <c r="E68" i="82"/>
  <c r="E65" i="82"/>
  <c r="H52" i="46"/>
  <c r="AB29" i="3"/>
  <c r="AE31" i="3"/>
  <c r="V35" i="29"/>
  <c r="AA30" i="29" s="1"/>
  <c r="AC29" i="17"/>
  <c r="T35" i="7"/>
  <c r="AD29" i="3"/>
  <c r="V28" i="15"/>
  <c r="V32" i="15" s="1"/>
  <c r="V35" i="15"/>
  <c r="AA30" i="15" s="1"/>
  <c r="E15" i="87"/>
  <c r="G15" i="87" s="1"/>
  <c r="H15" i="87" s="1"/>
  <c r="K15" i="87" s="1"/>
  <c r="L15" i="87" s="1"/>
  <c r="E19" i="87"/>
  <c r="G19" i="87" s="1"/>
  <c r="H19" i="87" s="1"/>
  <c r="K19" i="87" s="1"/>
  <c r="L19" i="87" s="1"/>
  <c r="E6" i="87"/>
  <c r="G6" i="87" s="1"/>
  <c r="H6" i="87" s="1"/>
  <c r="K6" i="87" s="1"/>
  <c r="L6" i="87" s="1"/>
  <c r="E18" i="87"/>
  <c r="G18" i="87" s="1"/>
  <c r="H18" i="87" s="1"/>
  <c r="K18" i="87" s="1"/>
  <c r="L18" i="87" s="1"/>
  <c r="E7" i="87"/>
  <c r="G7" i="87" s="1"/>
  <c r="H7" i="87" s="1"/>
  <c r="K7" i="87" s="1"/>
  <c r="L7" i="87" s="1"/>
  <c r="E14" i="87"/>
  <c r="G14" i="87" s="1"/>
  <c r="H14" i="87" s="1"/>
  <c r="K14" i="87" s="1"/>
  <c r="L14" i="87" s="1"/>
  <c r="E11" i="87"/>
  <c r="G11" i="87" s="1"/>
  <c r="H11" i="87" s="1"/>
  <c r="K11" i="87" s="1"/>
  <c r="L11" i="87" s="1"/>
  <c r="E16" i="87"/>
  <c r="G16" i="87" s="1"/>
  <c r="H16" i="87" s="1"/>
  <c r="K16" i="87" s="1"/>
  <c r="L16" i="87" s="1"/>
  <c r="E13" i="87"/>
  <c r="G13" i="87" s="1"/>
  <c r="H13" i="87" s="1"/>
  <c r="K13" i="87" s="1"/>
  <c r="L13" i="87" s="1"/>
  <c r="E8" i="87"/>
  <c r="G8" i="87" s="1"/>
  <c r="H8" i="87" s="1"/>
  <c r="K8" i="87" s="1"/>
  <c r="L8" i="87" s="1"/>
  <c r="E10" i="87"/>
  <c r="G10" i="87" s="1"/>
  <c r="H10" i="87" s="1"/>
  <c r="K10" i="87" s="1"/>
  <c r="L10" i="87" s="1"/>
  <c r="E17" i="87"/>
  <c r="G17" i="87" s="1"/>
  <c r="H17" i="87" s="1"/>
  <c r="K17" i="87" s="1"/>
  <c r="L17" i="87" s="1"/>
  <c r="E9" i="87"/>
  <c r="G9" i="87" s="1"/>
  <c r="H9" i="87" s="1"/>
  <c r="K9" i="87" s="1"/>
  <c r="L9" i="87" s="1"/>
  <c r="E12" i="87"/>
  <c r="G12" i="87" s="1"/>
  <c r="H12" i="87" s="1"/>
  <c r="K12" i="87" s="1"/>
  <c r="L12" i="87" s="1"/>
  <c r="AB29" i="11"/>
  <c r="E6" i="11"/>
  <c r="G6" i="11" s="1"/>
  <c r="H6" i="11" s="1"/>
  <c r="K6" i="11" s="1"/>
  <c r="E5" i="11"/>
  <c r="G5" i="11" s="1"/>
  <c r="H5" i="11" s="1"/>
  <c r="K5" i="11" s="1"/>
  <c r="L5" i="11" s="1"/>
  <c r="S35" i="11" s="1"/>
  <c r="AB30" i="11" s="1"/>
  <c r="V28" i="73"/>
  <c r="AA29" i="62"/>
  <c r="AD29" i="62"/>
  <c r="V28" i="58"/>
  <c r="V35" i="58"/>
  <c r="Z30" i="58" s="1"/>
  <c r="V28" i="29"/>
  <c r="AB29" i="29"/>
  <c r="AF29" i="29"/>
  <c r="AD29" i="29"/>
  <c r="AB29" i="28"/>
  <c r="AD29" i="28"/>
  <c r="AF29" i="28"/>
  <c r="AB29" i="17"/>
  <c r="AD29" i="17"/>
  <c r="AF29" i="17"/>
  <c r="AF29" i="8"/>
  <c r="E6" i="5"/>
  <c r="G6" i="5" s="1"/>
  <c r="H6" i="5" s="1"/>
  <c r="K6" i="5" s="1"/>
  <c r="L6" i="5" s="1"/>
  <c r="E28" i="5"/>
  <c r="G28" i="5" s="1"/>
  <c r="H28" i="5" s="1"/>
  <c r="K28" i="5" s="1"/>
  <c r="L28" i="5" s="1"/>
  <c r="AF29" i="3"/>
  <c r="AC29" i="3"/>
  <c r="D54" i="84"/>
  <c r="C55" i="84"/>
  <c r="H54" i="16"/>
  <c r="E66" i="16"/>
  <c r="B133" i="88"/>
  <c r="B116" i="88"/>
  <c r="J53" i="22"/>
  <c r="G82" i="45"/>
  <c r="E82" i="45"/>
  <c r="D52" i="22"/>
  <c r="E67" i="22" s="1"/>
  <c r="G67" i="22" s="1"/>
  <c r="H67" i="22" s="1"/>
  <c r="I52" i="22"/>
  <c r="H52" i="22" s="1"/>
  <c r="G1" i="22"/>
  <c r="B132" i="88"/>
  <c r="B80" i="88"/>
  <c r="B99" i="88"/>
  <c r="B62" i="88"/>
  <c r="B115" i="88"/>
  <c r="B63" i="88"/>
  <c r="B98" i="88"/>
  <c r="B79" i="88"/>
  <c r="D129" i="66"/>
  <c r="D97" i="66"/>
  <c r="D65" i="66"/>
  <c r="D145" i="66"/>
  <c r="D113" i="66"/>
  <c r="D80" i="66"/>
  <c r="E5" i="66"/>
  <c r="H52" i="66" s="1"/>
  <c r="D5" i="60"/>
  <c r="H51" i="60" s="1"/>
  <c r="J54" i="56"/>
  <c r="B99" i="56" s="1"/>
  <c r="J55" i="75"/>
  <c r="I55" i="75" s="1"/>
  <c r="I54" i="75"/>
  <c r="H55" i="75"/>
  <c r="J54" i="73"/>
  <c r="B72" i="73"/>
  <c r="H51" i="73"/>
  <c r="H51" i="71"/>
  <c r="AD29" i="69"/>
  <c r="AF29" i="69"/>
  <c r="AB29" i="69"/>
  <c r="AC29" i="69"/>
  <c r="H51" i="53"/>
  <c r="D65" i="53"/>
  <c r="X54" i="52"/>
  <c r="AB52" i="52"/>
  <c r="AA52" i="52"/>
  <c r="AC52" i="52"/>
  <c r="X53" i="52"/>
  <c r="D5" i="48"/>
  <c r="D106" i="48" s="1"/>
  <c r="H51" i="37"/>
  <c r="D65" i="29"/>
  <c r="D110" i="29"/>
  <c r="D87" i="29"/>
  <c r="H51" i="29"/>
  <c r="H51" i="26"/>
  <c r="D127" i="23"/>
  <c r="D147" i="23"/>
  <c r="D107" i="23"/>
  <c r="D85" i="23"/>
  <c r="D65" i="23"/>
  <c r="D65" i="18"/>
  <c r="D90" i="18"/>
  <c r="H51" i="18"/>
  <c r="D65" i="17"/>
  <c r="D96" i="17"/>
  <c r="H51" i="17"/>
  <c r="H51" i="19"/>
  <c r="J54" i="4"/>
  <c r="I53" i="4"/>
  <c r="AF29" i="11"/>
  <c r="AC29" i="11"/>
  <c r="H52" i="5"/>
  <c r="D65" i="5"/>
  <c r="H51" i="5"/>
  <c r="D65" i="3"/>
  <c r="D117" i="3"/>
  <c r="D89" i="3"/>
  <c r="H51" i="3"/>
  <c r="H52" i="4"/>
  <c r="D122" i="4"/>
  <c r="D103" i="4"/>
  <c r="D83" i="4"/>
  <c r="D65" i="4"/>
  <c r="H51" i="4"/>
  <c r="D5" i="25"/>
  <c r="D52" i="48"/>
  <c r="C53" i="82"/>
  <c r="D53" i="82" s="1"/>
  <c r="E17" i="16"/>
  <c r="G17" i="16" s="1"/>
  <c r="H17" i="16" s="1"/>
  <c r="K17" i="16" s="1"/>
  <c r="L17" i="16" s="1"/>
  <c r="E18" i="16"/>
  <c r="G18" i="16" s="1"/>
  <c r="H18" i="16" s="1"/>
  <c r="K18" i="16" s="1"/>
  <c r="L18" i="16" s="1"/>
  <c r="E16" i="16"/>
  <c r="G16" i="16" s="1"/>
  <c r="H16" i="16" s="1"/>
  <c r="K16" i="16" s="1"/>
  <c r="L16" i="16" s="1"/>
  <c r="G1" i="48"/>
  <c r="I1" i="48" s="1"/>
  <c r="J53" i="70"/>
  <c r="B86" i="70" s="1"/>
  <c r="I52" i="70"/>
  <c r="E18" i="62"/>
  <c r="G18" i="62" s="1"/>
  <c r="H18" i="62" s="1"/>
  <c r="K18" i="62" s="1"/>
  <c r="L18" i="62" s="1"/>
  <c r="E14" i="62"/>
  <c r="G14" i="62" s="1"/>
  <c r="H14" i="62" s="1"/>
  <c r="K14" i="62" s="1"/>
  <c r="L14" i="62" s="1"/>
  <c r="E9" i="62"/>
  <c r="G9" i="62" s="1"/>
  <c r="H9" i="62" s="1"/>
  <c r="K9" i="62" s="1"/>
  <c r="L9" i="62" s="1"/>
  <c r="E17" i="62"/>
  <c r="G17" i="62" s="1"/>
  <c r="H17" i="62" s="1"/>
  <c r="K17" i="62" s="1"/>
  <c r="L17" i="62" s="1"/>
  <c r="E7" i="62"/>
  <c r="G7" i="62" s="1"/>
  <c r="H7" i="62" s="1"/>
  <c r="K7" i="62" s="1"/>
  <c r="L7" i="62" s="1"/>
  <c r="AM11" i="70"/>
  <c r="AO11" i="70" s="1"/>
  <c r="AP11" i="70" s="1"/>
  <c r="AS11" i="70" s="1"/>
  <c r="AT11" i="70" s="1"/>
  <c r="AM6" i="70"/>
  <c r="AO6" i="70" s="1"/>
  <c r="AP6" i="70" s="1"/>
  <c r="AM12" i="70"/>
  <c r="AO12" i="70" s="1"/>
  <c r="AP12" i="70" s="1"/>
  <c r="AS12" i="70" s="1"/>
  <c r="AT12" i="70" s="1"/>
  <c r="AM10" i="70"/>
  <c r="AO10" i="70" s="1"/>
  <c r="AP10" i="70" s="1"/>
  <c r="AS10" i="70" s="1"/>
  <c r="AT10" i="70" s="1"/>
  <c r="AM9" i="70"/>
  <c r="AO9" i="70" s="1"/>
  <c r="AP9" i="70" s="1"/>
  <c r="AS9" i="70" s="1"/>
  <c r="AT9" i="70" s="1"/>
  <c r="AM8" i="70"/>
  <c r="AO8" i="70" s="1"/>
  <c r="AP8" i="70" s="1"/>
  <c r="AS8" i="70" s="1"/>
  <c r="AT8" i="70" s="1"/>
  <c r="AM7" i="70"/>
  <c r="AO7" i="70" s="1"/>
  <c r="AP7" i="70" s="1"/>
  <c r="AS7" i="70" s="1"/>
  <c r="AT7" i="70" s="1"/>
  <c r="AM5" i="70"/>
  <c r="AO5" i="70" s="1"/>
  <c r="AP5" i="70" s="1"/>
  <c r="G65" i="83"/>
  <c r="H65" i="83" s="1"/>
  <c r="G66" i="83"/>
  <c r="H66" i="83" s="1"/>
  <c r="G67" i="83"/>
  <c r="H67" i="83" s="1"/>
  <c r="G68" i="83"/>
  <c r="H68" i="83" s="1"/>
  <c r="D52" i="47"/>
  <c r="G1" i="47"/>
  <c r="I1" i="47" s="1"/>
  <c r="E6" i="41"/>
  <c r="G6" i="41" s="1"/>
  <c r="H6" i="41" s="1"/>
  <c r="K6" i="41" s="1"/>
  <c r="L6" i="41" s="1"/>
  <c r="E9" i="41"/>
  <c r="G9" i="41" s="1"/>
  <c r="H9" i="41" s="1"/>
  <c r="K9" i="41" s="1"/>
  <c r="L9" i="41" s="1"/>
  <c r="E12" i="41"/>
  <c r="G12" i="41" s="1"/>
  <c r="H12" i="41" s="1"/>
  <c r="K12" i="41" s="1"/>
  <c r="L12" i="41" s="1"/>
  <c r="E13" i="41"/>
  <c r="G13" i="41" s="1"/>
  <c r="H13" i="41" s="1"/>
  <c r="K13" i="41" s="1"/>
  <c r="L13" i="41" s="1"/>
  <c r="E11" i="41"/>
  <c r="G11" i="41" s="1"/>
  <c r="H11" i="41" s="1"/>
  <c r="K11" i="41" s="1"/>
  <c r="L11" i="41" s="1"/>
  <c r="E7" i="41"/>
  <c r="G7" i="41" s="1"/>
  <c r="H7" i="41" s="1"/>
  <c r="K7" i="41" s="1"/>
  <c r="L7" i="41" s="1"/>
  <c r="E14" i="41"/>
  <c r="G14" i="41" s="1"/>
  <c r="H14" i="41" s="1"/>
  <c r="K14" i="41" s="1"/>
  <c r="L14" i="41" s="1"/>
  <c r="E10" i="41"/>
  <c r="G10" i="41" s="1"/>
  <c r="H10" i="41" s="1"/>
  <c r="K10" i="41" s="1"/>
  <c r="L10" i="41" s="1"/>
  <c r="E8" i="41"/>
  <c r="G8" i="41" s="1"/>
  <c r="H8" i="41" s="1"/>
  <c r="K8" i="41" s="1"/>
  <c r="L8" i="41" s="1"/>
  <c r="C52" i="41"/>
  <c r="E16" i="62"/>
  <c r="G16" i="62" s="1"/>
  <c r="H16" i="62" s="1"/>
  <c r="K16" i="62" s="1"/>
  <c r="L16" i="62" s="1"/>
  <c r="E15" i="62"/>
  <c r="G15" i="62" s="1"/>
  <c r="H15" i="62" s="1"/>
  <c r="K15" i="62" s="1"/>
  <c r="L15" i="62" s="1"/>
  <c r="E8" i="62"/>
  <c r="G8" i="62" s="1"/>
  <c r="H8" i="62" s="1"/>
  <c r="K8" i="62" s="1"/>
  <c r="L8" i="62" s="1"/>
  <c r="E19" i="62"/>
  <c r="G19" i="62" s="1"/>
  <c r="H19" i="62" s="1"/>
  <c r="K19" i="62" s="1"/>
  <c r="L19" i="62" s="1"/>
  <c r="I1" i="62"/>
  <c r="C52" i="62" s="1"/>
  <c r="E13" i="62"/>
  <c r="G13" i="62" s="1"/>
  <c r="H13" i="62" s="1"/>
  <c r="K13" i="62" s="1"/>
  <c r="L13" i="62" s="1"/>
  <c r="E11" i="62"/>
  <c r="G11" i="62" s="1"/>
  <c r="H11" i="62" s="1"/>
  <c r="K11" i="62" s="1"/>
  <c r="L11" i="62" s="1"/>
  <c r="E10" i="62"/>
  <c r="G10" i="62" s="1"/>
  <c r="H10" i="62" s="1"/>
  <c r="K10" i="62" s="1"/>
  <c r="L10" i="62" s="1"/>
  <c r="E12" i="62"/>
  <c r="G12" i="62" s="1"/>
  <c r="H12" i="62" s="1"/>
  <c r="K12" i="62" s="1"/>
  <c r="L12" i="62" s="1"/>
  <c r="E6" i="62"/>
  <c r="G6" i="62" s="1"/>
  <c r="H6" i="62" s="1"/>
  <c r="K6" i="62" s="1"/>
  <c r="L6" i="62" s="1"/>
  <c r="C53" i="68"/>
  <c r="C54" i="83"/>
  <c r="D54" i="83" s="1"/>
  <c r="AM6" i="69"/>
  <c r="AO6" i="69" s="1"/>
  <c r="AP6" i="69" s="1"/>
  <c r="AS6" i="69" s="1"/>
  <c r="AT6" i="69" s="1"/>
  <c r="AM5" i="69"/>
  <c r="AO5" i="69" s="1"/>
  <c r="AP5" i="69" s="1"/>
  <c r="AM11" i="69"/>
  <c r="AO11" i="69" s="1"/>
  <c r="AP11" i="69" s="1"/>
  <c r="AS11" i="69" s="1"/>
  <c r="AT11" i="69" s="1"/>
  <c r="AM8" i="69"/>
  <c r="AO8" i="69" s="1"/>
  <c r="AP8" i="69" s="1"/>
  <c r="AS8" i="69" s="1"/>
  <c r="AT8" i="69" s="1"/>
  <c r="AM7" i="69"/>
  <c r="AO7" i="69" s="1"/>
  <c r="AP7" i="69" s="1"/>
  <c r="AS7" i="69" s="1"/>
  <c r="AT7" i="69" s="1"/>
  <c r="AM9" i="69"/>
  <c r="AO9" i="69" s="1"/>
  <c r="AP9" i="69" s="1"/>
  <c r="AS9" i="69" s="1"/>
  <c r="AT9" i="69" s="1"/>
  <c r="AM10" i="69"/>
  <c r="AO10" i="69" s="1"/>
  <c r="AP10" i="69" s="1"/>
  <c r="AS10" i="69" s="1"/>
  <c r="AT10" i="69" s="1"/>
  <c r="I52" i="69"/>
  <c r="J53" i="69"/>
  <c r="B84" i="69" s="1"/>
  <c r="J53" i="61"/>
  <c r="B80" i="61" s="1"/>
  <c r="E9" i="67"/>
  <c r="G9" i="67" s="1"/>
  <c r="H9" i="67" s="1"/>
  <c r="K9" i="67" s="1"/>
  <c r="L9" i="67" s="1"/>
  <c r="E13" i="67"/>
  <c r="G13" i="67" s="1"/>
  <c r="H13" i="67" s="1"/>
  <c r="K13" i="67" s="1"/>
  <c r="L13" i="67" s="1"/>
  <c r="E15" i="67"/>
  <c r="G15" i="67" s="1"/>
  <c r="H15" i="67" s="1"/>
  <c r="K15" i="67" s="1"/>
  <c r="L15" i="67" s="1"/>
  <c r="E13" i="61"/>
  <c r="G13" i="61" s="1"/>
  <c r="H13" i="61" s="1"/>
  <c r="K13" i="61" s="1"/>
  <c r="L13" i="61" s="1"/>
  <c r="E11" i="61"/>
  <c r="G11" i="61" s="1"/>
  <c r="H11" i="61" s="1"/>
  <c r="K11" i="61" s="1"/>
  <c r="L11" i="61" s="1"/>
  <c r="E14" i="61"/>
  <c r="G14" i="61" s="1"/>
  <c r="H14" i="61" s="1"/>
  <c r="K14" i="61" s="1"/>
  <c r="L14" i="61" s="1"/>
  <c r="E18" i="61"/>
  <c r="G18" i="61" s="1"/>
  <c r="H18" i="61" s="1"/>
  <c r="K18" i="61" s="1"/>
  <c r="L18" i="61" s="1"/>
  <c r="E9" i="61"/>
  <c r="G9" i="61" s="1"/>
  <c r="H9" i="61" s="1"/>
  <c r="K9" i="61" s="1"/>
  <c r="L9" i="61" s="1"/>
  <c r="C52" i="61"/>
  <c r="E10" i="61"/>
  <c r="G10" i="61" s="1"/>
  <c r="H10" i="61" s="1"/>
  <c r="K10" i="61" s="1"/>
  <c r="L10" i="61" s="1"/>
  <c r="J53" i="72"/>
  <c r="B89" i="72" s="1"/>
  <c r="AM11" i="71"/>
  <c r="AO11" i="71" s="1"/>
  <c r="AP11" i="71" s="1"/>
  <c r="AS11" i="71" s="1"/>
  <c r="AT11" i="71" s="1"/>
  <c r="E8" i="67"/>
  <c r="G8" i="67" s="1"/>
  <c r="H8" i="67" s="1"/>
  <c r="K8" i="67" s="1"/>
  <c r="L8" i="67" s="1"/>
  <c r="E11" i="67"/>
  <c r="G11" i="67" s="1"/>
  <c r="H11" i="67" s="1"/>
  <c r="K11" i="67" s="1"/>
  <c r="L11" i="67" s="1"/>
  <c r="E6" i="67"/>
  <c r="G6" i="67" s="1"/>
  <c r="H6" i="67" s="1"/>
  <c r="K6" i="67" s="1"/>
  <c r="L6" i="67" s="1"/>
  <c r="E12" i="61"/>
  <c r="G12" i="61" s="1"/>
  <c r="H12" i="61" s="1"/>
  <c r="K12" i="61" s="1"/>
  <c r="L12" i="61" s="1"/>
  <c r="E17" i="61"/>
  <c r="G17" i="61" s="1"/>
  <c r="H17" i="61" s="1"/>
  <c r="K17" i="61" s="1"/>
  <c r="L17" i="61" s="1"/>
  <c r="E8" i="61"/>
  <c r="G8" i="61" s="1"/>
  <c r="H8" i="61" s="1"/>
  <c r="K8" i="61" s="1"/>
  <c r="L8" i="61" s="1"/>
  <c r="E7" i="61"/>
  <c r="G7" i="61" s="1"/>
  <c r="H7" i="61" s="1"/>
  <c r="K7" i="61" s="1"/>
  <c r="L7" i="61" s="1"/>
  <c r="E6" i="61"/>
  <c r="G6" i="61" s="1"/>
  <c r="H6" i="61" s="1"/>
  <c r="K6" i="61" s="1"/>
  <c r="L6" i="61" s="1"/>
  <c r="E15" i="61"/>
  <c r="G15" i="61" s="1"/>
  <c r="H15" i="61" s="1"/>
  <c r="K15" i="61" s="1"/>
  <c r="L15" i="61" s="1"/>
  <c r="L5" i="77"/>
  <c r="S33" i="77" s="1"/>
  <c r="AM13" i="71"/>
  <c r="AO13" i="71" s="1"/>
  <c r="AP13" i="71" s="1"/>
  <c r="AS13" i="71" s="1"/>
  <c r="AT13" i="71" s="1"/>
  <c r="AM9" i="71"/>
  <c r="AO9" i="71" s="1"/>
  <c r="AP9" i="71" s="1"/>
  <c r="AS9" i="71" s="1"/>
  <c r="AT9" i="71" s="1"/>
  <c r="AM6" i="71"/>
  <c r="AO6" i="71" s="1"/>
  <c r="AP6" i="71" s="1"/>
  <c r="AS6" i="71" s="1"/>
  <c r="AT6" i="71" s="1"/>
  <c r="AM10" i="71"/>
  <c r="AO10" i="71" s="1"/>
  <c r="AP10" i="71" s="1"/>
  <c r="AS10" i="71" s="1"/>
  <c r="AT10" i="71" s="1"/>
  <c r="AM7" i="71"/>
  <c r="AO7" i="71" s="1"/>
  <c r="AP7" i="71" s="1"/>
  <c r="AS7" i="71" s="1"/>
  <c r="AT7" i="71" s="1"/>
  <c r="AM12" i="71"/>
  <c r="AO12" i="71" s="1"/>
  <c r="AP12" i="71" s="1"/>
  <c r="AS12" i="71" s="1"/>
  <c r="AT12" i="71" s="1"/>
  <c r="AM8" i="71"/>
  <c r="AO8" i="71" s="1"/>
  <c r="AP8" i="71" s="1"/>
  <c r="AS8" i="71" s="1"/>
  <c r="AT8" i="71" s="1"/>
  <c r="AM5" i="71"/>
  <c r="AO5" i="71" s="1"/>
  <c r="AP5" i="71" s="1"/>
  <c r="AM7" i="61"/>
  <c r="AM8" i="61"/>
  <c r="AM6" i="61"/>
  <c r="AM11" i="61"/>
  <c r="AM5" i="61"/>
  <c r="AM10" i="61"/>
  <c r="AM9" i="61"/>
  <c r="J53" i="57"/>
  <c r="I52" i="57"/>
  <c r="H52" i="57" s="1"/>
  <c r="AM6" i="57"/>
  <c r="AO6" i="57" s="1"/>
  <c r="AP6" i="57" s="1"/>
  <c r="AS6" i="57" s="1"/>
  <c r="AT6" i="57" s="1"/>
  <c r="E13" i="57"/>
  <c r="G13" i="57" s="1"/>
  <c r="H13" i="57" s="1"/>
  <c r="K13" i="57" s="1"/>
  <c r="L13" i="57" s="1"/>
  <c r="E16" i="57"/>
  <c r="G16" i="57" s="1"/>
  <c r="H16" i="57" s="1"/>
  <c r="K16" i="57" s="1"/>
  <c r="L16" i="57" s="1"/>
  <c r="E25" i="57"/>
  <c r="G25" i="57" s="1"/>
  <c r="H25" i="57" s="1"/>
  <c r="K25" i="57" s="1"/>
  <c r="L25" i="57" s="1"/>
  <c r="E23" i="57"/>
  <c r="G23" i="57" s="1"/>
  <c r="H23" i="57" s="1"/>
  <c r="K23" i="57" s="1"/>
  <c r="L23" i="57" s="1"/>
  <c r="E22" i="57"/>
  <c r="G22" i="57" s="1"/>
  <c r="H22" i="57" s="1"/>
  <c r="K22" i="57" s="1"/>
  <c r="L22" i="57" s="1"/>
  <c r="E21" i="57"/>
  <c r="G21" i="57" s="1"/>
  <c r="H21" i="57" s="1"/>
  <c r="K21" i="57" s="1"/>
  <c r="L21" i="57" s="1"/>
  <c r="E19" i="57"/>
  <c r="G19" i="57" s="1"/>
  <c r="H19" i="57" s="1"/>
  <c r="K19" i="57" s="1"/>
  <c r="L19" i="57" s="1"/>
  <c r="E17" i="57"/>
  <c r="G17" i="57" s="1"/>
  <c r="H17" i="57" s="1"/>
  <c r="K17" i="57" s="1"/>
  <c r="L17" i="57" s="1"/>
  <c r="AM18" i="57"/>
  <c r="AO18" i="57" s="1"/>
  <c r="AP18" i="57" s="1"/>
  <c r="AS18" i="57" s="1"/>
  <c r="AT18" i="57" s="1"/>
  <c r="AM8" i="57"/>
  <c r="AO8" i="57" s="1"/>
  <c r="AP8" i="57" s="1"/>
  <c r="AS8" i="57" s="1"/>
  <c r="AT8" i="57" s="1"/>
  <c r="AM7" i="57"/>
  <c r="AO7" i="57" s="1"/>
  <c r="AP7" i="57" s="1"/>
  <c r="AS7" i="57" s="1"/>
  <c r="AT7" i="57" s="1"/>
  <c r="AM11" i="57"/>
  <c r="AO11" i="57" s="1"/>
  <c r="AP11" i="57" s="1"/>
  <c r="AS11" i="57" s="1"/>
  <c r="AT11" i="57" s="1"/>
  <c r="AM5" i="57"/>
  <c r="AO5" i="57" s="1"/>
  <c r="AP5" i="57" s="1"/>
  <c r="AM9" i="57"/>
  <c r="AO9" i="57" s="1"/>
  <c r="AP9" i="57" s="1"/>
  <c r="AS9" i="57" s="1"/>
  <c r="AT9" i="57" s="1"/>
  <c r="AM16" i="57"/>
  <c r="AO16" i="57" s="1"/>
  <c r="AP16" i="57" s="1"/>
  <c r="AS16" i="57" s="1"/>
  <c r="AT16" i="57" s="1"/>
  <c r="AM12" i="57"/>
  <c r="AO12" i="57" s="1"/>
  <c r="AP12" i="57" s="1"/>
  <c r="AS12" i="57" s="1"/>
  <c r="AT12" i="57" s="1"/>
  <c r="AM19" i="57"/>
  <c r="AO19" i="57" s="1"/>
  <c r="AP19" i="57" s="1"/>
  <c r="AS19" i="57" s="1"/>
  <c r="AT19" i="57" s="1"/>
  <c r="AM17" i="57"/>
  <c r="AO17" i="57" s="1"/>
  <c r="AP17" i="57" s="1"/>
  <c r="AS17" i="57" s="1"/>
  <c r="AT17" i="57" s="1"/>
  <c r="AM14" i="57"/>
  <c r="AO14" i="57" s="1"/>
  <c r="AP14" i="57" s="1"/>
  <c r="AS14" i="57" s="1"/>
  <c r="AT14" i="57" s="1"/>
  <c r="AM13" i="57"/>
  <c r="AO13" i="57" s="1"/>
  <c r="AP13" i="57" s="1"/>
  <c r="AS13" i="57" s="1"/>
  <c r="AT13" i="57" s="1"/>
  <c r="AM10" i="57"/>
  <c r="AO10" i="57" s="1"/>
  <c r="AP10" i="57" s="1"/>
  <c r="AS10" i="57" s="1"/>
  <c r="AT10" i="57" s="1"/>
  <c r="AM15" i="57"/>
  <c r="AO15" i="57" s="1"/>
  <c r="AP15" i="57" s="1"/>
  <c r="AS15" i="57" s="1"/>
  <c r="AT15" i="57" s="1"/>
  <c r="C52" i="57"/>
  <c r="E24" i="57"/>
  <c r="G24" i="57" s="1"/>
  <c r="H24" i="57" s="1"/>
  <c r="K24" i="57" s="1"/>
  <c r="L24" i="57" s="1"/>
  <c r="E20" i="57"/>
  <c r="G20" i="57" s="1"/>
  <c r="H20" i="57" s="1"/>
  <c r="K20" i="57" s="1"/>
  <c r="L20" i="57" s="1"/>
  <c r="E18" i="57"/>
  <c r="G18" i="57" s="1"/>
  <c r="H18" i="57" s="1"/>
  <c r="K18" i="57" s="1"/>
  <c r="L18" i="57" s="1"/>
  <c r="E8" i="57"/>
  <c r="G8" i="57" s="1"/>
  <c r="H8" i="57" s="1"/>
  <c r="K8" i="57" s="1"/>
  <c r="L8" i="57" s="1"/>
  <c r="J53" i="41"/>
  <c r="B76" i="41" s="1"/>
  <c r="J53" i="71"/>
  <c r="B77" i="71" s="1"/>
  <c r="E7" i="82"/>
  <c r="G7" i="82" s="1"/>
  <c r="H7" i="82" s="1"/>
  <c r="K7" i="82" s="1"/>
  <c r="L7" i="82" s="1"/>
  <c r="E9" i="82"/>
  <c r="G9" i="82" s="1"/>
  <c r="H9" i="82" s="1"/>
  <c r="K9" i="82" s="1"/>
  <c r="L9" i="82" s="1"/>
  <c r="E6" i="82"/>
  <c r="G6" i="82" s="1"/>
  <c r="H6" i="82" s="1"/>
  <c r="K6" i="82" s="1"/>
  <c r="L6" i="82" s="1"/>
  <c r="C53" i="4"/>
  <c r="I53" i="77"/>
  <c r="J54" i="77"/>
  <c r="B84" i="77" s="1"/>
  <c r="H84" i="77" s="1"/>
  <c r="I52" i="71"/>
  <c r="AM12" i="61"/>
  <c r="E16" i="61"/>
  <c r="G16" i="61" s="1"/>
  <c r="H16" i="61" s="1"/>
  <c r="K16" i="61" s="1"/>
  <c r="L16" i="61" s="1"/>
  <c r="E15" i="59"/>
  <c r="G15" i="59" s="1"/>
  <c r="H15" i="59" s="1"/>
  <c r="K15" i="59" s="1"/>
  <c r="L15" i="59" s="1"/>
  <c r="E6" i="59"/>
  <c r="G6" i="59" s="1"/>
  <c r="H6" i="59" s="1"/>
  <c r="K6" i="59" s="1"/>
  <c r="L6" i="59" s="1"/>
  <c r="E10" i="59"/>
  <c r="G10" i="59" s="1"/>
  <c r="H10" i="59" s="1"/>
  <c r="K10" i="59" s="1"/>
  <c r="L10" i="59" s="1"/>
  <c r="E16" i="59"/>
  <c r="G16" i="59" s="1"/>
  <c r="H16" i="59" s="1"/>
  <c r="K16" i="59" s="1"/>
  <c r="L16" i="59" s="1"/>
  <c r="E20" i="59"/>
  <c r="G20" i="59" s="1"/>
  <c r="H20" i="59" s="1"/>
  <c r="K20" i="59" s="1"/>
  <c r="L20" i="59" s="1"/>
  <c r="C52" i="59"/>
  <c r="E19" i="59"/>
  <c r="G19" i="59" s="1"/>
  <c r="H19" i="59" s="1"/>
  <c r="K19" i="59" s="1"/>
  <c r="L19" i="59" s="1"/>
  <c r="E7" i="59"/>
  <c r="G7" i="59" s="1"/>
  <c r="H7" i="59" s="1"/>
  <c r="K7" i="59" s="1"/>
  <c r="L7" i="59" s="1"/>
  <c r="E17" i="59"/>
  <c r="G17" i="59" s="1"/>
  <c r="H17" i="59" s="1"/>
  <c r="K17" i="59" s="1"/>
  <c r="L17" i="59" s="1"/>
  <c r="E18" i="59"/>
  <c r="G18" i="59" s="1"/>
  <c r="H18" i="59" s="1"/>
  <c r="K18" i="59" s="1"/>
  <c r="L18" i="59" s="1"/>
  <c r="E8" i="59"/>
  <c r="G8" i="59" s="1"/>
  <c r="H8" i="59" s="1"/>
  <c r="K8" i="59" s="1"/>
  <c r="L8" i="59" s="1"/>
  <c r="J53" i="53"/>
  <c r="B73" i="53" s="1"/>
  <c r="C52" i="46"/>
  <c r="E11" i="46"/>
  <c r="G11" i="46" s="1"/>
  <c r="H11" i="46" s="1"/>
  <c r="K11" i="46" s="1"/>
  <c r="L11" i="46" s="1"/>
  <c r="E9" i="46"/>
  <c r="G9" i="46" s="1"/>
  <c r="H9" i="46" s="1"/>
  <c r="K9" i="46" s="1"/>
  <c r="L9" i="46" s="1"/>
  <c r="E14" i="46"/>
  <c r="G14" i="46" s="1"/>
  <c r="H14" i="46" s="1"/>
  <c r="K14" i="46" s="1"/>
  <c r="L14" i="46" s="1"/>
  <c r="E8" i="46"/>
  <c r="G8" i="46" s="1"/>
  <c r="H8" i="46" s="1"/>
  <c r="K8" i="46" s="1"/>
  <c r="L8" i="46" s="1"/>
  <c r="E15" i="46"/>
  <c r="G15" i="46" s="1"/>
  <c r="H15" i="46" s="1"/>
  <c r="K15" i="46" s="1"/>
  <c r="L15" i="46" s="1"/>
  <c r="E7" i="46"/>
  <c r="G7" i="46" s="1"/>
  <c r="H7" i="46" s="1"/>
  <c r="K7" i="46" s="1"/>
  <c r="L7" i="46" s="1"/>
  <c r="E10" i="46"/>
  <c r="G10" i="46" s="1"/>
  <c r="H10" i="46" s="1"/>
  <c r="K10" i="46" s="1"/>
  <c r="L10" i="46" s="1"/>
  <c r="E6" i="46"/>
  <c r="G6" i="46" s="1"/>
  <c r="H6" i="46" s="1"/>
  <c r="K6" i="46" s="1"/>
  <c r="L6" i="46" s="1"/>
  <c r="E12" i="46"/>
  <c r="G12" i="46" s="1"/>
  <c r="H12" i="46" s="1"/>
  <c r="K12" i="46" s="1"/>
  <c r="L12" i="46" s="1"/>
  <c r="E13" i="46"/>
  <c r="G13" i="46" s="1"/>
  <c r="H13" i="46" s="1"/>
  <c r="K13" i="46" s="1"/>
  <c r="L13" i="46" s="1"/>
  <c r="J54" i="46"/>
  <c r="G1" i="24"/>
  <c r="E10" i="67"/>
  <c r="G10" i="67" s="1"/>
  <c r="H10" i="67" s="1"/>
  <c r="K10" i="67" s="1"/>
  <c r="L10" i="67" s="1"/>
  <c r="E12" i="67"/>
  <c r="G12" i="67" s="1"/>
  <c r="H12" i="67" s="1"/>
  <c r="K12" i="67" s="1"/>
  <c r="L12" i="67" s="1"/>
  <c r="E15" i="57"/>
  <c r="G15" i="57" s="1"/>
  <c r="H15" i="57" s="1"/>
  <c r="K15" i="57" s="1"/>
  <c r="L15" i="57" s="1"/>
  <c r="G1" i="53"/>
  <c r="I1" i="53" s="1"/>
  <c r="D52" i="53"/>
  <c r="AM13" i="47"/>
  <c r="AO13" i="47" s="1"/>
  <c r="AP13" i="47" s="1"/>
  <c r="AS13" i="47" s="1"/>
  <c r="AT13" i="47" s="1"/>
  <c r="AM5" i="47"/>
  <c r="AO5" i="47" s="1"/>
  <c r="AP5" i="47" s="1"/>
  <c r="AM17" i="47"/>
  <c r="AO17" i="47" s="1"/>
  <c r="AP17" i="47" s="1"/>
  <c r="AS17" i="47" s="1"/>
  <c r="AT17" i="47" s="1"/>
  <c r="I52" i="47"/>
  <c r="AM12" i="47"/>
  <c r="AO12" i="47" s="1"/>
  <c r="AP12" i="47" s="1"/>
  <c r="AS12" i="47" s="1"/>
  <c r="AT12" i="47" s="1"/>
  <c r="AM9" i="47"/>
  <c r="AO9" i="47" s="1"/>
  <c r="AP9" i="47" s="1"/>
  <c r="AS9" i="47" s="1"/>
  <c r="AT9" i="47" s="1"/>
  <c r="AM8" i="47"/>
  <c r="AO8" i="47" s="1"/>
  <c r="AP8" i="47" s="1"/>
  <c r="AS8" i="47" s="1"/>
  <c r="AT8" i="47" s="1"/>
  <c r="AM7" i="47"/>
  <c r="AO7" i="47" s="1"/>
  <c r="AP7" i="47" s="1"/>
  <c r="AS7" i="47" s="1"/>
  <c r="AT7" i="47" s="1"/>
  <c r="AM6" i="47"/>
  <c r="AO6" i="47" s="1"/>
  <c r="AP6" i="47" s="1"/>
  <c r="AM14" i="47"/>
  <c r="AO14" i="47" s="1"/>
  <c r="AP14" i="47" s="1"/>
  <c r="AS14" i="47" s="1"/>
  <c r="AT14" i="47" s="1"/>
  <c r="AM10" i="47"/>
  <c r="AO10" i="47" s="1"/>
  <c r="AP10" i="47" s="1"/>
  <c r="AS10" i="47" s="1"/>
  <c r="AT10" i="47" s="1"/>
  <c r="AM15" i="47"/>
  <c r="AO15" i="47" s="1"/>
  <c r="AP15" i="47" s="1"/>
  <c r="AS15" i="47" s="1"/>
  <c r="AT15" i="47" s="1"/>
  <c r="AM11" i="47"/>
  <c r="AO11" i="47" s="1"/>
  <c r="AP11" i="47" s="1"/>
  <c r="AS11" i="47" s="1"/>
  <c r="AT11" i="47" s="1"/>
  <c r="AM16" i="47"/>
  <c r="AO16" i="47" s="1"/>
  <c r="AP16" i="47" s="1"/>
  <c r="AS16" i="47" s="1"/>
  <c r="AT16" i="47" s="1"/>
  <c r="I53" i="46"/>
  <c r="J55" i="34"/>
  <c r="B98" i="34" s="1"/>
  <c r="H98" i="34" s="1"/>
  <c r="D52" i="24"/>
  <c r="B74" i="24" s="1"/>
  <c r="J53" i="20"/>
  <c r="B81" i="20" s="1"/>
  <c r="AM13" i="18"/>
  <c r="AO13" i="18" s="1"/>
  <c r="AP13" i="18" s="1"/>
  <c r="AS13" i="18" s="1"/>
  <c r="AT13" i="18" s="1"/>
  <c r="AM10" i="18"/>
  <c r="AO10" i="18" s="1"/>
  <c r="AP10" i="18" s="1"/>
  <c r="AS10" i="18" s="1"/>
  <c r="AT10" i="18" s="1"/>
  <c r="AM16" i="18"/>
  <c r="AO16" i="18" s="1"/>
  <c r="AP16" i="18" s="1"/>
  <c r="AS16" i="18" s="1"/>
  <c r="AT16" i="18" s="1"/>
  <c r="E15" i="17"/>
  <c r="G15" i="17" s="1"/>
  <c r="H15" i="17" s="1"/>
  <c r="K15" i="17" s="1"/>
  <c r="L15" i="17" s="1"/>
  <c r="E19" i="17"/>
  <c r="G19" i="17" s="1"/>
  <c r="H19" i="17" s="1"/>
  <c r="K19" i="17" s="1"/>
  <c r="L19" i="17" s="1"/>
  <c r="E8" i="17"/>
  <c r="G8" i="17" s="1"/>
  <c r="H8" i="17" s="1"/>
  <c r="K8" i="17" s="1"/>
  <c r="L8" i="17" s="1"/>
  <c r="E13" i="17"/>
  <c r="G13" i="17" s="1"/>
  <c r="H13" i="17" s="1"/>
  <c r="K13" i="17" s="1"/>
  <c r="L13" i="17" s="1"/>
  <c r="E24" i="17"/>
  <c r="G24" i="17" s="1"/>
  <c r="H24" i="17" s="1"/>
  <c r="K24" i="17" s="1"/>
  <c r="L24" i="17" s="1"/>
  <c r="E7" i="17"/>
  <c r="G7" i="17" s="1"/>
  <c r="H7" i="17" s="1"/>
  <c r="K7" i="17" s="1"/>
  <c r="L7" i="17" s="1"/>
  <c r="E27" i="17"/>
  <c r="G27" i="17" s="1"/>
  <c r="H27" i="17" s="1"/>
  <c r="K27" i="17" s="1"/>
  <c r="L27" i="17" s="1"/>
  <c r="E18" i="17"/>
  <c r="G18" i="17" s="1"/>
  <c r="H18" i="17" s="1"/>
  <c r="K18" i="17" s="1"/>
  <c r="L18" i="17" s="1"/>
  <c r="E6" i="17"/>
  <c r="G6" i="17" s="1"/>
  <c r="H6" i="17" s="1"/>
  <c r="K6" i="17" s="1"/>
  <c r="L6" i="17" s="1"/>
  <c r="E28" i="17"/>
  <c r="G28" i="17" s="1"/>
  <c r="H28" i="17" s="1"/>
  <c r="K28" i="17" s="1"/>
  <c r="L28" i="17" s="1"/>
  <c r="E23" i="17"/>
  <c r="G23" i="17" s="1"/>
  <c r="H23" i="17" s="1"/>
  <c r="K23" i="17" s="1"/>
  <c r="L23" i="17" s="1"/>
  <c r="E25" i="17"/>
  <c r="G25" i="17" s="1"/>
  <c r="H25" i="17" s="1"/>
  <c r="K25" i="17" s="1"/>
  <c r="L25" i="17" s="1"/>
  <c r="E11" i="17"/>
  <c r="G11" i="17" s="1"/>
  <c r="H11" i="17" s="1"/>
  <c r="K11" i="17" s="1"/>
  <c r="L11" i="17" s="1"/>
  <c r="C52" i="15"/>
  <c r="E21" i="15"/>
  <c r="G21" i="15" s="1"/>
  <c r="H21" i="15" s="1"/>
  <c r="K21" i="15" s="1"/>
  <c r="L21" i="15" s="1"/>
  <c r="E7" i="15"/>
  <c r="G7" i="15" s="1"/>
  <c r="H7" i="15" s="1"/>
  <c r="K7" i="15" s="1"/>
  <c r="L7" i="15" s="1"/>
  <c r="E6" i="15"/>
  <c r="G6" i="15" s="1"/>
  <c r="H6" i="15" s="1"/>
  <c r="K6" i="15" s="1"/>
  <c r="L6" i="15" s="1"/>
  <c r="E25" i="15"/>
  <c r="G25" i="15" s="1"/>
  <c r="H25" i="15" s="1"/>
  <c r="K25" i="15" s="1"/>
  <c r="L25" i="15" s="1"/>
  <c r="E28" i="15"/>
  <c r="G28" i="15" s="1"/>
  <c r="H28" i="15" s="1"/>
  <c r="K28" i="15" s="1"/>
  <c r="L28" i="15" s="1"/>
  <c r="E18" i="15"/>
  <c r="G18" i="15" s="1"/>
  <c r="H18" i="15" s="1"/>
  <c r="K18" i="15" s="1"/>
  <c r="L18" i="15" s="1"/>
  <c r="E15" i="15"/>
  <c r="G15" i="15" s="1"/>
  <c r="H15" i="15" s="1"/>
  <c r="K15" i="15" s="1"/>
  <c r="L15" i="15" s="1"/>
  <c r="E29" i="15"/>
  <c r="G29" i="15" s="1"/>
  <c r="H29" i="15" s="1"/>
  <c r="K29" i="15" s="1"/>
  <c r="L29" i="15" s="1"/>
  <c r="E12" i="15"/>
  <c r="G12" i="15" s="1"/>
  <c r="H12" i="15" s="1"/>
  <c r="K12" i="15" s="1"/>
  <c r="L12" i="15" s="1"/>
  <c r="E10" i="15"/>
  <c r="G10" i="15" s="1"/>
  <c r="H10" i="15" s="1"/>
  <c r="K10" i="15" s="1"/>
  <c r="L10" i="15" s="1"/>
  <c r="E23" i="15"/>
  <c r="G23" i="15" s="1"/>
  <c r="H23" i="15" s="1"/>
  <c r="K23" i="15" s="1"/>
  <c r="L23" i="15" s="1"/>
  <c r="E14" i="15"/>
  <c r="G14" i="15" s="1"/>
  <c r="H14" i="15" s="1"/>
  <c r="K14" i="15" s="1"/>
  <c r="L14" i="15" s="1"/>
  <c r="E22" i="15"/>
  <c r="G22" i="15" s="1"/>
  <c r="H22" i="15" s="1"/>
  <c r="K22" i="15" s="1"/>
  <c r="L22" i="15" s="1"/>
  <c r="E17" i="15"/>
  <c r="G17" i="15" s="1"/>
  <c r="H17" i="15" s="1"/>
  <c r="K17" i="15" s="1"/>
  <c r="L17" i="15" s="1"/>
  <c r="E9" i="15"/>
  <c r="G9" i="15" s="1"/>
  <c r="H9" i="15" s="1"/>
  <c r="K9" i="15" s="1"/>
  <c r="L9" i="15" s="1"/>
  <c r="E26" i="15"/>
  <c r="G26" i="15" s="1"/>
  <c r="H26" i="15" s="1"/>
  <c r="K26" i="15" s="1"/>
  <c r="L26" i="15" s="1"/>
  <c r="E13" i="15"/>
  <c r="G13" i="15" s="1"/>
  <c r="H13" i="15" s="1"/>
  <c r="K13" i="15" s="1"/>
  <c r="L13" i="15" s="1"/>
  <c r="E20" i="15"/>
  <c r="G20" i="15" s="1"/>
  <c r="H20" i="15" s="1"/>
  <c r="K20" i="15" s="1"/>
  <c r="L20" i="15" s="1"/>
  <c r="J53" i="8"/>
  <c r="B85" i="8" s="1"/>
  <c r="E7" i="67"/>
  <c r="G7" i="67" s="1"/>
  <c r="H7" i="67" s="1"/>
  <c r="K7" i="67" s="1"/>
  <c r="L7" i="67" s="1"/>
  <c r="C52" i="67"/>
  <c r="E12" i="59"/>
  <c r="G12" i="59" s="1"/>
  <c r="H12" i="59" s="1"/>
  <c r="K12" i="59" s="1"/>
  <c r="L12" i="59" s="1"/>
  <c r="E14" i="59"/>
  <c r="G14" i="59" s="1"/>
  <c r="H14" i="59" s="1"/>
  <c r="K14" i="59" s="1"/>
  <c r="L14" i="59" s="1"/>
  <c r="E13" i="59"/>
  <c r="G13" i="59" s="1"/>
  <c r="H13" i="59" s="1"/>
  <c r="K13" i="59" s="1"/>
  <c r="L13" i="59" s="1"/>
  <c r="E11" i="59"/>
  <c r="G11" i="59" s="1"/>
  <c r="H11" i="59" s="1"/>
  <c r="K11" i="59" s="1"/>
  <c r="L11" i="59" s="1"/>
  <c r="E9" i="59"/>
  <c r="G9" i="59" s="1"/>
  <c r="H9" i="59" s="1"/>
  <c r="K9" i="59" s="1"/>
  <c r="L9" i="59" s="1"/>
  <c r="E12" i="57"/>
  <c r="G12" i="57" s="1"/>
  <c r="H12" i="57" s="1"/>
  <c r="K12" i="57" s="1"/>
  <c r="L12" i="57" s="1"/>
  <c r="E10" i="57"/>
  <c r="G10" i="57" s="1"/>
  <c r="H10" i="57" s="1"/>
  <c r="K10" i="57" s="1"/>
  <c r="L10" i="57" s="1"/>
  <c r="E11" i="57"/>
  <c r="G11" i="57" s="1"/>
  <c r="H11" i="57" s="1"/>
  <c r="K11" i="57" s="1"/>
  <c r="L11" i="57" s="1"/>
  <c r="E7" i="57"/>
  <c r="G7" i="57" s="1"/>
  <c r="H7" i="57" s="1"/>
  <c r="K7" i="57" s="1"/>
  <c r="L7" i="57" s="1"/>
  <c r="E6" i="57"/>
  <c r="G6" i="57" s="1"/>
  <c r="H6" i="57" s="1"/>
  <c r="K6" i="57" s="1"/>
  <c r="L6" i="57" s="1"/>
  <c r="E9" i="57"/>
  <c r="G9" i="57" s="1"/>
  <c r="H9" i="57" s="1"/>
  <c r="K9" i="57" s="1"/>
  <c r="L9" i="57" s="1"/>
  <c r="E14" i="57"/>
  <c r="G14" i="57" s="1"/>
  <c r="H14" i="57" s="1"/>
  <c r="K14" i="57" s="1"/>
  <c r="L14" i="57" s="1"/>
  <c r="E15" i="56"/>
  <c r="G15" i="56" s="1"/>
  <c r="H15" i="56" s="1"/>
  <c r="K15" i="56" s="1"/>
  <c r="L15" i="56" s="1"/>
  <c r="E16" i="56"/>
  <c r="G16" i="56" s="1"/>
  <c r="H16" i="56" s="1"/>
  <c r="K16" i="56" s="1"/>
  <c r="L16" i="56" s="1"/>
  <c r="E13" i="56"/>
  <c r="G13" i="56" s="1"/>
  <c r="H13" i="56" s="1"/>
  <c r="K13" i="56" s="1"/>
  <c r="L13" i="56" s="1"/>
  <c r="E11" i="56"/>
  <c r="G11" i="56" s="1"/>
  <c r="H11" i="56" s="1"/>
  <c r="K11" i="56" s="1"/>
  <c r="L11" i="56" s="1"/>
  <c r="E8" i="56"/>
  <c r="G8" i="56" s="1"/>
  <c r="H8" i="56" s="1"/>
  <c r="K8" i="56" s="1"/>
  <c r="L8" i="56" s="1"/>
  <c r="E6" i="56"/>
  <c r="G6" i="56" s="1"/>
  <c r="H6" i="56" s="1"/>
  <c r="K6" i="56" s="1"/>
  <c r="L6" i="56" s="1"/>
  <c r="E14" i="56"/>
  <c r="G14" i="56" s="1"/>
  <c r="H14" i="56" s="1"/>
  <c r="K14" i="56" s="1"/>
  <c r="L14" i="56" s="1"/>
  <c r="E12" i="56"/>
  <c r="G12" i="56" s="1"/>
  <c r="H12" i="56" s="1"/>
  <c r="K12" i="56" s="1"/>
  <c r="L12" i="56" s="1"/>
  <c r="C52" i="56"/>
  <c r="E10" i="56"/>
  <c r="G10" i="56" s="1"/>
  <c r="H10" i="56" s="1"/>
  <c r="K10" i="56" s="1"/>
  <c r="L10" i="56" s="1"/>
  <c r="E9" i="56"/>
  <c r="G9" i="56" s="1"/>
  <c r="H9" i="56" s="1"/>
  <c r="K9" i="56" s="1"/>
  <c r="L9" i="56" s="1"/>
  <c r="E7" i="56"/>
  <c r="G7" i="56" s="1"/>
  <c r="H7" i="56" s="1"/>
  <c r="K7" i="56" s="1"/>
  <c r="L7" i="56" s="1"/>
  <c r="H53" i="44"/>
  <c r="I53" i="44"/>
  <c r="E6" i="44"/>
  <c r="G6" i="44" s="1"/>
  <c r="H6" i="44" s="1"/>
  <c r="K6" i="44" s="1"/>
  <c r="L6" i="44" s="1"/>
  <c r="E8" i="44"/>
  <c r="G8" i="44" s="1"/>
  <c r="H8" i="44" s="1"/>
  <c r="K8" i="44" s="1"/>
  <c r="L8" i="44" s="1"/>
  <c r="E16" i="44"/>
  <c r="G16" i="44" s="1"/>
  <c r="H16" i="44" s="1"/>
  <c r="K16" i="44" s="1"/>
  <c r="L16" i="44" s="1"/>
  <c r="E19" i="44"/>
  <c r="G19" i="44" s="1"/>
  <c r="H19" i="44" s="1"/>
  <c r="K19" i="44" s="1"/>
  <c r="L19" i="44" s="1"/>
  <c r="E20" i="44"/>
  <c r="G20" i="44" s="1"/>
  <c r="H20" i="44" s="1"/>
  <c r="K20" i="44" s="1"/>
  <c r="L20" i="44" s="1"/>
  <c r="E18" i="44"/>
  <c r="G18" i="44" s="1"/>
  <c r="H18" i="44" s="1"/>
  <c r="K18" i="44" s="1"/>
  <c r="L18" i="44" s="1"/>
  <c r="G1" i="42"/>
  <c r="I1" i="42" s="1"/>
  <c r="C52" i="42" s="1"/>
  <c r="I52" i="41"/>
  <c r="H52" i="41" s="1"/>
  <c r="H53" i="34"/>
  <c r="E10" i="34"/>
  <c r="G10" i="34" s="1"/>
  <c r="H10" i="34" s="1"/>
  <c r="K10" i="34" s="1"/>
  <c r="L10" i="34" s="1"/>
  <c r="E9" i="34"/>
  <c r="G9" i="34" s="1"/>
  <c r="H9" i="34" s="1"/>
  <c r="K9" i="34" s="1"/>
  <c r="L9" i="34" s="1"/>
  <c r="E7" i="34"/>
  <c r="G7" i="34" s="1"/>
  <c r="H7" i="34" s="1"/>
  <c r="K7" i="34" s="1"/>
  <c r="L7" i="34" s="1"/>
  <c r="E6" i="34"/>
  <c r="G6" i="34" s="1"/>
  <c r="H6" i="34" s="1"/>
  <c r="K6" i="34" s="1"/>
  <c r="L6" i="34" s="1"/>
  <c r="H1" i="34"/>
  <c r="E8" i="34"/>
  <c r="G8" i="34" s="1"/>
  <c r="H8" i="34" s="1"/>
  <c r="K8" i="34" s="1"/>
  <c r="L8" i="34" s="1"/>
  <c r="J53" i="26"/>
  <c r="B82" i="26" s="1"/>
  <c r="I52" i="20"/>
  <c r="H52" i="20" s="1"/>
  <c r="E19" i="15"/>
  <c r="G19" i="15" s="1"/>
  <c r="H19" i="15" s="1"/>
  <c r="K19" i="15" s="1"/>
  <c r="L19" i="15" s="1"/>
  <c r="E27" i="15"/>
  <c r="G27" i="15" s="1"/>
  <c r="H27" i="15" s="1"/>
  <c r="K27" i="15" s="1"/>
  <c r="L27" i="15" s="1"/>
  <c r="E11" i="15"/>
  <c r="G11" i="15" s="1"/>
  <c r="H11" i="15" s="1"/>
  <c r="K11" i="15" s="1"/>
  <c r="L11" i="15" s="1"/>
  <c r="G1" i="40"/>
  <c r="D52" i="40"/>
  <c r="B75" i="40" s="1"/>
  <c r="I52" i="37"/>
  <c r="H52" i="37" s="1"/>
  <c r="AM7" i="37"/>
  <c r="AO7" i="37" s="1"/>
  <c r="AP7" i="37" s="1"/>
  <c r="AS7" i="37" s="1"/>
  <c r="AT7" i="37" s="1"/>
  <c r="AM8" i="37"/>
  <c r="AO8" i="37" s="1"/>
  <c r="AP8" i="37" s="1"/>
  <c r="AS8" i="37" s="1"/>
  <c r="AT8" i="37" s="1"/>
  <c r="AM12" i="37"/>
  <c r="AO12" i="37" s="1"/>
  <c r="AP12" i="37" s="1"/>
  <c r="AS12" i="37" s="1"/>
  <c r="AT12" i="37" s="1"/>
  <c r="J53" i="37"/>
  <c r="B78" i="37" s="1"/>
  <c r="AM11" i="37"/>
  <c r="AO11" i="37" s="1"/>
  <c r="AP11" i="37" s="1"/>
  <c r="AS11" i="37" s="1"/>
  <c r="AT11" i="37" s="1"/>
  <c r="AM5" i="37"/>
  <c r="AO5" i="37" s="1"/>
  <c r="AP5" i="37" s="1"/>
  <c r="AM6" i="37"/>
  <c r="AO6" i="37" s="1"/>
  <c r="AP6" i="37" s="1"/>
  <c r="AS6" i="37" s="1"/>
  <c r="AT6" i="37" s="1"/>
  <c r="AM10" i="37"/>
  <c r="AO10" i="37" s="1"/>
  <c r="AP10" i="37" s="1"/>
  <c r="AS10" i="37" s="1"/>
  <c r="AT10" i="37" s="1"/>
  <c r="AM9" i="37"/>
  <c r="AO9" i="37" s="1"/>
  <c r="AP9" i="37" s="1"/>
  <c r="AS9" i="37" s="1"/>
  <c r="AT9" i="37" s="1"/>
  <c r="AM13" i="37"/>
  <c r="AO13" i="37" s="1"/>
  <c r="AP13" i="37" s="1"/>
  <c r="AS13" i="37" s="1"/>
  <c r="AT13" i="37" s="1"/>
  <c r="I52" i="29"/>
  <c r="H52" i="29" s="1"/>
  <c r="J53" i="29"/>
  <c r="B81" i="29" s="1"/>
  <c r="E21" i="28"/>
  <c r="G21" i="28" s="1"/>
  <c r="H21" i="28" s="1"/>
  <c r="K21" i="28" s="1"/>
  <c r="L21" i="28" s="1"/>
  <c r="E13" i="28"/>
  <c r="G13" i="28" s="1"/>
  <c r="H13" i="28" s="1"/>
  <c r="K13" i="28" s="1"/>
  <c r="L13" i="28" s="1"/>
  <c r="E9" i="28"/>
  <c r="G9" i="28" s="1"/>
  <c r="H9" i="28" s="1"/>
  <c r="K9" i="28" s="1"/>
  <c r="L9" i="28" s="1"/>
  <c r="E6" i="28"/>
  <c r="G6" i="28" s="1"/>
  <c r="H6" i="28" s="1"/>
  <c r="K6" i="28" s="1"/>
  <c r="L6" i="28" s="1"/>
  <c r="E14" i="28"/>
  <c r="G14" i="28" s="1"/>
  <c r="H14" i="28" s="1"/>
  <c r="K14" i="28" s="1"/>
  <c r="L14" i="28" s="1"/>
  <c r="C52" i="28"/>
  <c r="C53" i="28" s="1"/>
  <c r="E11" i="28"/>
  <c r="G11" i="28" s="1"/>
  <c r="H11" i="28" s="1"/>
  <c r="K11" i="28" s="1"/>
  <c r="L11" i="28" s="1"/>
  <c r="E8" i="28"/>
  <c r="G8" i="28" s="1"/>
  <c r="H8" i="28" s="1"/>
  <c r="K8" i="28" s="1"/>
  <c r="L8" i="28" s="1"/>
  <c r="E10" i="28"/>
  <c r="G10" i="28" s="1"/>
  <c r="H10" i="28" s="1"/>
  <c r="K10" i="28" s="1"/>
  <c r="L10" i="28" s="1"/>
  <c r="E18" i="28"/>
  <c r="G18" i="28" s="1"/>
  <c r="H18" i="28" s="1"/>
  <c r="K18" i="28" s="1"/>
  <c r="L18" i="28" s="1"/>
  <c r="E7" i="28"/>
  <c r="G7" i="28" s="1"/>
  <c r="H7" i="28" s="1"/>
  <c r="K7" i="28" s="1"/>
  <c r="L7" i="28" s="1"/>
  <c r="E15" i="28"/>
  <c r="G15" i="28" s="1"/>
  <c r="H15" i="28" s="1"/>
  <c r="K15" i="28" s="1"/>
  <c r="L15" i="28" s="1"/>
  <c r="E23" i="28"/>
  <c r="G23" i="28" s="1"/>
  <c r="H23" i="28" s="1"/>
  <c r="K23" i="28" s="1"/>
  <c r="L23" i="28" s="1"/>
  <c r="E12" i="28"/>
  <c r="G12" i="28" s="1"/>
  <c r="H12" i="28" s="1"/>
  <c r="K12" i="28" s="1"/>
  <c r="L12" i="28" s="1"/>
  <c r="E20" i="28"/>
  <c r="G20" i="28" s="1"/>
  <c r="H20" i="28" s="1"/>
  <c r="K20" i="28" s="1"/>
  <c r="L20" i="28" s="1"/>
  <c r="E17" i="28"/>
  <c r="G17" i="28" s="1"/>
  <c r="H17" i="28" s="1"/>
  <c r="K17" i="28" s="1"/>
  <c r="L17" i="28" s="1"/>
  <c r="E22" i="28"/>
  <c r="G22" i="28" s="1"/>
  <c r="H22" i="28" s="1"/>
  <c r="K22" i="28" s="1"/>
  <c r="L22" i="28" s="1"/>
  <c r="E16" i="28"/>
  <c r="G16" i="28" s="1"/>
  <c r="H16" i="28" s="1"/>
  <c r="K16" i="28" s="1"/>
  <c r="L16" i="28" s="1"/>
  <c r="E19" i="28"/>
  <c r="G19" i="28" s="1"/>
  <c r="H19" i="28" s="1"/>
  <c r="K19" i="28" s="1"/>
  <c r="L19" i="28" s="1"/>
  <c r="E24" i="28"/>
  <c r="G24" i="28" s="1"/>
  <c r="H24" i="28" s="1"/>
  <c r="K24" i="28" s="1"/>
  <c r="L24" i="28" s="1"/>
  <c r="I52" i="26"/>
  <c r="H52" i="26" s="1"/>
  <c r="AM5" i="26"/>
  <c r="AO5" i="26" s="1"/>
  <c r="AP5" i="26" s="1"/>
  <c r="AM12" i="26"/>
  <c r="AO12" i="26" s="1"/>
  <c r="AP12" i="26" s="1"/>
  <c r="AS12" i="26" s="1"/>
  <c r="AT12" i="26" s="1"/>
  <c r="AM11" i="26"/>
  <c r="AO11" i="26" s="1"/>
  <c r="AP11" i="26" s="1"/>
  <c r="AS11" i="26" s="1"/>
  <c r="AT11" i="26" s="1"/>
  <c r="AM7" i="26"/>
  <c r="AO7" i="26" s="1"/>
  <c r="AP7" i="26" s="1"/>
  <c r="AS7" i="26" s="1"/>
  <c r="AT7" i="26" s="1"/>
  <c r="AM9" i="26"/>
  <c r="AO9" i="26" s="1"/>
  <c r="AP9" i="26" s="1"/>
  <c r="AS9" i="26" s="1"/>
  <c r="AT9" i="26" s="1"/>
  <c r="AM8" i="26"/>
  <c r="AO8" i="26" s="1"/>
  <c r="AP8" i="26" s="1"/>
  <c r="AS8" i="26" s="1"/>
  <c r="AT8" i="26" s="1"/>
  <c r="AM10" i="26"/>
  <c r="AO10" i="26" s="1"/>
  <c r="AP10" i="26" s="1"/>
  <c r="AS10" i="26" s="1"/>
  <c r="AT10" i="26" s="1"/>
  <c r="AM6" i="26"/>
  <c r="AO6" i="26" s="1"/>
  <c r="AP6" i="26" s="1"/>
  <c r="AS6" i="26" s="1"/>
  <c r="AT6" i="26" s="1"/>
  <c r="E11" i="18"/>
  <c r="G11" i="18" s="1"/>
  <c r="H11" i="18" s="1"/>
  <c r="K11" i="18" s="1"/>
  <c r="L11" i="18" s="1"/>
  <c r="E7" i="18"/>
  <c r="G7" i="18" s="1"/>
  <c r="H7" i="18" s="1"/>
  <c r="K7" i="18" s="1"/>
  <c r="L7" i="18" s="1"/>
  <c r="J53" i="18"/>
  <c r="B82" i="18" s="1"/>
  <c r="E8" i="18"/>
  <c r="G8" i="18" s="1"/>
  <c r="H8" i="18" s="1"/>
  <c r="K8" i="18" s="1"/>
  <c r="L8" i="18" s="1"/>
  <c r="E16" i="18"/>
  <c r="G16" i="18" s="1"/>
  <c r="H16" i="18" s="1"/>
  <c r="K16" i="18" s="1"/>
  <c r="L16" i="18" s="1"/>
  <c r="E18" i="18"/>
  <c r="G18" i="18" s="1"/>
  <c r="H18" i="18" s="1"/>
  <c r="K18" i="18" s="1"/>
  <c r="L18" i="18" s="1"/>
  <c r="E13" i="18"/>
  <c r="G13" i="18" s="1"/>
  <c r="H13" i="18" s="1"/>
  <c r="K13" i="18" s="1"/>
  <c r="L13" i="18" s="1"/>
  <c r="E19" i="18"/>
  <c r="G19" i="18" s="1"/>
  <c r="H19" i="18" s="1"/>
  <c r="K19" i="18" s="1"/>
  <c r="L19" i="18" s="1"/>
  <c r="G6" i="18"/>
  <c r="H6" i="18" s="1"/>
  <c r="K6" i="18" s="1"/>
  <c r="L6" i="18" s="1"/>
  <c r="E14" i="18"/>
  <c r="G14" i="18" s="1"/>
  <c r="H14" i="18" s="1"/>
  <c r="K14" i="18" s="1"/>
  <c r="L14" i="18" s="1"/>
  <c r="E9" i="18"/>
  <c r="G9" i="18" s="1"/>
  <c r="H9" i="18" s="1"/>
  <c r="K9" i="18" s="1"/>
  <c r="L9" i="18" s="1"/>
  <c r="E17" i="18"/>
  <c r="G17" i="18" s="1"/>
  <c r="H17" i="18" s="1"/>
  <c r="K17" i="18" s="1"/>
  <c r="L17" i="18" s="1"/>
  <c r="E12" i="18"/>
  <c r="G12" i="18" s="1"/>
  <c r="H12" i="18" s="1"/>
  <c r="K12" i="18" s="1"/>
  <c r="L12" i="18" s="1"/>
  <c r="E20" i="18"/>
  <c r="G20" i="18" s="1"/>
  <c r="H20" i="18" s="1"/>
  <c r="K20" i="18" s="1"/>
  <c r="L20" i="18" s="1"/>
  <c r="E10" i="18"/>
  <c r="G10" i="18" s="1"/>
  <c r="H10" i="18" s="1"/>
  <c r="K10" i="18" s="1"/>
  <c r="L10" i="18" s="1"/>
  <c r="C52" i="18"/>
  <c r="E15" i="18"/>
  <c r="G15" i="18" s="1"/>
  <c r="H15" i="18" s="1"/>
  <c r="K15" i="18" s="1"/>
  <c r="L15" i="18" s="1"/>
  <c r="I52" i="18"/>
  <c r="H52" i="18" s="1"/>
  <c r="E5" i="18" s="1"/>
  <c r="E20" i="17"/>
  <c r="G20" i="17" s="1"/>
  <c r="H20" i="17" s="1"/>
  <c r="K20" i="17" s="1"/>
  <c r="L20" i="17" s="1"/>
  <c r="E9" i="17"/>
  <c r="G9" i="17" s="1"/>
  <c r="H9" i="17" s="1"/>
  <c r="K9" i="17" s="1"/>
  <c r="L9" i="17" s="1"/>
  <c r="E17" i="17"/>
  <c r="G17" i="17" s="1"/>
  <c r="H17" i="17" s="1"/>
  <c r="K17" i="17" s="1"/>
  <c r="L17" i="17" s="1"/>
  <c r="E16" i="17"/>
  <c r="G16" i="17" s="1"/>
  <c r="H16" i="17" s="1"/>
  <c r="K16" i="17" s="1"/>
  <c r="L16" i="17" s="1"/>
  <c r="E21" i="17"/>
  <c r="G21" i="17" s="1"/>
  <c r="H21" i="17" s="1"/>
  <c r="K21" i="17" s="1"/>
  <c r="L21" i="17" s="1"/>
  <c r="E14" i="17"/>
  <c r="G14" i="17" s="1"/>
  <c r="H14" i="17" s="1"/>
  <c r="K14" i="17" s="1"/>
  <c r="L14" i="17" s="1"/>
  <c r="E12" i="17"/>
  <c r="G12" i="17" s="1"/>
  <c r="H12" i="17" s="1"/>
  <c r="K12" i="17" s="1"/>
  <c r="L12" i="17" s="1"/>
  <c r="E10" i="17"/>
  <c r="G10" i="17" s="1"/>
  <c r="H10" i="17" s="1"/>
  <c r="K10" i="17" s="1"/>
  <c r="L10" i="17" s="1"/>
  <c r="AM10" i="17"/>
  <c r="AO10" i="17" s="1"/>
  <c r="AP10" i="17" s="1"/>
  <c r="AS10" i="17" s="1"/>
  <c r="AT10" i="17" s="1"/>
  <c r="E22" i="17"/>
  <c r="G22" i="17" s="1"/>
  <c r="H22" i="17" s="1"/>
  <c r="K22" i="17" s="1"/>
  <c r="L22" i="17" s="1"/>
  <c r="E26" i="17"/>
  <c r="G26" i="17" s="1"/>
  <c r="H26" i="17" s="1"/>
  <c r="K26" i="17" s="1"/>
  <c r="L26" i="17" s="1"/>
  <c r="C52" i="17"/>
  <c r="J53" i="17"/>
  <c r="AM13" i="17"/>
  <c r="AO13" i="17" s="1"/>
  <c r="AP13" i="17" s="1"/>
  <c r="AS13" i="17" s="1"/>
  <c r="AT13" i="17" s="1"/>
  <c r="E24" i="15"/>
  <c r="G24" i="15" s="1"/>
  <c r="H24" i="15" s="1"/>
  <c r="K24" i="15" s="1"/>
  <c r="L24" i="15" s="1"/>
  <c r="E16" i="15"/>
  <c r="G16" i="15" s="1"/>
  <c r="H16" i="15" s="1"/>
  <c r="K16" i="15" s="1"/>
  <c r="L16" i="15" s="1"/>
  <c r="E8" i="15"/>
  <c r="G8" i="15" s="1"/>
  <c r="H8" i="15" s="1"/>
  <c r="K8" i="15" s="1"/>
  <c r="L8" i="15" s="1"/>
  <c r="AM11" i="8"/>
  <c r="AO11" i="8" s="1"/>
  <c r="AP11" i="8" s="1"/>
  <c r="AS11" i="8" s="1"/>
  <c r="AT11" i="8" s="1"/>
  <c r="AM6" i="8"/>
  <c r="AO6" i="8" s="1"/>
  <c r="AP6" i="8" s="1"/>
  <c r="AS6" i="8" s="1"/>
  <c r="AT6" i="8" s="1"/>
  <c r="AM9" i="8"/>
  <c r="AO9" i="8" s="1"/>
  <c r="AP9" i="8" s="1"/>
  <c r="AS9" i="8" s="1"/>
  <c r="AT9" i="8" s="1"/>
  <c r="AM10" i="8"/>
  <c r="AO10" i="8" s="1"/>
  <c r="AP10" i="8" s="1"/>
  <c r="AS10" i="8" s="1"/>
  <c r="AT10" i="8" s="1"/>
  <c r="AM8" i="8"/>
  <c r="AO8" i="8" s="1"/>
  <c r="AP8" i="8" s="1"/>
  <c r="AS8" i="8" s="1"/>
  <c r="AT8" i="8" s="1"/>
  <c r="H52" i="8"/>
  <c r="AM7" i="8"/>
  <c r="AO7" i="8" s="1"/>
  <c r="AP7" i="8" s="1"/>
  <c r="AS7" i="8" s="1"/>
  <c r="AT7" i="8" s="1"/>
  <c r="AM12" i="8"/>
  <c r="AO12" i="8" s="1"/>
  <c r="AP12" i="8" s="1"/>
  <c r="AS12" i="8" s="1"/>
  <c r="AT12" i="8" s="1"/>
  <c r="AM5" i="8"/>
  <c r="AO5" i="8" s="1"/>
  <c r="AP5" i="8" s="1"/>
  <c r="J54" i="5"/>
  <c r="I53" i="5"/>
  <c r="AM8" i="3"/>
  <c r="AO8" i="3" s="1"/>
  <c r="AP8" i="3" s="1"/>
  <c r="AS8" i="3" s="1"/>
  <c r="AT8" i="3" s="1"/>
  <c r="AM10" i="3"/>
  <c r="AO10" i="3" s="1"/>
  <c r="AP10" i="3" s="1"/>
  <c r="AS10" i="3" s="1"/>
  <c r="AT10" i="3" s="1"/>
  <c r="I52" i="3"/>
  <c r="H52" i="3" s="1"/>
  <c r="AM6" i="3"/>
  <c r="AO6" i="3" s="1"/>
  <c r="AP6" i="3" s="1"/>
  <c r="AS6" i="3" s="1"/>
  <c r="AT6" i="3" s="1"/>
  <c r="AM13" i="3"/>
  <c r="AO13" i="3" s="1"/>
  <c r="AP13" i="3" s="1"/>
  <c r="AS13" i="3" s="1"/>
  <c r="AT13" i="3" s="1"/>
  <c r="AM12" i="3"/>
  <c r="AO12" i="3" s="1"/>
  <c r="AP12" i="3" s="1"/>
  <c r="AS12" i="3" s="1"/>
  <c r="AT12" i="3" s="1"/>
  <c r="AM11" i="3"/>
  <c r="AO11" i="3" s="1"/>
  <c r="AP11" i="3" s="1"/>
  <c r="AS11" i="3" s="1"/>
  <c r="AT11" i="3" s="1"/>
  <c r="AM9" i="3"/>
  <c r="AO9" i="3" s="1"/>
  <c r="AP9" i="3" s="1"/>
  <c r="AS9" i="3" s="1"/>
  <c r="AT9" i="3" s="1"/>
  <c r="AM7" i="3"/>
  <c r="AO7" i="3" s="1"/>
  <c r="AP7" i="3" s="1"/>
  <c r="AS7" i="3" s="1"/>
  <c r="AT7" i="3" s="1"/>
  <c r="AP5" i="3"/>
  <c r="J53" i="3"/>
  <c r="B84" i="3" s="1"/>
  <c r="I54" i="34"/>
  <c r="AM6" i="18"/>
  <c r="AO6" i="18" s="1"/>
  <c r="AP6" i="18" s="1"/>
  <c r="AS6" i="18" s="1"/>
  <c r="AT6" i="18" s="1"/>
  <c r="AM17" i="18"/>
  <c r="AO17" i="18" s="1"/>
  <c r="AP17" i="18" s="1"/>
  <c r="AS17" i="18" s="1"/>
  <c r="AT17" i="18" s="1"/>
  <c r="AM12" i="18"/>
  <c r="AO12" i="18" s="1"/>
  <c r="AP12" i="18" s="1"/>
  <c r="AS12" i="18" s="1"/>
  <c r="AT12" i="18" s="1"/>
  <c r="AM7" i="18"/>
  <c r="AO7" i="18" s="1"/>
  <c r="AP7" i="18" s="1"/>
  <c r="AS7" i="18" s="1"/>
  <c r="AT7" i="18" s="1"/>
  <c r="AM15" i="18"/>
  <c r="AO15" i="18" s="1"/>
  <c r="AP15" i="18" s="1"/>
  <c r="AS15" i="18" s="1"/>
  <c r="AT15" i="18" s="1"/>
  <c r="AM18" i="18"/>
  <c r="AO18" i="18" s="1"/>
  <c r="AP18" i="18" s="1"/>
  <c r="AS18" i="18" s="1"/>
  <c r="AT18" i="18" s="1"/>
  <c r="AM11" i="18"/>
  <c r="AO11" i="18" s="1"/>
  <c r="AP11" i="18" s="1"/>
  <c r="AS11" i="18" s="1"/>
  <c r="AT11" i="18" s="1"/>
  <c r="AM14" i="18"/>
  <c r="AO14" i="18" s="1"/>
  <c r="AP14" i="18" s="1"/>
  <c r="AS14" i="18" s="1"/>
  <c r="AT14" i="18" s="1"/>
  <c r="AM5" i="18"/>
  <c r="AO5" i="18" s="1"/>
  <c r="AP5" i="18" s="1"/>
  <c r="AM19" i="18"/>
  <c r="AO19" i="18" s="1"/>
  <c r="AP19" i="18" s="1"/>
  <c r="AS19" i="18" s="1"/>
  <c r="AT19" i="18" s="1"/>
  <c r="AM9" i="18"/>
  <c r="AO9" i="18" s="1"/>
  <c r="AP9" i="18" s="1"/>
  <c r="AS9" i="18" s="1"/>
  <c r="AT9" i="18" s="1"/>
  <c r="E27" i="5"/>
  <c r="G27" i="5" s="1"/>
  <c r="H27" i="5" s="1"/>
  <c r="K27" i="5" s="1"/>
  <c r="L27" i="5" s="1"/>
  <c r="J53" i="21"/>
  <c r="B82" i="21" s="1"/>
  <c r="AM5" i="17"/>
  <c r="AO5" i="17" s="1"/>
  <c r="AP5" i="17" s="1"/>
  <c r="AM9" i="17"/>
  <c r="AO9" i="17" s="1"/>
  <c r="AP9" i="17" s="1"/>
  <c r="AS9" i="17" s="1"/>
  <c r="AT9" i="17" s="1"/>
  <c r="AM14" i="17"/>
  <c r="AO14" i="17" s="1"/>
  <c r="AP14" i="17" s="1"/>
  <c r="AS14" i="17" s="1"/>
  <c r="AT14" i="17" s="1"/>
  <c r="AM7" i="17"/>
  <c r="AO7" i="17" s="1"/>
  <c r="AP7" i="17" s="1"/>
  <c r="AS7" i="17" s="1"/>
  <c r="AT7" i="17" s="1"/>
  <c r="AM8" i="17"/>
  <c r="AO8" i="17" s="1"/>
  <c r="AP8" i="17" s="1"/>
  <c r="AS8" i="17" s="1"/>
  <c r="AT8" i="17" s="1"/>
  <c r="J53" i="15"/>
  <c r="G6" i="21"/>
  <c r="H6" i="21" s="1"/>
  <c r="K6" i="21" s="1"/>
  <c r="L6" i="21" s="1"/>
  <c r="C52" i="21"/>
  <c r="E12" i="21"/>
  <c r="G12" i="21" s="1"/>
  <c r="H12" i="21" s="1"/>
  <c r="K12" i="21" s="1"/>
  <c r="L12" i="21" s="1"/>
  <c r="E9" i="21"/>
  <c r="G9" i="21" s="1"/>
  <c r="H9" i="21" s="1"/>
  <c r="K9" i="21" s="1"/>
  <c r="L9" i="21" s="1"/>
  <c r="E16" i="21"/>
  <c r="G16" i="21" s="1"/>
  <c r="H16" i="21" s="1"/>
  <c r="K16" i="21" s="1"/>
  <c r="L16" i="21" s="1"/>
  <c r="E19" i="21"/>
  <c r="G19" i="21" s="1"/>
  <c r="E7" i="21"/>
  <c r="G7" i="21" s="1"/>
  <c r="H7" i="21" s="1"/>
  <c r="K7" i="21" s="1"/>
  <c r="L7" i="21" s="1"/>
  <c r="E11" i="21"/>
  <c r="G11" i="21" s="1"/>
  <c r="H11" i="21" s="1"/>
  <c r="K11" i="21" s="1"/>
  <c r="L11" i="21" s="1"/>
  <c r="E17" i="21"/>
  <c r="G17" i="21" s="1"/>
  <c r="H17" i="21" s="1"/>
  <c r="K17" i="21" s="1"/>
  <c r="L17" i="21" s="1"/>
  <c r="E13" i="21"/>
  <c r="G13" i="21" s="1"/>
  <c r="H13" i="21" s="1"/>
  <c r="K13" i="21" s="1"/>
  <c r="L13" i="21" s="1"/>
  <c r="E10" i="21"/>
  <c r="G10" i="21" s="1"/>
  <c r="H10" i="21" s="1"/>
  <c r="K10" i="21" s="1"/>
  <c r="L10" i="21" s="1"/>
  <c r="E15" i="21"/>
  <c r="G15" i="21" s="1"/>
  <c r="H15" i="21" s="1"/>
  <c r="K15" i="21" s="1"/>
  <c r="L15" i="21" s="1"/>
  <c r="E18" i="21"/>
  <c r="G18" i="21" s="1"/>
  <c r="E20" i="21"/>
  <c r="G20" i="21" s="1"/>
  <c r="E14" i="21"/>
  <c r="G14" i="21" s="1"/>
  <c r="H14" i="21" s="1"/>
  <c r="K14" i="21" s="1"/>
  <c r="L14" i="21" s="1"/>
  <c r="E8" i="21"/>
  <c r="G8" i="21" s="1"/>
  <c r="H8" i="21" s="1"/>
  <c r="K8" i="21" s="1"/>
  <c r="L8" i="21" s="1"/>
  <c r="AM11" i="17"/>
  <c r="AO11" i="17" s="1"/>
  <c r="AP11" i="17" s="1"/>
  <c r="AS11" i="17" s="1"/>
  <c r="AT11" i="17" s="1"/>
  <c r="AM15" i="17"/>
  <c r="AO15" i="17" s="1"/>
  <c r="AP15" i="17" s="1"/>
  <c r="AS15" i="17" s="1"/>
  <c r="AT15" i="17" s="1"/>
  <c r="AM16" i="17"/>
  <c r="AO16" i="17" s="1"/>
  <c r="AP16" i="17" s="1"/>
  <c r="AS16" i="17" s="1"/>
  <c r="AT16" i="17" s="1"/>
  <c r="I52" i="17"/>
  <c r="H52" i="17" s="1"/>
  <c r="H53" i="17" s="1"/>
  <c r="E65" i="17" s="1"/>
  <c r="AM12" i="17"/>
  <c r="AO12" i="17" s="1"/>
  <c r="AP12" i="17" s="1"/>
  <c r="AS12" i="17" s="1"/>
  <c r="AT12" i="17" s="1"/>
  <c r="E14" i="16"/>
  <c r="G14" i="16" s="1"/>
  <c r="H14" i="16" s="1"/>
  <c r="K14" i="16" s="1"/>
  <c r="L14" i="16" s="1"/>
  <c r="E13" i="16"/>
  <c r="G13" i="16" s="1"/>
  <c r="H13" i="16" s="1"/>
  <c r="K13" i="16" s="1"/>
  <c r="L13" i="16" s="1"/>
  <c r="E8" i="16"/>
  <c r="G8" i="16" s="1"/>
  <c r="H8" i="16" s="1"/>
  <c r="K8" i="16" s="1"/>
  <c r="L8" i="16" s="1"/>
  <c r="E11" i="16"/>
  <c r="G11" i="16" s="1"/>
  <c r="H11" i="16" s="1"/>
  <c r="K11" i="16" s="1"/>
  <c r="L11" i="16" s="1"/>
  <c r="E9" i="16"/>
  <c r="G9" i="16" s="1"/>
  <c r="H9" i="16" s="1"/>
  <c r="K9" i="16" s="1"/>
  <c r="L9" i="16" s="1"/>
  <c r="E12" i="16"/>
  <c r="G12" i="16" s="1"/>
  <c r="H12" i="16" s="1"/>
  <c r="K12" i="16" s="1"/>
  <c r="L12" i="16" s="1"/>
  <c r="E6" i="16"/>
  <c r="G6" i="16" s="1"/>
  <c r="H6" i="16" s="1"/>
  <c r="K6" i="16" s="1"/>
  <c r="L6" i="16" s="1"/>
  <c r="AB29" i="56"/>
  <c r="AE29" i="56"/>
  <c r="AC29" i="56"/>
  <c r="I52" i="7"/>
  <c r="E23" i="5"/>
  <c r="G23" i="5" s="1"/>
  <c r="H23" i="5" s="1"/>
  <c r="K23" i="5" s="1"/>
  <c r="L23" i="5" s="1"/>
  <c r="E12" i="5"/>
  <c r="G12" i="5" s="1"/>
  <c r="H12" i="5" s="1"/>
  <c r="K12" i="5" s="1"/>
  <c r="L12" i="5" s="1"/>
  <c r="E20" i="5"/>
  <c r="G20" i="5" s="1"/>
  <c r="H20" i="5" s="1"/>
  <c r="K20" i="5" s="1"/>
  <c r="L20" i="5" s="1"/>
  <c r="E17" i="5"/>
  <c r="G17" i="5" s="1"/>
  <c r="H17" i="5" s="1"/>
  <c r="K17" i="5" s="1"/>
  <c r="L17" i="5" s="1"/>
  <c r="E26" i="5"/>
  <c r="G26" i="5" s="1"/>
  <c r="H26" i="5" s="1"/>
  <c r="K26" i="5" s="1"/>
  <c r="L26" i="5" s="1"/>
  <c r="E15" i="5"/>
  <c r="G15" i="5" s="1"/>
  <c r="H15" i="5" s="1"/>
  <c r="K15" i="5" s="1"/>
  <c r="L15" i="5" s="1"/>
  <c r="E25" i="5"/>
  <c r="G25" i="5" s="1"/>
  <c r="H25" i="5" s="1"/>
  <c r="K25" i="5" s="1"/>
  <c r="L25" i="5" s="1"/>
  <c r="E16" i="5"/>
  <c r="G16" i="5" s="1"/>
  <c r="H16" i="5" s="1"/>
  <c r="K16" i="5" s="1"/>
  <c r="L16" i="5" s="1"/>
  <c r="E10" i="5"/>
  <c r="G10" i="5" s="1"/>
  <c r="H10" i="5" s="1"/>
  <c r="K10" i="5" s="1"/>
  <c r="L10" i="5" s="1"/>
  <c r="E11" i="5"/>
  <c r="G11" i="5" s="1"/>
  <c r="H11" i="5" s="1"/>
  <c r="K11" i="5" s="1"/>
  <c r="L11" i="5" s="1"/>
  <c r="E7" i="5"/>
  <c r="G7" i="5" s="1"/>
  <c r="H7" i="5" s="1"/>
  <c r="K7" i="5" s="1"/>
  <c r="L7" i="5" s="1"/>
  <c r="E8" i="5"/>
  <c r="G8" i="5" s="1"/>
  <c r="H8" i="5" s="1"/>
  <c r="K8" i="5" s="1"/>
  <c r="L8" i="5" s="1"/>
  <c r="E9" i="5"/>
  <c r="G9" i="5" s="1"/>
  <c r="H9" i="5" s="1"/>
  <c r="K9" i="5" s="1"/>
  <c r="L9" i="5" s="1"/>
  <c r="E24" i="5"/>
  <c r="G24" i="5" s="1"/>
  <c r="H24" i="5" s="1"/>
  <c r="K24" i="5" s="1"/>
  <c r="L24" i="5" s="1"/>
  <c r="E13" i="5"/>
  <c r="G13" i="5" s="1"/>
  <c r="H13" i="5" s="1"/>
  <c r="K13" i="5" s="1"/>
  <c r="L13" i="5" s="1"/>
  <c r="E18" i="5"/>
  <c r="G18" i="5" s="1"/>
  <c r="H18" i="5" s="1"/>
  <c r="K18" i="5" s="1"/>
  <c r="L18" i="5" s="1"/>
  <c r="C52" i="5"/>
  <c r="C53" i="5" s="1"/>
  <c r="E21" i="5"/>
  <c r="G21" i="5" s="1"/>
  <c r="H21" i="5" s="1"/>
  <c r="K21" i="5" s="1"/>
  <c r="L21" i="5" s="1"/>
  <c r="E22" i="5"/>
  <c r="G22" i="5" s="1"/>
  <c r="H22" i="5" s="1"/>
  <c r="K22" i="5" s="1"/>
  <c r="L22" i="5" s="1"/>
  <c r="E19" i="5"/>
  <c r="G19" i="5" s="1"/>
  <c r="H19" i="5" s="1"/>
  <c r="K19" i="5" s="1"/>
  <c r="L19" i="5" s="1"/>
  <c r="E14" i="5"/>
  <c r="G14" i="5" s="1"/>
  <c r="H14" i="5" s="1"/>
  <c r="K14" i="5" s="1"/>
  <c r="L14" i="5" s="1"/>
  <c r="E14" i="67"/>
  <c r="G14" i="67" s="1"/>
  <c r="H14" i="67" s="1"/>
  <c r="K14" i="67" s="1"/>
  <c r="L14" i="67" s="1"/>
  <c r="AM8" i="72"/>
  <c r="AO8" i="72" s="1"/>
  <c r="AP8" i="72" s="1"/>
  <c r="AS8" i="72" s="1"/>
  <c r="AT8" i="72" s="1"/>
  <c r="AM14" i="72"/>
  <c r="AO14" i="72" s="1"/>
  <c r="AP14" i="72" s="1"/>
  <c r="AS14" i="72" s="1"/>
  <c r="AT14" i="72" s="1"/>
  <c r="AM10" i="72"/>
  <c r="AO10" i="72" s="1"/>
  <c r="AP10" i="72" s="1"/>
  <c r="AS10" i="72" s="1"/>
  <c r="AT10" i="72" s="1"/>
  <c r="AM12" i="72"/>
  <c r="AO12" i="72" s="1"/>
  <c r="AP12" i="72" s="1"/>
  <c r="AS12" i="72" s="1"/>
  <c r="AT12" i="72" s="1"/>
  <c r="AM11" i="72"/>
  <c r="AO11" i="72" s="1"/>
  <c r="AP11" i="72" s="1"/>
  <c r="AS11" i="72" s="1"/>
  <c r="AT11" i="72" s="1"/>
  <c r="AM9" i="72"/>
  <c r="AO9" i="72" s="1"/>
  <c r="AP9" i="72" s="1"/>
  <c r="AS9" i="72" s="1"/>
  <c r="AT9" i="72" s="1"/>
  <c r="AM6" i="72"/>
  <c r="AO6" i="72" s="1"/>
  <c r="AP6" i="72" s="1"/>
  <c r="AS6" i="72" s="1"/>
  <c r="AT6" i="72" s="1"/>
  <c r="AM18" i="72"/>
  <c r="AO18" i="72" s="1"/>
  <c r="AP18" i="72" s="1"/>
  <c r="AS18" i="72" s="1"/>
  <c r="AT18" i="72" s="1"/>
  <c r="AM16" i="72"/>
  <c r="AO16" i="72" s="1"/>
  <c r="AP16" i="72" s="1"/>
  <c r="AS16" i="72" s="1"/>
  <c r="AT16" i="72" s="1"/>
  <c r="AM15" i="72"/>
  <c r="AO15" i="72" s="1"/>
  <c r="AP15" i="72" s="1"/>
  <c r="AS15" i="72" s="1"/>
  <c r="AT15" i="72" s="1"/>
  <c r="AM5" i="72"/>
  <c r="AO5" i="72" s="1"/>
  <c r="AP5" i="72" s="1"/>
  <c r="AM19" i="72"/>
  <c r="AO19" i="72" s="1"/>
  <c r="AP19" i="72" s="1"/>
  <c r="AS19" i="72" s="1"/>
  <c r="AT19" i="72" s="1"/>
  <c r="AM17" i="72"/>
  <c r="AO17" i="72" s="1"/>
  <c r="AP17" i="72" s="1"/>
  <c r="AS17" i="72" s="1"/>
  <c r="AT17" i="72" s="1"/>
  <c r="AM7" i="72"/>
  <c r="AO7" i="72" s="1"/>
  <c r="AP7" i="72" s="1"/>
  <c r="AS7" i="72" s="1"/>
  <c r="AT7" i="72" s="1"/>
  <c r="AM13" i="72"/>
  <c r="AO13" i="72" s="1"/>
  <c r="AP13" i="72" s="1"/>
  <c r="AS13" i="72" s="1"/>
  <c r="AT13" i="72" s="1"/>
  <c r="I52" i="72"/>
  <c r="G1" i="58"/>
  <c r="I1" i="58" s="1"/>
  <c r="D52" i="58"/>
  <c r="E9" i="44"/>
  <c r="G9" i="44" s="1"/>
  <c r="H9" i="44" s="1"/>
  <c r="K9" i="44" s="1"/>
  <c r="L9" i="44" s="1"/>
  <c r="E7" i="44"/>
  <c r="G7" i="44" s="1"/>
  <c r="H7" i="44" s="1"/>
  <c r="K7" i="44" s="1"/>
  <c r="L7" i="44" s="1"/>
  <c r="C52" i="44"/>
  <c r="E10" i="44"/>
  <c r="G10" i="44" s="1"/>
  <c r="H10" i="44" s="1"/>
  <c r="K10" i="44" s="1"/>
  <c r="L10" i="44" s="1"/>
  <c r="E5" i="44"/>
  <c r="G5" i="44" s="1"/>
  <c r="H5" i="44" s="1"/>
  <c r="K5" i="44" s="1"/>
  <c r="L5" i="44" s="1"/>
  <c r="S35" i="44" s="1"/>
  <c r="E11" i="44"/>
  <c r="G11" i="44" s="1"/>
  <c r="H11" i="44" s="1"/>
  <c r="K11" i="44" s="1"/>
  <c r="L11" i="44" s="1"/>
  <c r="E12" i="44"/>
  <c r="G12" i="44" s="1"/>
  <c r="H12" i="44" s="1"/>
  <c r="K12" i="44" s="1"/>
  <c r="L12" i="44" s="1"/>
  <c r="E14" i="44"/>
  <c r="G14" i="44" s="1"/>
  <c r="H14" i="44" s="1"/>
  <c r="K14" i="44" s="1"/>
  <c r="L14" i="44" s="1"/>
  <c r="E17" i="44"/>
  <c r="G17" i="44" s="1"/>
  <c r="H17" i="44" s="1"/>
  <c r="K17" i="44" s="1"/>
  <c r="L17" i="44" s="1"/>
  <c r="E15" i="44"/>
  <c r="G15" i="44" s="1"/>
  <c r="H15" i="44" s="1"/>
  <c r="K15" i="44" s="1"/>
  <c r="L15" i="44" s="1"/>
  <c r="I52" i="53"/>
  <c r="H52" i="53" s="1"/>
  <c r="I51" i="56"/>
  <c r="I51" i="65"/>
  <c r="D5" i="65" s="1"/>
  <c r="D5" i="67"/>
  <c r="H51" i="67" s="1"/>
  <c r="J53" i="58"/>
  <c r="B83" i="58" s="1"/>
  <c r="I51" i="58"/>
  <c r="J53" i="74"/>
  <c r="B83" i="74" s="1"/>
  <c r="I51" i="74"/>
  <c r="H52" i="73"/>
  <c r="D65" i="73"/>
  <c r="D94" i="72"/>
  <c r="D65" i="72"/>
  <c r="D65" i="71"/>
  <c r="D82" i="71"/>
  <c r="D91" i="70"/>
  <c r="D65" i="70"/>
  <c r="D118" i="70"/>
  <c r="D89" i="59"/>
  <c r="D65" i="59"/>
  <c r="H52" i="62"/>
  <c r="I53" i="73"/>
  <c r="I53" i="62"/>
  <c r="J54" i="62"/>
  <c r="H51" i="70"/>
  <c r="H51" i="62"/>
  <c r="H51" i="59"/>
  <c r="J51" i="47"/>
  <c r="X44" i="47"/>
  <c r="D85" i="49"/>
  <c r="D65" i="49"/>
  <c r="D90" i="44"/>
  <c r="D65" i="44"/>
  <c r="D81" i="41"/>
  <c r="D65" i="41"/>
  <c r="D84" i="43"/>
  <c r="D65" i="43"/>
  <c r="E7" i="49"/>
  <c r="G7" i="49" s="1"/>
  <c r="H7" i="49" s="1"/>
  <c r="K7" i="49" s="1"/>
  <c r="L7" i="49" s="1"/>
  <c r="E13" i="49"/>
  <c r="G13" i="49" s="1"/>
  <c r="H13" i="49" s="1"/>
  <c r="K13" i="49" s="1"/>
  <c r="L13" i="49" s="1"/>
  <c r="E8" i="49"/>
  <c r="G8" i="49" s="1"/>
  <c r="H8" i="49" s="1"/>
  <c r="K8" i="49" s="1"/>
  <c r="L8" i="49" s="1"/>
  <c r="E9" i="49"/>
  <c r="G9" i="49" s="1"/>
  <c r="H9" i="49" s="1"/>
  <c r="K9" i="49" s="1"/>
  <c r="L9" i="49" s="1"/>
  <c r="E11" i="49"/>
  <c r="G11" i="49" s="1"/>
  <c r="H11" i="49" s="1"/>
  <c r="K11" i="49" s="1"/>
  <c r="L11" i="49" s="1"/>
  <c r="E6" i="49"/>
  <c r="G6" i="49" s="1"/>
  <c r="H6" i="49" s="1"/>
  <c r="K6" i="49" s="1"/>
  <c r="L6" i="49" s="1"/>
  <c r="E12" i="49"/>
  <c r="G12" i="49" s="1"/>
  <c r="H12" i="49" s="1"/>
  <c r="K12" i="49" s="1"/>
  <c r="L12" i="49" s="1"/>
  <c r="E15" i="49"/>
  <c r="G15" i="49" s="1"/>
  <c r="H15" i="49" s="1"/>
  <c r="K15" i="49" s="1"/>
  <c r="L15" i="49" s="1"/>
  <c r="E17" i="49"/>
  <c r="G17" i="49" s="1"/>
  <c r="H17" i="49" s="1"/>
  <c r="K17" i="49" s="1"/>
  <c r="L17" i="49" s="1"/>
  <c r="E10" i="49"/>
  <c r="G10" i="49" s="1"/>
  <c r="H10" i="49" s="1"/>
  <c r="K10" i="49" s="1"/>
  <c r="L10" i="49" s="1"/>
  <c r="E16" i="49"/>
  <c r="G16" i="49" s="1"/>
  <c r="H16" i="49" s="1"/>
  <c r="K16" i="49" s="1"/>
  <c r="L16" i="49" s="1"/>
  <c r="E14" i="49"/>
  <c r="G14" i="49" s="1"/>
  <c r="H14" i="49" s="1"/>
  <c r="K14" i="49" s="1"/>
  <c r="L14" i="49" s="1"/>
  <c r="C52" i="49"/>
  <c r="E13" i="44"/>
  <c r="G13" i="44" s="1"/>
  <c r="H13" i="44" s="1"/>
  <c r="K13" i="44" s="1"/>
  <c r="L13" i="44" s="1"/>
  <c r="J54" i="44"/>
  <c r="H51" i="49"/>
  <c r="H51" i="41"/>
  <c r="H51" i="46"/>
  <c r="H51" i="43"/>
  <c r="I52" i="67"/>
  <c r="J53" i="67"/>
  <c r="AM5" i="43"/>
  <c r="AO5" i="43" s="1"/>
  <c r="AP5" i="43" s="1"/>
  <c r="AM6" i="43"/>
  <c r="AO6" i="43" s="1"/>
  <c r="AP6" i="43" s="1"/>
  <c r="AS6" i="43" s="1"/>
  <c r="AT6" i="43" s="1"/>
  <c r="I52" i="43"/>
  <c r="H52" i="43" s="1"/>
  <c r="J54" i="43"/>
  <c r="I53" i="43"/>
  <c r="D87" i="48"/>
  <c r="D65" i="48"/>
  <c r="H51" i="48"/>
  <c r="E16" i="43"/>
  <c r="G16" i="43" s="1"/>
  <c r="H16" i="43" s="1"/>
  <c r="K16" i="43" s="1"/>
  <c r="L16" i="43" s="1"/>
  <c r="E9" i="43"/>
  <c r="G9" i="43" s="1"/>
  <c r="H9" i="43" s="1"/>
  <c r="K9" i="43" s="1"/>
  <c r="L9" i="43" s="1"/>
  <c r="E13" i="43"/>
  <c r="G13" i="43" s="1"/>
  <c r="H13" i="43" s="1"/>
  <c r="K13" i="43" s="1"/>
  <c r="L13" i="43" s="1"/>
  <c r="E11" i="43"/>
  <c r="G11" i="43" s="1"/>
  <c r="H11" i="43" s="1"/>
  <c r="K11" i="43" s="1"/>
  <c r="L11" i="43" s="1"/>
  <c r="E14" i="43"/>
  <c r="G14" i="43" s="1"/>
  <c r="H14" i="43" s="1"/>
  <c r="K14" i="43" s="1"/>
  <c r="L14" i="43" s="1"/>
  <c r="C52" i="43"/>
  <c r="E7" i="43"/>
  <c r="G7" i="43" s="1"/>
  <c r="H7" i="43" s="1"/>
  <c r="K7" i="43" s="1"/>
  <c r="L7" i="43" s="1"/>
  <c r="E8" i="43"/>
  <c r="G8" i="43" s="1"/>
  <c r="H8" i="43" s="1"/>
  <c r="K8" i="43" s="1"/>
  <c r="L8" i="43" s="1"/>
  <c r="U35" i="43" s="1"/>
  <c r="AD30" i="43" s="1"/>
  <c r="E6" i="43"/>
  <c r="G6" i="43" s="1"/>
  <c r="H6" i="43" s="1"/>
  <c r="K6" i="43" s="1"/>
  <c r="L6" i="43" s="1"/>
  <c r="E10" i="43"/>
  <c r="G10" i="43" s="1"/>
  <c r="H10" i="43" s="1"/>
  <c r="K10" i="43" s="1"/>
  <c r="L10" i="43" s="1"/>
  <c r="E12" i="43"/>
  <c r="G12" i="43" s="1"/>
  <c r="H12" i="43" s="1"/>
  <c r="K12" i="43" s="1"/>
  <c r="L12" i="43" s="1"/>
  <c r="E15" i="43"/>
  <c r="G15" i="43" s="1"/>
  <c r="H15" i="43" s="1"/>
  <c r="K15" i="43" s="1"/>
  <c r="L15" i="43" s="1"/>
  <c r="E17" i="43"/>
  <c r="G17" i="43" s="1"/>
  <c r="H17" i="43" s="1"/>
  <c r="K17" i="43" s="1"/>
  <c r="L17" i="43" s="1"/>
  <c r="AM7" i="41"/>
  <c r="AO7" i="41" s="1"/>
  <c r="AP7" i="41" s="1"/>
  <c r="AS7" i="41" s="1"/>
  <c r="AT7" i="41" s="1"/>
  <c r="AM5" i="41"/>
  <c r="AO5" i="41" s="1"/>
  <c r="AP5" i="41" s="1"/>
  <c r="AM6" i="41"/>
  <c r="AO6" i="41" s="1"/>
  <c r="AP6" i="41" s="1"/>
  <c r="AS6" i="41" s="1"/>
  <c r="AT6" i="41" s="1"/>
  <c r="AM8" i="41"/>
  <c r="AO8" i="41" s="1"/>
  <c r="AP8" i="41" s="1"/>
  <c r="AS8" i="41" s="1"/>
  <c r="AT8" i="41" s="1"/>
  <c r="AM9" i="41"/>
  <c r="AO9" i="41" s="1"/>
  <c r="AP9" i="41" s="1"/>
  <c r="AS9" i="41" s="1"/>
  <c r="AT9" i="41" s="1"/>
  <c r="AM10" i="41"/>
  <c r="AO10" i="41" s="1"/>
  <c r="AP10" i="41" s="1"/>
  <c r="AS10" i="41" s="1"/>
  <c r="AT10" i="41" s="1"/>
  <c r="AM12" i="41"/>
  <c r="AO12" i="41" s="1"/>
  <c r="AP12" i="41" s="1"/>
  <c r="AS12" i="41" s="1"/>
  <c r="AT12" i="41" s="1"/>
  <c r="AM11" i="41"/>
  <c r="AO11" i="41" s="1"/>
  <c r="AP11" i="41" s="1"/>
  <c r="AS11" i="41" s="1"/>
  <c r="AT11" i="41" s="1"/>
  <c r="J54" i="30"/>
  <c r="B90" i="30" s="1"/>
  <c r="H54" i="50"/>
  <c r="E88" i="50" s="1"/>
  <c r="J53" i="33"/>
  <c r="B88" i="33" s="1"/>
  <c r="I51" i="33"/>
  <c r="G1" i="32"/>
  <c r="E6" i="32" s="1"/>
  <c r="D52" i="32"/>
  <c r="C52" i="8"/>
  <c r="C53" i="8" s="1"/>
  <c r="E22" i="8"/>
  <c r="G22" i="8" s="1"/>
  <c r="H22" i="8" s="1"/>
  <c r="K22" i="8" s="1"/>
  <c r="L22" i="8" s="1"/>
  <c r="E20" i="8"/>
  <c r="G20" i="8" s="1"/>
  <c r="H20" i="8" s="1"/>
  <c r="K20" i="8" s="1"/>
  <c r="L20" i="8" s="1"/>
  <c r="E19" i="8"/>
  <c r="G19" i="8" s="1"/>
  <c r="H19" i="8" s="1"/>
  <c r="K19" i="8" s="1"/>
  <c r="L19" i="8" s="1"/>
  <c r="E17" i="8"/>
  <c r="G17" i="8" s="1"/>
  <c r="H17" i="8" s="1"/>
  <c r="K17" i="8" s="1"/>
  <c r="L17" i="8" s="1"/>
  <c r="E13" i="8"/>
  <c r="G13" i="8" s="1"/>
  <c r="H13" i="8" s="1"/>
  <c r="K13" i="8" s="1"/>
  <c r="L13" i="8" s="1"/>
  <c r="E12" i="8"/>
  <c r="G12" i="8" s="1"/>
  <c r="H12" i="8" s="1"/>
  <c r="K12" i="8" s="1"/>
  <c r="L12" i="8" s="1"/>
  <c r="E10" i="8"/>
  <c r="G10" i="8" s="1"/>
  <c r="H10" i="8" s="1"/>
  <c r="K10" i="8" s="1"/>
  <c r="L10" i="8" s="1"/>
  <c r="E9" i="8"/>
  <c r="G9" i="8" s="1"/>
  <c r="H9" i="8" s="1"/>
  <c r="K9" i="8" s="1"/>
  <c r="L9" i="8" s="1"/>
  <c r="E6" i="8"/>
  <c r="G6" i="8" s="1"/>
  <c r="H6" i="8" s="1"/>
  <c r="K6" i="8" s="1"/>
  <c r="L6" i="8" s="1"/>
  <c r="E21" i="8"/>
  <c r="G21" i="8" s="1"/>
  <c r="H21" i="8" s="1"/>
  <c r="K21" i="8" s="1"/>
  <c r="L21" i="8" s="1"/>
  <c r="E16" i="8"/>
  <c r="G16" i="8" s="1"/>
  <c r="H16" i="8" s="1"/>
  <c r="K16" i="8" s="1"/>
  <c r="L16" i="8" s="1"/>
  <c r="E23" i="8"/>
  <c r="G23" i="8" s="1"/>
  <c r="H23" i="8" s="1"/>
  <c r="K23" i="8" s="1"/>
  <c r="L23" i="8" s="1"/>
  <c r="E18" i="8"/>
  <c r="G18" i="8" s="1"/>
  <c r="H18" i="8" s="1"/>
  <c r="K18" i="8" s="1"/>
  <c r="L18" i="8" s="1"/>
  <c r="E15" i="8"/>
  <c r="G15" i="8" s="1"/>
  <c r="H15" i="8" s="1"/>
  <c r="K15" i="8" s="1"/>
  <c r="L15" i="8" s="1"/>
  <c r="E14" i="8"/>
  <c r="G14" i="8" s="1"/>
  <c r="H14" i="8" s="1"/>
  <c r="K14" i="8" s="1"/>
  <c r="L14" i="8" s="1"/>
  <c r="E11" i="8"/>
  <c r="G11" i="8" s="1"/>
  <c r="H11" i="8" s="1"/>
  <c r="K11" i="8" s="1"/>
  <c r="L11" i="8" s="1"/>
  <c r="E8" i="8"/>
  <c r="G8" i="8" s="1"/>
  <c r="H8" i="8" s="1"/>
  <c r="K8" i="8" s="1"/>
  <c r="L8" i="8" s="1"/>
  <c r="E7" i="8"/>
  <c r="G7" i="8" s="1"/>
  <c r="H7" i="8" s="1"/>
  <c r="K7" i="8" s="1"/>
  <c r="L7" i="8" s="1"/>
  <c r="E21" i="33"/>
  <c r="G21" i="33" s="1"/>
  <c r="H21" i="33" s="1"/>
  <c r="K21" i="33" s="1"/>
  <c r="L21" i="33" s="1"/>
  <c r="E20" i="33"/>
  <c r="G20" i="33" s="1"/>
  <c r="H20" i="33" s="1"/>
  <c r="K20" i="33" s="1"/>
  <c r="L20" i="33" s="1"/>
  <c r="E22" i="33"/>
  <c r="G22" i="33" s="1"/>
  <c r="H22" i="33" s="1"/>
  <c r="K22" i="33" s="1"/>
  <c r="L22" i="33" s="1"/>
  <c r="E9" i="33"/>
  <c r="G9" i="33" s="1"/>
  <c r="H9" i="33" s="1"/>
  <c r="K9" i="33" s="1"/>
  <c r="L9" i="33" s="1"/>
  <c r="E25" i="33"/>
  <c r="G25" i="33" s="1"/>
  <c r="H25" i="33" s="1"/>
  <c r="K25" i="33" s="1"/>
  <c r="L25" i="33" s="1"/>
  <c r="E8" i="33"/>
  <c r="G8" i="33" s="1"/>
  <c r="H8" i="33" s="1"/>
  <c r="K8" i="33" s="1"/>
  <c r="L8" i="33" s="1"/>
  <c r="C52" i="33"/>
  <c r="E23" i="33"/>
  <c r="G23" i="33" s="1"/>
  <c r="H23" i="33" s="1"/>
  <c r="K23" i="33" s="1"/>
  <c r="L23" i="33" s="1"/>
  <c r="E10" i="33"/>
  <c r="G10" i="33" s="1"/>
  <c r="H10" i="33" s="1"/>
  <c r="K10" i="33" s="1"/>
  <c r="L10" i="33" s="1"/>
  <c r="E17" i="33"/>
  <c r="G17" i="33" s="1"/>
  <c r="H17" i="33" s="1"/>
  <c r="K17" i="33" s="1"/>
  <c r="L17" i="33" s="1"/>
  <c r="E18" i="33"/>
  <c r="G18" i="33" s="1"/>
  <c r="H18" i="33" s="1"/>
  <c r="K18" i="33" s="1"/>
  <c r="L18" i="33" s="1"/>
  <c r="E6" i="33"/>
  <c r="G6" i="33" s="1"/>
  <c r="H6" i="33" s="1"/>
  <c r="K6" i="33" s="1"/>
  <c r="L6" i="33" s="1"/>
  <c r="E14" i="33"/>
  <c r="G14" i="33" s="1"/>
  <c r="H14" i="33" s="1"/>
  <c r="K14" i="33" s="1"/>
  <c r="L14" i="33" s="1"/>
  <c r="E19" i="33"/>
  <c r="G19" i="33" s="1"/>
  <c r="H19" i="33" s="1"/>
  <c r="K19" i="33" s="1"/>
  <c r="L19" i="33" s="1"/>
  <c r="E11" i="33"/>
  <c r="G11" i="33" s="1"/>
  <c r="H11" i="33" s="1"/>
  <c r="K11" i="33" s="1"/>
  <c r="L11" i="33" s="1"/>
  <c r="E15" i="33"/>
  <c r="G15" i="33" s="1"/>
  <c r="H15" i="33" s="1"/>
  <c r="K15" i="33" s="1"/>
  <c r="L15" i="33" s="1"/>
  <c r="E16" i="33"/>
  <c r="G16" i="33" s="1"/>
  <c r="H16" i="33" s="1"/>
  <c r="K16" i="33" s="1"/>
  <c r="L16" i="33" s="1"/>
  <c r="E12" i="33"/>
  <c r="G12" i="33" s="1"/>
  <c r="H12" i="33" s="1"/>
  <c r="K12" i="33" s="1"/>
  <c r="L12" i="33" s="1"/>
  <c r="E7" i="33"/>
  <c r="G7" i="33" s="1"/>
  <c r="H7" i="33" s="1"/>
  <c r="K7" i="33" s="1"/>
  <c r="L7" i="33" s="1"/>
  <c r="E13" i="33"/>
  <c r="G13" i="33" s="1"/>
  <c r="H13" i="33" s="1"/>
  <c r="K13" i="33" s="1"/>
  <c r="L13" i="33" s="1"/>
  <c r="E24" i="33"/>
  <c r="G24" i="33" s="1"/>
  <c r="H24" i="33" s="1"/>
  <c r="K24" i="33" s="1"/>
  <c r="L24" i="33" s="1"/>
  <c r="E8" i="26"/>
  <c r="G8" i="26" s="1"/>
  <c r="H8" i="26" s="1"/>
  <c r="K8" i="26" s="1"/>
  <c r="L8" i="26" s="1"/>
  <c r="E15" i="26"/>
  <c r="G15" i="26" s="1"/>
  <c r="H15" i="26" s="1"/>
  <c r="K15" i="26" s="1"/>
  <c r="L15" i="26" s="1"/>
  <c r="E19" i="26"/>
  <c r="G19" i="26" s="1"/>
  <c r="H19" i="26" s="1"/>
  <c r="K19" i="26" s="1"/>
  <c r="L19" i="26" s="1"/>
  <c r="E16" i="26"/>
  <c r="G16" i="26" s="1"/>
  <c r="H16" i="26" s="1"/>
  <c r="K16" i="26" s="1"/>
  <c r="L16" i="26" s="1"/>
  <c r="E7" i="26"/>
  <c r="G7" i="26" s="1"/>
  <c r="H7" i="26" s="1"/>
  <c r="K7" i="26" s="1"/>
  <c r="L7" i="26" s="1"/>
  <c r="E6" i="26"/>
  <c r="G6" i="26" s="1"/>
  <c r="H6" i="26" s="1"/>
  <c r="K6" i="26" s="1"/>
  <c r="L6" i="26" s="1"/>
  <c r="C52" i="26"/>
  <c r="C53" i="26" s="1"/>
  <c r="E12" i="26"/>
  <c r="G12" i="26" s="1"/>
  <c r="H12" i="26" s="1"/>
  <c r="K12" i="26" s="1"/>
  <c r="L12" i="26" s="1"/>
  <c r="E14" i="26"/>
  <c r="G14" i="26" s="1"/>
  <c r="H14" i="26" s="1"/>
  <c r="K14" i="26" s="1"/>
  <c r="L14" i="26" s="1"/>
  <c r="E17" i="26"/>
  <c r="G17" i="26" s="1"/>
  <c r="H17" i="26" s="1"/>
  <c r="K17" i="26" s="1"/>
  <c r="L17" i="26" s="1"/>
  <c r="E9" i="26"/>
  <c r="G9" i="26" s="1"/>
  <c r="H9" i="26" s="1"/>
  <c r="K9" i="26" s="1"/>
  <c r="L9" i="26" s="1"/>
  <c r="E11" i="26"/>
  <c r="G11" i="26" s="1"/>
  <c r="H11" i="26" s="1"/>
  <c r="K11" i="26" s="1"/>
  <c r="L11" i="26" s="1"/>
  <c r="E13" i="26"/>
  <c r="G13" i="26" s="1"/>
  <c r="H13" i="26" s="1"/>
  <c r="K13" i="26" s="1"/>
  <c r="L13" i="26" s="1"/>
  <c r="E18" i="26"/>
  <c r="G18" i="26" s="1"/>
  <c r="H18" i="26" s="1"/>
  <c r="K18" i="26" s="1"/>
  <c r="L18" i="26" s="1"/>
  <c r="E10" i="26"/>
  <c r="G10" i="26" s="1"/>
  <c r="H10" i="26" s="1"/>
  <c r="K10" i="26" s="1"/>
  <c r="L10" i="26" s="1"/>
  <c r="J54" i="23"/>
  <c r="B100" i="23" s="1"/>
  <c r="E10" i="16"/>
  <c r="G10" i="16" s="1"/>
  <c r="H10" i="16" s="1"/>
  <c r="K10" i="16" s="1"/>
  <c r="L10" i="16" s="1"/>
  <c r="H53" i="77"/>
  <c r="E65" i="77" s="1"/>
  <c r="E6" i="77"/>
  <c r="G6" i="77" s="1"/>
  <c r="H6" i="77" s="1"/>
  <c r="K6" i="77" s="1"/>
  <c r="L6" i="77" s="1"/>
  <c r="E8" i="77"/>
  <c r="G8" i="77" s="1"/>
  <c r="H8" i="77" s="1"/>
  <c r="K8" i="77" s="1"/>
  <c r="L8" i="77" s="1"/>
  <c r="E10" i="77"/>
  <c r="G10" i="77" s="1"/>
  <c r="H10" i="77" s="1"/>
  <c r="K10" i="77" s="1"/>
  <c r="L10" i="77" s="1"/>
  <c r="H1" i="77"/>
  <c r="E7" i="77"/>
  <c r="G7" i="77" s="1"/>
  <c r="H7" i="77" s="1"/>
  <c r="K7" i="77" s="1"/>
  <c r="L7" i="77" s="1"/>
  <c r="E9" i="77"/>
  <c r="G9" i="77" s="1"/>
  <c r="H9" i="77" s="1"/>
  <c r="K9" i="77" s="1"/>
  <c r="L9" i="77" s="1"/>
  <c r="C52" i="16"/>
  <c r="E5" i="16"/>
  <c r="G5" i="16" s="1"/>
  <c r="H5" i="16" s="1"/>
  <c r="K5" i="16" s="1"/>
  <c r="L5" i="16" s="1"/>
  <c r="S35" i="16" s="1"/>
  <c r="E7" i="16"/>
  <c r="G7" i="16" s="1"/>
  <c r="H7" i="16" s="1"/>
  <c r="K7" i="16" s="1"/>
  <c r="L7" i="16" s="1"/>
  <c r="G5" i="10"/>
  <c r="I54" i="10"/>
  <c r="L5" i="10"/>
  <c r="J55" i="10"/>
  <c r="B95" i="10" s="1"/>
  <c r="H52" i="10"/>
  <c r="J53" i="7"/>
  <c r="B81" i="7" s="1"/>
  <c r="I51" i="7"/>
  <c r="D5" i="69"/>
  <c r="J54" i="9"/>
  <c r="K5" i="75"/>
  <c r="L5" i="75" s="1"/>
  <c r="AM10" i="25"/>
  <c r="AO10" i="25" s="1"/>
  <c r="AP10" i="25" s="1"/>
  <c r="AS10" i="25" s="1"/>
  <c r="AT10" i="25" s="1"/>
  <c r="AM12" i="25"/>
  <c r="AO12" i="25" s="1"/>
  <c r="AP12" i="25" s="1"/>
  <c r="AS12" i="25" s="1"/>
  <c r="AT12" i="25" s="1"/>
  <c r="AM5" i="25"/>
  <c r="AO5" i="25" s="1"/>
  <c r="AP5" i="25" s="1"/>
  <c r="AM11" i="25"/>
  <c r="AO11" i="25" s="1"/>
  <c r="AP11" i="25" s="1"/>
  <c r="AS11" i="25" s="1"/>
  <c r="AT11" i="25" s="1"/>
  <c r="AM15" i="25"/>
  <c r="AO15" i="25" s="1"/>
  <c r="AP15" i="25" s="1"/>
  <c r="AS15" i="25" s="1"/>
  <c r="AT15" i="25" s="1"/>
  <c r="E8" i="25"/>
  <c r="G8" i="25" s="1"/>
  <c r="H8" i="25" s="1"/>
  <c r="K8" i="25" s="1"/>
  <c r="L8" i="25" s="1"/>
  <c r="E7" i="25"/>
  <c r="G7" i="25" s="1"/>
  <c r="H7" i="25" s="1"/>
  <c r="K7" i="25" s="1"/>
  <c r="L7" i="25" s="1"/>
  <c r="E6" i="25"/>
  <c r="G6" i="25" s="1"/>
  <c r="H6" i="25" s="1"/>
  <c r="K6" i="25" s="1"/>
  <c r="L6" i="25" s="1"/>
  <c r="G5" i="51"/>
  <c r="H52" i="51"/>
  <c r="I53" i="51"/>
  <c r="J54" i="51"/>
  <c r="B98" i="51" s="1"/>
  <c r="H98" i="51" s="1"/>
  <c r="I52" i="60"/>
  <c r="J53" i="60"/>
  <c r="B79" i="60" s="1"/>
  <c r="AM8" i="60"/>
  <c r="AO8" i="60" s="1"/>
  <c r="AP8" i="60" s="1"/>
  <c r="AS8" i="60" s="1"/>
  <c r="AT8" i="60" s="1"/>
  <c r="AM7" i="60"/>
  <c r="AO7" i="60" s="1"/>
  <c r="AP7" i="60" s="1"/>
  <c r="AS7" i="60" s="1"/>
  <c r="AT7" i="60" s="1"/>
  <c r="AM5" i="60"/>
  <c r="AO5" i="60" s="1"/>
  <c r="AP5" i="60" s="1"/>
  <c r="AM12" i="60"/>
  <c r="AO12" i="60" s="1"/>
  <c r="AP12" i="60" s="1"/>
  <c r="AS12" i="60" s="1"/>
  <c r="AT12" i="60" s="1"/>
  <c r="AM11" i="60"/>
  <c r="AO11" i="60" s="1"/>
  <c r="AP11" i="60" s="1"/>
  <c r="AS11" i="60" s="1"/>
  <c r="AT11" i="60" s="1"/>
  <c r="AM10" i="60"/>
  <c r="AO10" i="60" s="1"/>
  <c r="AP10" i="60" s="1"/>
  <c r="AS10" i="60" s="1"/>
  <c r="AT10" i="60" s="1"/>
  <c r="AM13" i="60"/>
  <c r="AO13" i="60" s="1"/>
  <c r="AP13" i="60" s="1"/>
  <c r="AS13" i="60" s="1"/>
  <c r="AT13" i="60" s="1"/>
  <c r="AM6" i="60"/>
  <c r="AO6" i="60" s="1"/>
  <c r="AP6" i="60" s="1"/>
  <c r="AS6" i="60" s="1"/>
  <c r="AT6" i="60" s="1"/>
  <c r="AM9" i="60"/>
  <c r="AO9" i="60" s="1"/>
  <c r="AP9" i="60" s="1"/>
  <c r="AS9" i="60" s="1"/>
  <c r="AT9" i="60" s="1"/>
  <c r="AM14" i="60"/>
  <c r="AO14" i="60" s="1"/>
  <c r="AP14" i="60" s="1"/>
  <c r="AS14" i="60" s="1"/>
  <c r="AT14" i="60" s="1"/>
  <c r="G1" i="60"/>
  <c r="I1" i="60" s="1"/>
  <c r="D52" i="60"/>
  <c r="C53" i="50"/>
  <c r="J54" i="35"/>
  <c r="B81" i="35" s="1"/>
  <c r="H81" i="35" s="1"/>
  <c r="I53" i="35"/>
  <c r="G5" i="35"/>
  <c r="H52" i="35"/>
  <c r="I52" i="25"/>
  <c r="J53" i="25"/>
  <c r="AM13" i="25"/>
  <c r="AO13" i="25" s="1"/>
  <c r="AP13" i="25" s="1"/>
  <c r="AS13" i="25" s="1"/>
  <c r="AT13" i="25" s="1"/>
  <c r="AM16" i="25"/>
  <c r="AO16" i="25" s="1"/>
  <c r="AP16" i="25" s="1"/>
  <c r="AS16" i="25" s="1"/>
  <c r="AT16" i="25" s="1"/>
  <c r="AM8" i="25"/>
  <c r="AO8" i="25" s="1"/>
  <c r="AP8" i="25" s="1"/>
  <c r="AS8" i="25" s="1"/>
  <c r="AT8" i="25" s="1"/>
  <c r="AM9" i="25"/>
  <c r="AO9" i="25" s="1"/>
  <c r="AP9" i="25" s="1"/>
  <c r="AS9" i="25" s="1"/>
  <c r="AT9" i="25" s="1"/>
  <c r="AM7" i="25"/>
  <c r="AO7" i="25" s="1"/>
  <c r="AP7" i="25" s="1"/>
  <c r="AS7" i="25" s="1"/>
  <c r="AT7" i="25" s="1"/>
  <c r="AM6" i="25"/>
  <c r="AO6" i="25" s="1"/>
  <c r="AP6" i="25" s="1"/>
  <c r="AS6" i="25" s="1"/>
  <c r="AT6" i="25" s="1"/>
  <c r="AM14" i="25"/>
  <c r="AO14" i="25" s="1"/>
  <c r="AP14" i="25" s="1"/>
  <c r="AS14" i="25" s="1"/>
  <c r="AT14" i="25" s="1"/>
  <c r="E8" i="79"/>
  <c r="G8" i="79" s="1"/>
  <c r="H8" i="79" s="1"/>
  <c r="K8" i="79" s="1"/>
  <c r="L8" i="79" s="1"/>
  <c r="E7" i="79"/>
  <c r="G7" i="79" s="1"/>
  <c r="H7" i="79" s="1"/>
  <c r="K7" i="79" s="1"/>
  <c r="L7" i="79" s="1"/>
  <c r="E9" i="79"/>
  <c r="G9" i="79" s="1"/>
  <c r="H9" i="79" s="1"/>
  <c r="K9" i="79" s="1"/>
  <c r="L9" i="79" s="1"/>
  <c r="E6" i="79"/>
  <c r="G6" i="79" s="1"/>
  <c r="H6" i="79" s="1"/>
  <c r="K6" i="79" s="1"/>
  <c r="L6" i="79" s="1"/>
  <c r="G5" i="79"/>
  <c r="H5" i="79" s="1"/>
  <c r="K5" i="79" s="1"/>
  <c r="L5" i="79" s="1"/>
  <c r="S35" i="79" s="1"/>
  <c r="I1" i="79"/>
  <c r="I54" i="32"/>
  <c r="J55" i="32"/>
  <c r="I55" i="32" s="1"/>
  <c r="D52" i="78"/>
  <c r="B76" i="78" s="1"/>
  <c r="G1" i="78"/>
  <c r="E6" i="68"/>
  <c r="G6" i="68" s="1"/>
  <c r="H6" i="68" s="1"/>
  <c r="K6" i="68" s="1"/>
  <c r="L6" i="68" s="1"/>
  <c r="E8" i="68"/>
  <c r="G8" i="68" s="1"/>
  <c r="H8" i="68" s="1"/>
  <c r="K8" i="68" s="1"/>
  <c r="L8" i="68" s="1"/>
  <c r="E13" i="68"/>
  <c r="G13" i="68" s="1"/>
  <c r="H13" i="68" s="1"/>
  <c r="K13" i="68" s="1"/>
  <c r="L13" i="68" s="1"/>
  <c r="E11" i="68"/>
  <c r="G11" i="68" s="1"/>
  <c r="H11" i="68" s="1"/>
  <c r="K11" i="68" s="1"/>
  <c r="L11" i="68" s="1"/>
  <c r="E9" i="68"/>
  <c r="G9" i="68" s="1"/>
  <c r="H9" i="68" s="1"/>
  <c r="K9" i="68" s="1"/>
  <c r="L9" i="68" s="1"/>
  <c r="E10" i="68"/>
  <c r="G10" i="68" s="1"/>
  <c r="H10" i="68" s="1"/>
  <c r="K10" i="68" s="1"/>
  <c r="L10" i="68" s="1"/>
  <c r="E12" i="68"/>
  <c r="G12" i="68" s="1"/>
  <c r="H12" i="68" s="1"/>
  <c r="K12" i="68" s="1"/>
  <c r="L12" i="68" s="1"/>
  <c r="E7" i="68"/>
  <c r="G7" i="68" s="1"/>
  <c r="H7" i="68" s="1"/>
  <c r="K7" i="68" s="1"/>
  <c r="L7" i="68" s="1"/>
  <c r="I54" i="50"/>
  <c r="J55" i="50"/>
  <c r="D52" i="55"/>
  <c r="B76" i="55" s="1"/>
  <c r="G1" i="55"/>
  <c r="G1" i="54"/>
  <c r="D52" i="54"/>
  <c r="B73" i="54" s="1"/>
  <c r="AA53" i="52"/>
  <c r="AB53" i="52"/>
  <c r="AC53" i="52"/>
  <c r="AA54" i="52"/>
  <c r="AC54" i="52"/>
  <c r="AB54" i="52"/>
  <c r="C52" i="39"/>
  <c r="I1" i="39"/>
  <c r="D52" i="38"/>
  <c r="B73" i="38" s="1"/>
  <c r="G1" i="38"/>
  <c r="G1" i="31"/>
  <c r="E19" i="27"/>
  <c r="G19" i="27" s="1"/>
  <c r="H19" i="27" s="1"/>
  <c r="K19" i="27" s="1"/>
  <c r="L19" i="27" s="1"/>
  <c r="E15" i="27"/>
  <c r="G15" i="27" s="1"/>
  <c r="H15" i="27" s="1"/>
  <c r="K15" i="27" s="1"/>
  <c r="L15" i="27" s="1"/>
  <c r="E14" i="27"/>
  <c r="G14" i="27" s="1"/>
  <c r="H14" i="27" s="1"/>
  <c r="K14" i="27" s="1"/>
  <c r="L14" i="27" s="1"/>
  <c r="E18" i="27"/>
  <c r="G18" i="27" s="1"/>
  <c r="H18" i="27" s="1"/>
  <c r="K18" i="27" s="1"/>
  <c r="L18" i="27" s="1"/>
  <c r="E17" i="27"/>
  <c r="G17" i="27" s="1"/>
  <c r="H17" i="27" s="1"/>
  <c r="K17" i="27" s="1"/>
  <c r="L17" i="27" s="1"/>
  <c r="E13" i="27"/>
  <c r="G13" i="27" s="1"/>
  <c r="H13" i="27" s="1"/>
  <c r="K13" i="27" s="1"/>
  <c r="L13" i="27" s="1"/>
  <c r="E11" i="27"/>
  <c r="G11" i="27" s="1"/>
  <c r="H11" i="27" s="1"/>
  <c r="K11" i="27" s="1"/>
  <c r="L11" i="27" s="1"/>
  <c r="E10" i="27"/>
  <c r="G10" i="27" s="1"/>
  <c r="H10" i="27" s="1"/>
  <c r="K10" i="27" s="1"/>
  <c r="L10" i="27" s="1"/>
  <c r="E8" i="27"/>
  <c r="G8" i="27" s="1"/>
  <c r="H8" i="27" s="1"/>
  <c r="K8" i="27" s="1"/>
  <c r="L8" i="27" s="1"/>
  <c r="E5" i="27"/>
  <c r="G5" i="27" s="1"/>
  <c r="H5" i="27" s="1"/>
  <c r="K5" i="27" s="1"/>
  <c r="L5" i="27" s="1"/>
  <c r="S35" i="27" s="1"/>
  <c r="AA30" i="27" s="1"/>
  <c r="C52" i="27"/>
  <c r="C53" i="27" s="1"/>
  <c r="E12" i="27"/>
  <c r="G12" i="27" s="1"/>
  <c r="H12" i="27" s="1"/>
  <c r="K12" i="27" s="1"/>
  <c r="L12" i="27" s="1"/>
  <c r="E16" i="27"/>
  <c r="G16" i="27" s="1"/>
  <c r="H16" i="27" s="1"/>
  <c r="K16" i="27" s="1"/>
  <c r="L16" i="27" s="1"/>
  <c r="E9" i="27"/>
  <c r="G9" i="27" s="1"/>
  <c r="H9" i="27" s="1"/>
  <c r="K9" i="27" s="1"/>
  <c r="L9" i="27" s="1"/>
  <c r="E7" i="27"/>
  <c r="G7" i="27" s="1"/>
  <c r="H7" i="27" s="1"/>
  <c r="K7" i="27" s="1"/>
  <c r="L7" i="27" s="1"/>
  <c r="E6" i="27"/>
  <c r="G6" i="27" s="1"/>
  <c r="H6" i="27" s="1"/>
  <c r="K6" i="27" s="1"/>
  <c r="L6" i="27" s="1"/>
  <c r="I54" i="27"/>
  <c r="J55" i="27"/>
  <c r="I55" i="27" s="1"/>
  <c r="J55" i="16"/>
  <c r="I54" i="16"/>
  <c r="D52" i="14"/>
  <c r="B73" i="14" s="1"/>
  <c r="G1" i="14"/>
  <c r="G1" i="13"/>
  <c r="D52" i="13"/>
  <c r="B75" i="13" s="1"/>
  <c r="E8" i="12"/>
  <c r="G8" i="12" s="1"/>
  <c r="H8" i="12" s="1"/>
  <c r="K8" i="12" s="1"/>
  <c r="L8" i="12" s="1"/>
  <c r="E13" i="12"/>
  <c r="G13" i="12" s="1"/>
  <c r="H13" i="12" s="1"/>
  <c r="K13" i="12" s="1"/>
  <c r="L13" i="12" s="1"/>
  <c r="E11" i="12"/>
  <c r="G11" i="12" s="1"/>
  <c r="H11" i="12" s="1"/>
  <c r="K11" i="12" s="1"/>
  <c r="L11" i="12" s="1"/>
  <c r="E6" i="12"/>
  <c r="G6" i="12" s="1"/>
  <c r="H6" i="12" s="1"/>
  <c r="K6" i="12" s="1"/>
  <c r="L6" i="12" s="1"/>
  <c r="C52" i="12"/>
  <c r="E9" i="12"/>
  <c r="G9" i="12" s="1"/>
  <c r="H9" i="12" s="1"/>
  <c r="K9" i="12" s="1"/>
  <c r="L9" i="12" s="1"/>
  <c r="E12" i="12"/>
  <c r="G12" i="12" s="1"/>
  <c r="H12" i="12" s="1"/>
  <c r="K12" i="12" s="1"/>
  <c r="L12" i="12" s="1"/>
  <c r="E7" i="12"/>
  <c r="G7" i="12" s="1"/>
  <c r="H7" i="12" s="1"/>
  <c r="K7" i="12" s="1"/>
  <c r="L7" i="12" s="1"/>
  <c r="E10" i="12"/>
  <c r="G10" i="12" s="1"/>
  <c r="H10" i="12" s="1"/>
  <c r="K10" i="12" s="1"/>
  <c r="L10" i="12" s="1"/>
  <c r="D52" i="37"/>
  <c r="G1" i="37"/>
  <c r="I1" i="37" s="1"/>
  <c r="H53" i="30"/>
  <c r="E65" i="30" s="1"/>
  <c r="E5" i="30"/>
  <c r="G5" i="30" s="1"/>
  <c r="H5" i="30" s="1"/>
  <c r="I53" i="30"/>
  <c r="I53" i="23"/>
  <c r="H52" i="23"/>
  <c r="G5" i="23"/>
  <c r="G5" i="21"/>
  <c r="H5" i="21" s="1"/>
  <c r="K5" i="21" s="1"/>
  <c r="L5" i="21" s="1"/>
  <c r="S35" i="21" s="1"/>
  <c r="H53" i="21"/>
  <c r="E65" i="21" s="1"/>
  <c r="G65" i="21" s="1"/>
  <c r="H65" i="21" s="1"/>
  <c r="C53" i="20"/>
  <c r="D53" i="20" s="1"/>
  <c r="E14" i="19"/>
  <c r="G14" i="19" s="1"/>
  <c r="H14" i="19" s="1"/>
  <c r="K14" i="19" s="1"/>
  <c r="L14" i="19" s="1"/>
  <c r="E13" i="19"/>
  <c r="G13" i="19" s="1"/>
  <c r="H13" i="19" s="1"/>
  <c r="K13" i="19" s="1"/>
  <c r="L13" i="19" s="1"/>
  <c r="E6" i="19"/>
  <c r="G6" i="19" s="1"/>
  <c r="H6" i="19" s="1"/>
  <c r="K6" i="19" s="1"/>
  <c r="L6" i="19" s="1"/>
  <c r="E9" i="19"/>
  <c r="G9" i="19" s="1"/>
  <c r="H9" i="19" s="1"/>
  <c r="K9" i="19" s="1"/>
  <c r="L9" i="19" s="1"/>
  <c r="E16" i="19"/>
  <c r="G16" i="19" s="1"/>
  <c r="H16" i="19" s="1"/>
  <c r="K16" i="19" s="1"/>
  <c r="L16" i="19" s="1"/>
  <c r="C52" i="19"/>
  <c r="E15" i="19"/>
  <c r="G15" i="19" s="1"/>
  <c r="H15" i="19" s="1"/>
  <c r="K15" i="19" s="1"/>
  <c r="L15" i="19" s="1"/>
  <c r="E8" i="19"/>
  <c r="G8" i="19" s="1"/>
  <c r="H8" i="19" s="1"/>
  <c r="K8" i="19" s="1"/>
  <c r="L8" i="19" s="1"/>
  <c r="E7" i="19"/>
  <c r="G7" i="19" s="1"/>
  <c r="H7" i="19" s="1"/>
  <c r="K7" i="19" s="1"/>
  <c r="L7" i="19" s="1"/>
  <c r="E12" i="19"/>
  <c r="G12" i="19" s="1"/>
  <c r="H12" i="19" s="1"/>
  <c r="K12" i="19" s="1"/>
  <c r="L12" i="19" s="1"/>
  <c r="E10" i="19"/>
  <c r="G10" i="19" s="1"/>
  <c r="H10" i="19" s="1"/>
  <c r="K10" i="19" s="1"/>
  <c r="L10" i="19" s="1"/>
  <c r="E17" i="19"/>
  <c r="G17" i="19" s="1"/>
  <c r="H17" i="19" s="1"/>
  <c r="K17" i="19" s="1"/>
  <c r="L17" i="19" s="1"/>
  <c r="E11" i="19"/>
  <c r="G11" i="19" s="1"/>
  <c r="H11" i="19" s="1"/>
  <c r="K11" i="19" s="1"/>
  <c r="L11" i="19" s="1"/>
  <c r="C53" i="7"/>
  <c r="I51" i="45"/>
  <c r="D5" i="45" s="1"/>
  <c r="J53" i="45"/>
  <c r="B82" i="45" s="1"/>
  <c r="E17" i="3"/>
  <c r="G17" i="3" s="1"/>
  <c r="H17" i="3" s="1"/>
  <c r="K17" i="3" s="1"/>
  <c r="L17" i="3" s="1"/>
  <c r="E22" i="3"/>
  <c r="G22" i="3" s="1"/>
  <c r="H22" i="3" s="1"/>
  <c r="K22" i="3" s="1"/>
  <c r="L22" i="3" s="1"/>
  <c r="E20" i="3"/>
  <c r="G20" i="3" s="1"/>
  <c r="H20" i="3" s="1"/>
  <c r="K20" i="3" s="1"/>
  <c r="L20" i="3" s="1"/>
  <c r="E16" i="3"/>
  <c r="G16" i="3" s="1"/>
  <c r="H16" i="3" s="1"/>
  <c r="K16" i="3" s="1"/>
  <c r="L16" i="3" s="1"/>
  <c r="E14" i="3"/>
  <c r="G14" i="3" s="1"/>
  <c r="H14" i="3" s="1"/>
  <c r="K14" i="3" s="1"/>
  <c r="L14" i="3" s="1"/>
  <c r="E12" i="3"/>
  <c r="G12" i="3" s="1"/>
  <c r="H12" i="3" s="1"/>
  <c r="K12" i="3" s="1"/>
  <c r="L12" i="3" s="1"/>
  <c r="E10" i="3"/>
  <c r="G10" i="3" s="1"/>
  <c r="H10" i="3" s="1"/>
  <c r="K10" i="3" s="1"/>
  <c r="L10" i="3" s="1"/>
  <c r="E9" i="3"/>
  <c r="G9" i="3" s="1"/>
  <c r="H9" i="3" s="1"/>
  <c r="K9" i="3" s="1"/>
  <c r="L9" i="3" s="1"/>
  <c r="E8" i="3"/>
  <c r="G8" i="3" s="1"/>
  <c r="H8" i="3" s="1"/>
  <c r="K8" i="3" s="1"/>
  <c r="L8" i="3" s="1"/>
  <c r="E7" i="3"/>
  <c r="G7" i="3" s="1"/>
  <c r="H7" i="3" s="1"/>
  <c r="K7" i="3" s="1"/>
  <c r="L7" i="3" s="1"/>
  <c r="E6" i="3"/>
  <c r="G6" i="3" s="1"/>
  <c r="H6" i="3" s="1"/>
  <c r="K6" i="3" s="1"/>
  <c r="L6" i="3" s="1"/>
  <c r="E18" i="3"/>
  <c r="G18" i="3" s="1"/>
  <c r="H18" i="3" s="1"/>
  <c r="K18" i="3" s="1"/>
  <c r="L18" i="3" s="1"/>
  <c r="C52" i="3"/>
  <c r="E21" i="3"/>
  <c r="G21" i="3" s="1"/>
  <c r="H21" i="3" s="1"/>
  <c r="K21" i="3" s="1"/>
  <c r="L21" i="3" s="1"/>
  <c r="E15" i="3"/>
  <c r="G15" i="3" s="1"/>
  <c r="H15" i="3" s="1"/>
  <c r="K15" i="3" s="1"/>
  <c r="L15" i="3" s="1"/>
  <c r="E13" i="3"/>
  <c r="G13" i="3" s="1"/>
  <c r="H13" i="3" s="1"/>
  <c r="K13" i="3" s="1"/>
  <c r="L13" i="3" s="1"/>
  <c r="E11" i="3"/>
  <c r="G11" i="3" s="1"/>
  <c r="H11" i="3" s="1"/>
  <c r="K11" i="3" s="1"/>
  <c r="L11" i="3" s="1"/>
  <c r="E19" i="3"/>
  <c r="G19" i="3" s="1"/>
  <c r="H19" i="3" s="1"/>
  <c r="K19" i="3" s="1"/>
  <c r="L19" i="3" s="1"/>
  <c r="I53" i="6"/>
  <c r="E11" i="6"/>
  <c r="G11" i="6" s="1"/>
  <c r="H11" i="6" s="1"/>
  <c r="K11" i="6" s="1"/>
  <c r="L11" i="6" s="1"/>
  <c r="E10" i="6"/>
  <c r="G10" i="6" s="1"/>
  <c r="H10" i="6" s="1"/>
  <c r="K10" i="6" s="1"/>
  <c r="L10" i="6" s="1"/>
  <c r="E9" i="6"/>
  <c r="G9" i="6" s="1"/>
  <c r="H9" i="6" s="1"/>
  <c r="K9" i="6" s="1"/>
  <c r="L9" i="6" s="1"/>
  <c r="E8" i="6"/>
  <c r="G8" i="6" s="1"/>
  <c r="H8" i="6" s="1"/>
  <c r="K8" i="6" s="1"/>
  <c r="L8" i="6" s="1"/>
  <c r="E7" i="6"/>
  <c r="G7" i="6" s="1"/>
  <c r="H7" i="6" s="1"/>
  <c r="K7" i="6" s="1"/>
  <c r="L7" i="6" s="1"/>
  <c r="E6" i="6"/>
  <c r="G6" i="6" s="1"/>
  <c r="H6" i="6" s="1"/>
  <c r="K6" i="6" s="1"/>
  <c r="L6" i="6" s="1"/>
  <c r="C52" i="6"/>
  <c r="J54" i="6"/>
  <c r="B86" i="6" s="1"/>
  <c r="I53" i="9"/>
  <c r="H53" i="9"/>
  <c r="E5" i="9"/>
  <c r="G5" i="9" s="1"/>
  <c r="H5" i="9" s="1"/>
  <c r="K5" i="9" s="1"/>
  <c r="L5" i="9" s="1"/>
  <c r="S35" i="9" s="1"/>
  <c r="C53" i="9"/>
  <c r="D53" i="9" s="1"/>
  <c r="E6" i="74"/>
  <c r="G6" i="74" s="1"/>
  <c r="H6" i="74" s="1"/>
  <c r="K6" i="74" s="1"/>
  <c r="L6" i="74" s="1"/>
  <c r="E19" i="74"/>
  <c r="G19" i="74" s="1"/>
  <c r="H19" i="74" s="1"/>
  <c r="K19" i="74" s="1"/>
  <c r="L19" i="74" s="1"/>
  <c r="E17" i="74"/>
  <c r="G17" i="74" s="1"/>
  <c r="H17" i="74" s="1"/>
  <c r="K17" i="74" s="1"/>
  <c r="L17" i="74" s="1"/>
  <c r="E16" i="74"/>
  <c r="G16" i="74" s="1"/>
  <c r="H16" i="74" s="1"/>
  <c r="K16" i="74" s="1"/>
  <c r="L16" i="74" s="1"/>
  <c r="E14" i="74"/>
  <c r="G14" i="74" s="1"/>
  <c r="H14" i="74" s="1"/>
  <c r="K14" i="74" s="1"/>
  <c r="L14" i="74" s="1"/>
  <c r="E20" i="74"/>
  <c r="G20" i="74" s="1"/>
  <c r="H20" i="74" s="1"/>
  <c r="K20" i="74" s="1"/>
  <c r="L20" i="74" s="1"/>
  <c r="E15" i="74"/>
  <c r="G15" i="74" s="1"/>
  <c r="H15" i="74" s="1"/>
  <c r="K15" i="74" s="1"/>
  <c r="L15" i="74" s="1"/>
  <c r="E11" i="74"/>
  <c r="G11" i="74" s="1"/>
  <c r="H11" i="74" s="1"/>
  <c r="K11" i="74" s="1"/>
  <c r="L11" i="74" s="1"/>
  <c r="C52" i="74"/>
  <c r="E18" i="74"/>
  <c r="G18" i="74" s="1"/>
  <c r="H18" i="74" s="1"/>
  <c r="K18" i="74" s="1"/>
  <c r="L18" i="74" s="1"/>
  <c r="E12" i="74"/>
  <c r="G12" i="74" s="1"/>
  <c r="H12" i="74" s="1"/>
  <c r="K12" i="74" s="1"/>
  <c r="L12" i="74" s="1"/>
  <c r="E10" i="74"/>
  <c r="G10" i="74" s="1"/>
  <c r="H10" i="74" s="1"/>
  <c r="K10" i="74" s="1"/>
  <c r="L10" i="74" s="1"/>
  <c r="E8" i="74"/>
  <c r="G8" i="74" s="1"/>
  <c r="H8" i="74" s="1"/>
  <c r="K8" i="74" s="1"/>
  <c r="L8" i="74" s="1"/>
  <c r="E13" i="74"/>
  <c r="G13" i="74" s="1"/>
  <c r="H13" i="74" s="1"/>
  <c r="K13" i="74" s="1"/>
  <c r="L13" i="74" s="1"/>
  <c r="E9" i="74"/>
  <c r="G9" i="74" s="1"/>
  <c r="H9" i="74" s="1"/>
  <c r="K9" i="74" s="1"/>
  <c r="L9" i="74" s="1"/>
  <c r="E7" i="74"/>
  <c r="G7" i="74" s="1"/>
  <c r="H7" i="74" s="1"/>
  <c r="K7" i="74" s="1"/>
  <c r="L7" i="74" s="1"/>
  <c r="E21" i="74"/>
  <c r="G21" i="74" s="1"/>
  <c r="H21" i="74" s="1"/>
  <c r="K21" i="74" s="1"/>
  <c r="L21" i="74" s="1"/>
  <c r="C52" i="71"/>
  <c r="E8" i="71"/>
  <c r="G8" i="71" s="1"/>
  <c r="H8" i="71" s="1"/>
  <c r="K8" i="71" s="1"/>
  <c r="L8" i="71" s="1"/>
  <c r="E7" i="71"/>
  <c r="G7" i="71" s="1"/>
  <c r="H7" i="71" s="1"/>
  <c r="K7" i="71" s="1"/>
  <c r="L7" i="71" s="1"/>
  <c r="E13" i="71"/>
  <c r="G13" i="71" s="1"/>
  <c r="H13" i="71" s="1"/>
  <c r="K13" i="71" s="1"/>
  <c r="L13" i="71" s="1"/>
  <c r="E12" i="71"/>
  <c r="G12" i="71" s="1"/>
  <c r="H12" i="71" s="1"/>
  <c r="K12" i="71" s="1"/>
  <c r="L12" i="71" s="1"/>
  <c r="E15" i="71"/>
  <c r="G15" i="71" s="1"/>
  <c r="H15" i="71" s="1"/>
  <c r="K15" i="71" s="1"/>
  <c r="L15" i="71" s="1"/>
  <c r="E11" i="71"/>
  <c r="G11" i="71" s="1"/>
  <c r="H11" i="71" s="1"/>
  <c r="K11" i="71" s="1"/>
  <c r="L11" i="71" s="1"/>
  <c r="E14" i="71"/>
  <c r="G14" i="71" s="1"/>
  <c r="H14" i="71" s="1"/>
  <c r="K14" i="71" s="1"/>
  <c r="L14" i="71" s="1"/>
  <c r="E6" i="71"/>
  <c r="G6" i="71" s="1"/>
  <c r="H6" i="71" s="1"/>
  <c r="K6" i="71" s="1"/>
  <c r="L6" i="71" s="1"/>
  <c r="E9" i="71"/>
  <c r="G9" i="71" s="1"/>
  <c r="H9" i="71" s="1"/>
  <c r="K9" i="71" s="1"/>
  <c r="L9" i="71" s="1"/>
  <c r="E10" i="71"/>
  <c r="G10" i="71" s="1"/>
  <c r="H10" i="71" s="1"/>
  <c r="K10" i="71" s="1"/>
  <c r="L10" i="71" s="1"/>
  <c r="D52" i="70"/>
  <c r="G1" i="70"/>
  <c r="I1" i="70" s="1"/>
  <c r="E24" i="70" s="1"/>
  <c r="G24" i="70" s="1"/>
  <c r="H24" i="70" s="1"/>
  <c r="K24" i="70" s="1"/>
  <c r="L24" i="70" s="1"/>
  <c r="I53" i="66"/>
  <c r="J54" i="66"/>
  <c r="B90" i="66" s="1"/>
  <c r="H90" i="66" s="1"/>
  <c r="E22" i="69"/>
  <c r="G22" i="69" s="1"/>
  <c r="H22" i="69" s="1"/>
  <c r="K22" i="69" s="1"/>
  <c r="L22" i="69" s="1"/>
  <c r="E10" i="69"/>
  <c r="G10" i="69" s="1"/>
  <c r="H10" i="69" s="1"/>
  <c r="K10" i="69" s="1"/>
  <c r="L10" i="69" s="1"/>
  <c r="E20" i="69"/>
  <c r="G20" i="69" s="1"/>
  <c r="H20" i="69" s="1"/>
  <c r="K20" i="69" s="1"/>
  <c r="L20" i="69" s="1"/>
  <c r="E16" i="69"/>
  <c r="G16" i="69" s="1"/>
  <c r="H16" i="69" s="1"/>
  <c r="K16" i="69" s="1"/>
  <c r="L16" i="69" s="1"/>
  <c r="E13" i="69"/>
  <c r="G13" i="69" s="1"/>
  <c r="H13" i="69" s="1"/>
  <c r="K13" i="69" s="1"/>
  <c r="L13" i="69" s="1"/>
  <c r="E11" i="69"/>
  <c r="G11" i="69" s="1"/>
  <c r="H11" i="69" s="1"/>
  <c r="K11" i="69" s="1"/>
  <c r="L11" i="69" s="1"/>
  <c r="E7" i="69"/>
  <c r="G7" i="69" s="1"/>
  <c r="H7" i="69" s="1"/>
  <c r="K7" i="69" s="1"/>
  <c r="L7" i="69" s="1"/>
  <c r="E6" i="69"/>
  <c r="G6" i="69" s="1"/>
  <c r="H6" i="69" s="1"/>
  <c r="K6" i="69" s="1"/>
  <c r="L6" i="69" s="1"/>
  <c r="C52" i="69"/>
  <c r="C53" i="69" s="1"/>
  <c r="D53" i="69" s="1"/>
  <c r="E19" i="69"/>
  <c r="G19" i="69" s="1"/>
  <c r="H19" i="69" s="1"/>
  <c r="K19" i="69" s="1"/>
  <c r="L19" i="69" s="1"/>
  <c r="E17" i="69"/>
  <c r="G17" i="69" s="1"/>
  <c r="H17" i="69" s="1"/>
  <c r="K17" i="69" s="1"/>
  <c r="L17" i="69" s="1"/>
  <c r="E14" i="69"/>
  <c r="G14" i="69" s="1"/>
  <c r="H14" i="69" s="1"/>
  <c r="K14" i="69" s="1"/>
  <c r="L14" i="69" s="1"/>
  <c r="E12" i="69"/>
  <c r="G12" i="69" s="1"/>
  <c r="H12" i="69" s="1"/>
  <c r="K12" i="69" s="1"/>
  <c r="L12" i="69" s="1"/>
  <c r="E9" i="69"/>
  <c r="G9" i="69" s="1"/>
  <c r="H9" i="69" s="1"/>
  <c r="K9" i="69" s="1"/>
  <c r="L9" i="69" s="1"/>
  <c r="E8" i="69"/>
  <c r="G8" i="69" s="1"/>
  <c r="H8" i="69" s="1"/>
  <c r="K8" i="69" s="1"/>
  <c r="L8" i="69" s="1"/>
  <c r="E18" i="69"/>
  <c r="G18" i="69" s="1"/>
  <c r="H18" i="69" s="1"/>
  <c r="K18" i="69" s="1"/>
  <c r="L18" i="69" s="1"/>
  <c r="E15" i="69"/>
  <c r="G15" i="69" s="1"/>
  <c r="H15" i="69" s="1"/>
  <c r="K15" i="69" s="1"/>
  <c r="L15" i="69" s="1"/>
  <c r="E21" i="69"/>
  <c r="G21" i="69" s="1"/>
  <c r="H21" i="69" s="1"/>
  <c r="K21" i="69" s="1"/>
  <c r="L21" i="69" s="1"/>
  <c r="T35" i="59" l="1"/>
  <c r="AB30" i="59" s="1"/>
  <c r="B83" i="59"/>
  <c r="I53" i="59"/>
  <c r="J54" i="59"/>
  <c r="T35" i="19"/>
  <c r="AB30" i="19" s="1"/>
  <c r="T35" i="49"/>
  <c r="B79" i="49"/>
  <c r="I53" i="49"/>
  <c r="J54" i="49"/>
  <c r="B87" i="57"/>
  <c r="K5" i="30"/>
  <c r="L5" i="30" s="1"/>
  <c r="S35" i="30" s="1"/>
  <c r="AB30" i="30" s="1"/>
  <c r="P12" i="30"/>
  <c r="P13" i="30" s="1"/>
  <c r="B79" i="19"/>
  <c r="J54" i="19"/>
  <c r="I53" i="19"/>
  <c r="D53" i="28"/>
  <c r="E84" i="28"/>
  <c r="G84" i="28" s="1"/>
  <c r="H84" i="28" s="1"/>
  <c r="E85" i="28"/>
  <c r="G85" i="28" s="1"/>
  <c r="H85" i="28" s="1"/>
  <c r="D53" i="26"/>
  <c r="E80" i="26"/>
  <c r="G80" i="26" s="1"/>
  <c r="H80" i="26" s="1"/>
  <c r="E79" i="26"/>
  <c r="G79" i="26" s="1"/>
  <c r="H79" i="26" s="1"/>
  <c r="G65" i="17"/>
  <c r="H65" i="17" s="1"/>
  <c r="E5" i="49"/>
  <c r="G5" i="49" s="1"/>
  <c r="H5" i="49" s="1"/>
  <c r="K5" i="49" s="1"/>
  <c r="L5" i="49" s="1"/>
  <c r="S35" i="49" s="1"/>
  <c r="H53" i="49"/>
  <c r="E15" i="37"/>
  <c r="G15" i="37" s="1"/>
  <c r="H15" i="37" s="1"/>
  <c r="K15" i="37" s="1"/>
  <c r="L15" i="37" s="1"/>
  <c r="E14" i="37"/>
  <c r="G14" i="37" s="1"/>
  <c r="H14" i="37" s="1"/>
  <c r="K14" i="37" s="1"/>
  <c r="L14" i="37" s="1"/>
  <c r="E16" i="37"/>
  <c r="G16" i="37" s="1"/>
  <c r="H16" i="37" s="1"/>
  <c r="K16" i="37" s="1"/>
  <c r="K5" i="32"/>
  <c r="L5" i="32" s="1"/>
  <c r="S35" i="32" s="1"/>
  <c r="AA30" i="32" s="1"/>
  <c r="S33" i="85"/>
  <c r="T33" i="85"/>
  <c r="AC25" i="85" s="1"/>
  <c r="V35" i="28"/>
  <c r="AA30" i="28" s="1"/>
  <c r="V28" i="28"/>
  <c r="H52" i="67"/>
  <c r="C55" i="85"/>
  <c r="D55" i="85" s="1"/>
  <c r="D65" i="28"/>
  <c r="D92" i="28"/>
  <c r="H52" i="28"/>
  <c r="D120" i="28"/>
  <c r="H51" i="28"/>
  <c r="D53" i="4"/>
  <c r="E73" i="4"/>
  <c r="G73" i="4" s="1"/>
  <c r="H73" i="4" s="1"/>
  <c r="E74" i="4"/>
  <c r="G74" i="4" s="1"/>
  <c r="H74" i="4" s="1"/>
  <c r="E76" i="4"/>
  <c r="G76" i="4" s="1"/>
  <c r="H76" i="4" s="1"/>
  <c r="E75" i="4"/>
  <c r="G75" i="4" s="1"/>
  <c r="H75" i="4" s="1"/>
  <c r="B79" i="48"/>
  <c r="J54" i="48"/>
  <c r="I53" i="48"/>
  <c r="E9" i="73"/>
  <c r="G9" i="73" s="1"/>
  <c r="H9" i="73" s="1"/>
  <c r="K9" i="73" s="1"/>
  <c r="L9" i="73" s="1"/>
  <c r="E8" i="73"/>
  <c r="G8" i="73" s="1"/>
  <c r="H8" i="73" s="1"/>
  <c r="K8" i="73" s="1"/>
  <c r="L8" i="73" s="1"/>
  <c r="W35" i="43"/>
  <c r="AA30" i="43" s="1"/>
  <c r="E10" i="73"/>
  <c r="G10" i="73" s="1"/>
  <c r="H10" i="73" s="1"/>
  <c r="K10" i="73" s="1"/>
  <c r="L10" i="73" s="1"/>
  <c r="C52" i="73"/>
  <c r="C53" i="73" s="1"/>
  <c r="V35" i="25"/>
  <c r="AA30" i="25" s="1"/>
  <c r="T35" i="79"/>
  <c r="T35" i="29"/>
  <c r="T35" i="67"/>
  <c r="AB30" i="67" s="1"/>
  <c r="T35" i="62"/>
  <c r="AB30" i="62" s="1"/>
  <c r="T35" i="46"/>
  <c r="T35" i="25"/>
  <c r="AC30" i="25" s="1"/>
  <c r="S33" i="68"/>
  <c r="AC25" i="68" s="1"/>
  <c r="T35" i="74"/>
  <c r="AB30" i="74" s="1"/>
  <c r="E7" i="73"/>
  <c r="G7" i="73" s="1"/>
  <c r="H7" i="73" s="1"/>
  <c r="K7" i="73" s="1"/>
  <c r="L7" i="73" s="1"/>
  <c r="E6" i="73"/>
  <c r="G6" i="73" s="1"/>
  <c r="H6" i="73" s="1"/>
  <c r="K6" i="73" s="1"/>
  <c r="L6" i="73" s="1"/>
  <c r="V35" i="72"/>
  <c r="AA30" i="72" s="1"/>
  <c r="E26" i="72"/>
  <c r="G26" i="72" s="1"/>
  <c r="H26" i="72" s="1"/>
  <c r="K26" i="72" s="1"/>
  <c r="L26" i="72" s="1"/>
  <c r="E11" i="72"/>
  <c r="G11" i="72" s="1"/>
  <c r="H11" i="72" s="1"/>
  <c r="K11" i="72" s="1"/>
  <c r="L11" i="72" s="1"/>
  <c r="E24" i="72"/>
  <c r="G24" i="72" s="1"/>
  <c r="H24" i="72" s="1"/>
  <c r="K24" i="72" s="1"/>
  <c r="L24" i="72" s="1"/>
  <c r="E7" i="72"/>
  <c r="G7" i="72" s="1"/>
  <c r="H7" i="72" s="1"/>
  <c r="K7" i="72" s="1"/>
  <c r="L7" i="72" s="1"/>
  <c r="C52" i="72"/>
  <c r="C53" i="72" s="1"/>
  <c r="E23" i="72"/>
  <c r="G23" i="72" s="1"/>
  <c r="H23" i="72" s="1"/>
  <c r="K23" i="72" s="1"/>
  <c r="L23" i="72" s="1"/>
  <c r="E18" i="72"/>
  <c r="G18" i="72" s="1"/>
  <c r="H18" i="72" s="1"/>
  <c r="K18" i="72" s="1"/>
  <c r="L18" i="72" s="1"/>
  <c r="E25" i="72"/>
  <c r="G25" i="72" s="1"/>
  <c r="H25" i="72" s="1"/>
  <c r="K25" i="72" s="1"/>
  <c r="L25" i="72" s="1"/>
  <c r="E22" i="72"/>
  <c r="G22" i="72" s="1"/>
  <c r="H22" i="72" s="1"/>
  <c r="K22" i="72" s="1"/>
  <c r="L22" i="72" s="1"/>
  <c r="E20" i="72"/>
  <c r="G20" i="72" s="1"/>
  <c r="H20" i="72" s="1"/>
  <c r="K20" i="72" s="1"/>
  <c r="L20" i="72" s="1"/>
  <c r="E10" i="72"/>
  <c r="G10" i="72" s="1"/>
  <c r="H10" i="72" s="1"/>
  <c r="K10" i="72" s="1"/>
  <c r="L10" i="72" s="1"/>
  <c r="E13" i="72"/>
  <c r="G13" i="72" s="1"/>
  <c r="H13" i="72" s="1"/>
  <c r="K13" i="72" s="1"/>
  <c r="L13" i="72" s="1"/>
  <c r="E27" i="72"/>
  <c r="G27" i="72" s="1"/>
  <c r="H27" i="72" s="1"/>
  <c r="K27" i="72" s="1"/>
  <c r="L27" i="72" s="1"/>
  <c r="E17" i="72"/>
  <c r="G17" i="72" s="1"/>
  <c r="H17" i="72" s="1"/>
  <c r="K17" i="72" s="1"/>
  <c r="L17" i="72" s="1"/>
  <c r="E16" i="72"/>
  <c r="G16" i="72" s="1"/>
  <c r="H16" i="72" s="1"/>
  <c r="K16" i="72" s="1"/>
  <c r="L16" i="72" s="1"/>
  <c r="E15" i="72"/>
  <c r="G15" i="72" s="1"/>
  <c r="H15" i="72" s="1"/>
  <c r="K15" i="72" s="1"/>
  <c r="L15" i="72" s="1"/>
  <c r="E14" i="72"/>
  <c r="G14" i="72" s="1"/>
  <c r="H14" i="72" s="1"/>
  <c r="K14" i="72" s="1"/>
  <c r="L14" i="72" s="1"/>
  <c r="E12" i="72"/>
  <c r="G12" i="72" s="1"/>
  <c r="H12" i="72" s="1"/>
  <c r="K12" i="72" s="1"/>
  <c r="L12" i="72" s="1"/>
  <c r="E9" i="72"/>
  <c r="G9" i="72" s="1"/>
  <c r="H9" i="72" s="1"/>
  <c r="K9" i="72" s="1"/>
  <c r="L9" i="72" s="1"/>
  <c r="E21" i="72"/>
  <c r="G21" i="72" s="1"/>
  <c r="H21" i="72" s="1"/>
  <c r="K21" i="72" s="1"/>
  <c r="L21" i="72" s="1"/>
  <c r="E6" i="72"/>
  <c r="G6" i="72" s="1"/>
  <c r="H6" i="72" s="1"/>
  <c r="K6" i="72" s="1"/>
  <c r="L6" i="72" s="1"/>
  <c r="E8" i="72"/>
  <c r="G8" i="72" s="1"/>
  <c r="H8" i="72" s="1"/>
  <c r="K8" i="72" s="1"/>
  <c r="L8" i="72" s="1"/>
  <c r="E19" i="72"/>
  <c r="G19" i="72" s="1"/>
  <c r="H19" i="72" s="1"/>
  <c r="K19" i="72" s="1"/>
  <c r="L19" i="72" s="1"/>
  <c r="AS6" i="70"/>
  <c r="AT6" i="70" s="1"/>
  <c r="V35" i="70" s="1"/>
  <c r="AA30" i="70" s="1"/>
  <c r="V28" i="70"/>
  <c r="V35" i="69"/>
  <c r="AA30" i="69" s="1"/>
  <c r="V28" i="69"/>
  <c r="T35" i="61"/>
  <c r="AC30" i="61" s="1"/>
  <c r="T35" i="57"/>
  <c r="V35" i="57"/>
  <c r="AA30" i="57" s="1"/>
  <c r="AA30" i="79"/>
  <c r="AS6" i="47"/>
  <c r="AT6" i="47" s="1"/>
  <c r="V35" i="47" s="1"/>
  <c r="Z30" i="47" s="1"/>
  <c r="V28" i="47"/>
  <c r="E5" i="46"/>
  <c r="G5" i="46" s="1"/>
  <c r="H5" i="46" s="1"/>
  <c r="K5" i="46" s="1"/>
  <c r="L5" i="46" s="1"/>
  <c r="S35" i="46" s="1"/>
  <c r="H53" i="46"/>
  <c r="T35" i="44"/>
  <c r="AA30" i="44"/>
  <c r="T35" i="43"/>
  <c r="AC30" i="43" s="1"/>
  <c r="V28" i="41"/>
  <c r="V35" i="41"/>
  <c r="AA30" i="41" s="1"/>
  <c r="T35" i="41"/>
  <c r="AC30" i="41" s="1"/>
  <c r="S33" i="34"/>
  <c r="E66" i="32"/>
  <c r="G66" i="32" s="1"/>
  <c r="H66" i="32" s="1"/>
  <c r="H54" i="32"/>
  <c r="T35" i="27"/>
  <c r="T35" i="26"/>
  <c r="AC30" i="26" s="1"/>
  <c r="AB30" i="21"/>
  <c r="T35" i="69"/>
  <c r="V35" i="60"/>
  <c r="AA30" i="60" s="1"/>
  <c r="T35" i="56"/>
  <c r="AA30" i="16"/>
  <c r="V35" i="26"/>
  <c r="AA30" i="26" s="1"/>
  <c r="V35" i="17"/>
  <c r="AA30" i="17" s="1"/>
  <c r="T35" i="16"/>
  <c r="AB30" i="16" s="1"/>
  <c r="V28" i="18"/>
  <c r="AC30" i="20"/>
  <c r="AC31" i="20" s="1"/>
  <c r="AB30" i="20"/>
  <c r="AB31" i="20" s="1"/>
  <c r="V35" i="18"/>
  <c r="AA30" i="18" s="1"/>
  <c r="AB30" i="9"/>
  <c r="AF30" i="9" s="1"/>
  <c r="AC25" i="9" s="1"/>
  <c r="U35" i="9"/>
  <c r="V28" i="25"/>
  <c r="E71" i="12"/>
  <c r="E72" i="12"/>
  <c r="E65" i="12"/>
  <c r="E70" i="12"/>
  <c r="E66" i="12"/>
  <c r="E67" i="12"/>
  <c r="E68" i="12"/>
  <c r="E69" i="12"/>
  <c r="E69" i="39"/>
  <c r="E67" i="39"/>
  <c r="E68" i="39"/>
  <c r="E70" i="39"/>
  <c r="E71" i="39"/>
  <c r="E66" i="39"/>
  <c r="V28" i="26"/>
  <c r="F83" i="6"/>
  <c r="F70" i="6"/>
  <c r="S30" i="82"/>
  <c r="AC24" i="82" s="1"/>
  <c r="V28" i="37"/>
  <c r="V35" i="37"/>
  <c r="AA30" i="37" s="1"/>
  <c r="T35" i="17"/>
  <c r="T35" i="28"/>
  <c r="L6" i="11"/>
  <c r="W35" i="11" s="1"/>
  <c r="AD30" i="11" s="1"/>
  <c r="AF30" i="11" s="1"/>
  <c r="AC25" i="11" s="1"/>
  <c r="W28" i="11"/>
  <c r="W32" i="11" s="1"/>
  <c r="V35" i="3"/>
  <c r="AA30" i="3" s="1"/>
  <c r="AA31" i="3" s="1"/>
  <c r="T35" i="3"/>
  <c r="V28" i="8"/>
  <c r="V35" i="8"/>
  <c r="AA30" i="8" s="1"/>
  <c r="T35" i="8"/>
  <c r="S31" i="12"/>
  <c r="T30" i="87"/>
  <c r="AA25" i="87" s="1"/>
  <c r="U35" i="11"/>
  <c r="V28" i="60"/>
  <c r="V32" i="60" s="1"/>
  <c r="C82" i="45"/>
  <c r="W28" i="43"/>
  <c r="V28" i="72"/>
  <c r="V35" i="71"/>
  <c r="AA30" i="71" s="1"/>
  <c r="V28" i="71"/>
  <c r="V28" i="57"/>
  <c r="V28" i="17"/>
  <c r="D53" i="5"/>
  <c r="E90" i="5" s="1"/>
  <c r="E88" i="5"/>
  <c r="G88" i="5" s="1"/>
  <c r="H88" i="5" s="1"/>
  <c r="V28" i="3"/>
  <c r="V32" i="3" s="1"/>
  <c r="D53" i="8"/>
  <c r="H55" i="16"/>
  <c r="E108" i="16" s="1"/>
  <c r="G108" i="16" s="1"/>
  <c r="H108" i="16" s="1"/>
  <c r="E86" i="16"/>
  <c r="G86" i="16" s="1"/>
  <c r="H86" i="16" s="1"/>
  <c r="H52" i="60"/>
  <c r="D84" i="60"/>
  <c r="D65" i="60"/>
  <c r="D55" i="84"/>
  <c r="C56" i="84"/>
  <c r="D53" i="68"/>
  <c r="G65" i="68"/>
  <c r="H65" i="68" s="1"/>
  <c r="E69" i="50"/>
  <c r="G69" i="50" s="1"/>
  <c r="H69" i="50" s="1"/>
  <c r="E75" i="50"/>
  <c r="G75" i="50" s="1"/>
  <c r="H75" i="50" s="1"/>
  <c r="E80" i="50"/>
  <c r="G80" i="50" s="1"/>
  <c r="H80" i="50" s="1"/>
  <c r="E73" i="50"/>
  <c r="G73" i="50" s="1"/>
  <c r="H73" i="50" s="1"/>
  <c r="E77" i="50"/>
  <c r="G77" i="50" s="1"/>
  <c r="H77" i="50" s="1"/>
  <c r="E66" i="50"/>
  <c r="G66" i="50" s="1"/>
  <c r="H66" i="50" s="1"/>
  <c r="E67" i="50"/>
  <c r="G67" i="50" s="1"/>
  <c r="H67" i="50" s="1"/>
  <c r="E68" i="50"/>
  <c r="G68" i="50" s="1"/>
  <c r="H68" i="50" s="1"/>
  <c r="E72" i="50"/>
  <c r="G72" i="50" s="1"/>
  <c r="H72" i="50" s="1"/>
  <c r="E78" i="50"/>
  <c r="G78" i="50" s="1"/>
  <c r="H78" i="50" s="1"/>
  <c r="E71" i="50"/>
  <c r="G71" i="50" s="1"/>
  <c r="H71" i="50" s="1"/>
  <c r="E76" i="50"/>
  <c r="G76" i="50" s="1"/>
  <c r="H76" i="50" s="1"/>
  <c r="E79" i="50"/>
  <c r="G79" i="50" s="1"/>
  <c r="H79" i="50" s="1"/>
  <c r="E70" i="50"/>
  <c r="G70" i="50" s="1"/>
  <c r="H70" i="50" s="1"/>
  <c r="E74" i="50"/>
  <c r="G74" i="50" s="1"/>
  <c r="H74" i="50" s="1"/>
  <c r="E81" i="50"/>
  <c r="G81" i="50" s="1"/>
  <c r="H81" i="50" s="1"/>
  <c r="H54" i="44"/>
  <c r="E65" i="44"/>
  <c r="G65" i="44" s="1"/>
  <c r="H65" i="44" s="1"/>
  <c r="D53" i="27"/>
  <c r="E69" i="27"/>
  <c r="G69" i="27" s="1"/>
  <c r="H69" i="27" s="1"/>
  <c r="E71" i="27"/>
  <c r="G71" i="27" s="1"/>
  <c r="H71" i="27" s="1"/>
  <c r="E73" i="27"/>
  <c r="G73" i="27" s="1"/>
  <c r="H73" i="27" s="1"/>
  <c r="E75" i="27"/>
  <c r="G75" i="27" s="1"/>
  <c r="H75" i="27" s="1"/>
  <c r="E77" i="27"/>
  <c r="G77" i="27" s="1"/>
  <c r="H77" i="27" s="1"/>
  <c r="E79" i="27"/>
  <c r="G79" i="27" s="1"/>
  <c r="H79" i="27" s="1"/>
  <c r="E67" i="27"/>
  <c r="G67" i="27" s="1"/>
  <c r="H67" i="27" s="1"/>
  <c r="E68" i="27"/>
  <c r="G68" i="27" s="1"/>
  <c r="H68" i="27" s="1"/>
  <c r="E72" i="27"/>
  <c r="G72" i="27" s="1"/>
  <c r="H72" i="27" s="1"/>
  <c r="E74" i="27"/>
  <c r="G74" i="27" s="1"/>
  <c r="H74" i="27" s="1"/>
  <c r="E76" i="27"/>
  <c r="G76" i="27" s="1"/>
  <c r="H76" i="27" s="1"/>
  <c r="E78" i="27"/>
  <c r="G78" i="27" s="1"/>
  <c r="H78" i="27" s="1"/>
  <c r="E66" i="27"/>
  <c r="G66" i="27" s="1"/>
  <c r="H66" i="27" s="1"/>
  <c r="E70" i="27"/>
  <c r="G70" i="27" s="1"/>
  <c r="H70" i="27" s="1"/>
  <c r="D53" i="7"/>
  <c r="D53" i="50"/>
  <c r="E83" i="50" s="1"/>
  <c r="I55" i="50"/>
  <c r="B130" i="50"/>
  <c r="C53" i="33"/>
  <c r="J54" i="22"/>
  <c r="I54" i="22" s="1"/>
  <c r="B69" i="22"/>
  <c r="H69" i="22" s="1"/>
  <c r="I53" i="22"/>
  <c r="H82" i="45"/>
  <c r="G81" i="29"/>
  <c r="E81" i="29"/>
  <c r="E66" i="22"/>
  <c r="G66" i="22" s="1"/>
  <c r="H66" i="22" s="1"/>
  <c r="E6" i="22"/>
  <c r="G6" i="22" s="1"/>
  <c r="H6" i="22" s="1"/>
  <c r="K6" i="22" s="1"/>
  <c r="L6" i="22" s="1"/>
  <c r="E65" i="22"/>
  <c r="E5" i="22"/>
  <c r="G5" i="22" s="1"/>
  <c r="H5" i="22" s="1"/>
  <c r="K5" i="22" s="1"/>
  <c r="L5" i="22" s="1"/>
  <c r="S35" i="22" s="1"/>
  <c r="H53" i="22"/>
  <c r="J55" i="73"/>
  <c r="I55" i="73" s="1"/>
  <c r="G81" i="20"/>
  <c r="E81" i="20"/>
  <c r="E84" i="69"/>
  <c r="G84" i="69"/>
  <c r="H1" i="66"/>
  <c r="E9" i="66"/>
  <c r="G9" i="66" s="1"/>
  <c r="H9" i="66" s="1"/>
  <c r="K9" i="66" s="1"/>
  <c r="L9" i="66" s="1"/>
  <c r="E11" i="66"/>
  <c r="G11" i="66" s="1"/>
  <c r="H11" i="66" s="1"/>
  <c r="K11" i="66" s="1"/>
  <c r="L11" i="66" s="1"/>
  <c r="E6" i="66"/>
  <c r="G6" i="66" s="1"/>
  <c r="H6" i="66" s="1"/>
  <c r="K6" i="66" s="1"/>
  <c r="L6" i="66" s="1"/>
  <c r="E12" i="66"/>
  <c r="G12" i="66" s="1"/>
  <c r="H12" i="66" s="1"/>
  <c r="K12" i="66" s="1"/>
  <c r="L12" i="66" s="1"/>
  <c r="E8" i="66"/>
  <c r="G8" i="66" s="1"/>
  <c r="H8" i="66" s="1"/>
  <c r="K8" i="66" s="1"/>
  <c r="L8" i="66" s="1"/>
  <c r="H53" i="66"/>
  <c r="E10" i="66"/>
  <c r="G10" i="66" s="1"/>
  <c r="H10" i="66" s="1"/>
  <c r="K10" i="66" s="1"/>
  <c r="L10" i="66" s="1"/>
  <c r="E13" i="66"/>
  <c r="G13" i="66" s="1"/>
  <c r="H13" i="66" s="1"/>
  <c r="K13" i="66" s="1"/>
  <c r="L13" i="66" s="1"/>
  <c r="E7" i="66"/>
  <c r="G7" i="66" s="1"/>
  <c r="H7" i="66" s="1"/>
  <c r="K7" i="66" s="1"/>
  <c r="L7" i="66" s="1"/>
  <c r="J55" i="44"/>
  <c r="I55" i="44" s="1"/>
  <c r="B107" i="44"/>
  <c r="J55" i="43"/>
  <c r="I55" i="43" s="1"/>
  <c r="B98" i="43"/>
  <c r="C53" i="42"/>
  <c r="B114" i="28"/>
  <c r="B87" i="28"/>
  <c r="J54" i="17"/>
  <c r="B121" i="17" s="1"/>
  <c r="B90" i="17"/>
  <c r="I55" i="16"/>
  <c r="B123" i="16"/>
  <c r="J54" i="15"/>
  <c r="B123" i="15" s="1"/>
  <c r="B91" i="15"/>
  <c r="I54" i="4"/>
  <c r="J55" i="4"/>
  <c r="B96" i="4"/>
  <c r="H56" i="75"/>
  <c r="J56" i="75"/>
  <c r="I56" i="75" s="1"/>
  <c r="I54" i="73"/>
  <c r="H52" i="48"/>
  <c r="H52" i="25"/>
  <c r="H52" i="19"/>
  <c r="D65" i="19"/>
  <c r="D87" i="19"/>
  <c r="G78" i="4"/>
  <c r="E78" i="4"/>
  <c r="H53" i="5"/>
  <c r="E5" i="5"/>
  <c r="G5" i="5" s="1"/>
  <c r="H5" i="5" s="1"/>
  <c r="K5" i="5" s="1"/>
  <c r="L5" i="5" s="1"/>
  <c r="S35" i="5" s="1"/>
  <c r="AA30" i="5" s="1"/>
  <c r="H53" i="3"/>
  <c r="H53" i="4"/>
  <c r="E65" i="4" s="1"/>
  <c r="G65" i="4" s="1"/>
  <c r="H65" i="4" s="1"/>
  <c r="E5" i="4"/>
  <c r="G5" i="4" s="1"/>
  <c r="H5" i="4" s="1"/>
  <c r="K5" i="4" s="1"/>
  <c r="L5" i="4" s="1"/>
  <c r="H51" i="25"/>
  <c r="C53" i="39"/>
  <c r="D53" i="39" s="1"/>
  <c r="C53" i="12"/>
  <c r="D53" i="12" s="1"/>
  <c r="G66" i="82"/>
  <c r="H66" i="82" s="1"/>
  <c r="G65" i="82"/>
  <c r="H65" i="82" s="1"/>
  <c r="G68" i="82"/>
  <c r="H68" i="82" s="1"/>
  <c r="G67" i="82"/>
  <c r="H67" i="82" s="1"/>
  <c r="C54" i="82"/>
  <c r="D54" i="82" s="1"/>
  <c r="C53" i="46"/>
  <c r="E16" i="48"/>
  <c r="G16" i="48" s="1"/>
  <c r="H16" i="48" s="1"/>
  <c r="K16" i="48" s="1"/>
  <c r="L16" i="48" s="1"/>
  <c r="E6" i="48"/>
  <c r="G6" i="48" s="1"/>
  <c r="H6" i="48" s="1"/>
  <c r="K6" i="48" s="1"/>
  <c r="L6" i="48" s="1"/>
  <c r="E15" i="48"/>
  <c r="G15" i="48" s="1"/>
  <c r="H15" i="48" s="1"/>
  <c r="K15" i="48" s="1"/>
  <c r="L15" i="48" s="1"/>
  <c r="E7" i="48"/>
  <c r="G7" i="48" s="1"/>
  <c r="H7" i="48" s="1"/>
  <c r="K7" i="48" s="1"/>
  <c r="L7" i="48" s="1"/>
  <c r="C52" i="48"/>
  <c r="E12" i="48"/>
  <c r="G12" i="48" s="1"/>
  <c r="H12" i="48" s="1"/>
  <c r="K12" i="48" s="1"/>
  <c r="L12" i="48" s="1"/>
  <c r="E8" i="48"/>
  <c r="G8" i="48" s="1"/>
  <c r="H8" i="48" s="1"/>
  <c r="K8" i="48" s="1"/>
  <c r="L8" i="48" s="1"/>
  <c r="E13" i="48"/>
  <c r="G13" i="48" s="1"/>
  <c r="H13" i="48" s="1"/>
  <c r="K13" i="48" s="1"/>
  <c r="L13" i="48" s="1"/>
  <c r="E9" i="48"/>
  <c r="G9" i="48" s="1"/>
  <c r="H9" i="48" s="1"/>
  <c r="K9" i="48" s="1"/>
  <c r="L9" i="48" s="1"/>
  <c r="E11" i="48"/>
  <c r="G11" i="48" s="1"/>
  <c r="H11" i="48" s="1"/>
  <c r="K11" i="48" s="1"/>
  <c r="L11" i="48" s="1"/>
  <c r="E17" i="48"/>
  <c r="G17" i="48" s="1"/>
  <c r="H17" i="48" s="1"/>
  <c r="K17" i="48" s="1"/>
  <c r="L17" i="48" s="1"/>
  <c r="E14" i="48"/>
  <c r="G14" i="48" s="1"/>
  <c r="H14" i="48" s="1"/>
  <c r="K14" i="48" s="1"/>
  <c r="L14" i="48" s="1"/>
  <c r="E10" i="48"/>
  <c r="G10" i="48" s="1"/>
  <c r="H10" i="48" s="1"/>
  <c r="K10" i="48" s="1"/>
  <c r="L10" i="48" s="1"/>
  <c r="H52" i="70"/>
  <c r="I53" i="70"/>
  <c r="J54" i="70"/>
  <c r="J54" i="72"/>
  <c r="I53" i="72"/>
  <c r="C53" i="62"/>
  <c r="H53" i="57"/>
  <c r="E21" i="47"/>
  <c r="G21" i="47" s="1"/>
  <c r="H21" i="47" s="1"/>
  <c r="K21" i="47" s="1"/>
  <c r="L21" i="47" s="1"/>
  <c r="E10" i="47"/>
  <c r="G10" i="47" s="1"/>
  <c r="H10" i="47" s="1"/>
  <c r="K10" i="47" s="1"/>
  <c r="L10" i="47" s="1"/>
  <c r="E7" i="47"/>
  <c r="G7" i="47" s="1"/>
  <c r="H7" i="47" s="1"/>
  <c r="K7" i="47" s="1"/>
  <c r="L7" i="47" s="1"/>
  <c r="C52" i="47"/>
  <c r="E17" i="47"/>
  <c r="G17" i="47" s="1"/>
  <c r="H17" i="47" s="1"/>
  <c r="K17" i="47" s="1"/>
  <c r="L17" i="47" s="1"/>
  <c r="E18" i="47"/>
  <c r="G18" i="47" s="1"/>
  <c r="H18" i="47" s="1"/>
  <c r="K18" i="47" s="1"/>
  <c r="L18" i="47" s="1"/>
  <c r="E14" i="47"/>
  <c r="G14" i="47" s="1"/>
  <c r="H14" i="47" s="1"/>
  <c r="K14" i="47" s="1"/>
  <c r="L14" i="47" s="1"/>
  <c r="E20" i="47"/>
  <c r="G20" i="47" s="1"/>
  <c r="H20" i="47" s="1"/>
  <c r="K20" i="47" s="1"/>
  <c r="L20" i="47" s="1"/>
  <c r="E19" i="47"/>
  <c r="G19" i="47" s="1"/>
  <c r="H19" i="47" s="1"/>
  <c r="K19" i="47" s="1"/>
  <c r="L19" i="47" s="1"/>
  <c r="E16" i="47"/>
  <c r="G16" i="47" s="1"/>
  <c r="H16" i="47" s="1"/>
  <c r="K16" i="47" s="1"/>
  <c r="L16" i="47" s="1"/>
  <c r="E13" i="47"/>
  <c r="G13" i="47" s="1"/>
  <c r="H13" i="47" s="1"/>
  <c r="K13" i="47" s="1"/>
  <c r="L13" i="47" s="1"/>
  <c r="E9" i="47"/>
  <c r="G9" i="47" s="1"/>
  <c r="H9" i="47" s="1"/>
  <c r="K9" i="47" s="1"/>
  <c r="L9" i="47" s="1"/>
  <c r="E11" i="47"/>
  <c r="G11" i="47" s="1"/>
  <c r="H11" i="47" s="1"/>
  <c r="K11" i="47" s="1"/>
  <c r="L11" i="47" s="1"/>
  <c r="E6" i="47"/>
  <c r="G6" i="47" s="1"/>
  <c r="H6" i="47" s="1"/>
  <c r="K6" i="47" s="1"/>
  <c r="L6" i="47" s="1"/>
  <c r="E15" i="47"/>
  <c r="G15" i="47" s="1"/>
  <c r="H15" i="47" s="1"/>
  <c r="K15" i="47" s="1"/>
  <c r="L15" i="47" s="1"/>
  <c r="E12" i="47"/>
  <c r="G12" i="47" s="1"/>
  <c r="H12" i="47" s="1"/>
  <c r="K12" i="47" s="1"/>
  <c r="L12" i="47" s="1"/>
  <c r="E8" i="47"/>
  <c r="G8" i="47" s="1"/>
  <c r="H8" i="47" s="1"/>
  <c r="K8" i="47" s="1"/>
  <c r="L8" i="47" s="1"/>
  <c r="C53" i="41"/>
  <c r="C54" i="68"/>
  <c r="C55" i="83"/>
  <c r="I53" i="69"/>
  <c r="J54" i="69"/>
  <c r="B108" i="69" s="1"/>
  <c r="I53" i="61"/>
  <c r="J54" i="61"/>
  <c r="C53" i="61"/>
  <c r="J54" i="57"/>
  <c r="I53" i="57"/>
  <c r="E5" i="57"/>
  <c r="G5" i="57" s="1"/>
  <c r="H5" i="57" s="1"/>
  <c r="K5" i="57" s="1"/>
  <c r="L5" i="57" s="1"/>
  <c r="S35" i="57" s="1"/>
  <c r="T33" i="77"/>
  <c r="AA30" i="77"/>
  <c r="H52" i="61"/>
  <c r="C53" i="57"/>
  <c r="H53" i="41"/>
  <c r="E65" i="41" s="1"/>
  <c r="E5" i="41"/>
  <c r="G5" i="41" s="1"/>
  <c r="H5" i="41" s="1"/>
  <c r="K5" i="41" s="1"/>
  <c r="L5" i="41" s="1"/>
  <c r="S35" i="41" s="1"/>
  <c r="I53" i="41"/>
  <c r="J54" i="41"/>
  <c r="B92" i="41" s="1"/>
  <c r="H53" i="29"/>
  <c r="I53" i="71"/>
  <c r="J54" i="71"/>
  <c r="I53" i="26"/>
  <c r="H53" i="26"/>
  <c r="E65" i="26" s="1"/>
  <c r="G65" i="26" s="1"/>
  <c r="H65" i="26" s="1"/>
  <c r="C54" i="4"/>
  <c r="E70" i="4"/>
  <c r="G70" i="4" s="1"/>
  <c r="H70" i="4" s="1"/>
  <c r="E68" i="4"/>
  <c r="G68" i="4" s="1"/>
  <c r="H68" i="4" s="1"/>
  <c r="E71" i="4"/>
  <c r="G71" i="4" s="1"/>
  <c r="H71" i="4" s="1"/>
  <c r="E66" i="4"/>
  <c r="G66" i="4" s="1"/>
  <c r="H66" i="4" s="1"/>
  <c r="E69" i="4"/>
  <c r="G69" i="4" s="1"/>
  <c r="H69" i="4" s="1"/>
  <c r="E72" i="4"/>
  <c r="G72" i="4" s="1"/>
  <c r="H72" i="4" s="1"/>
  <c r="E67" i="4"/>
  <c r="G67" i="4" s="1"/>
  <c r="H67" i="4" s="1"/>
  <c r="E5" i="3"/>
  <c r="G5" i="3" s="1"/>
  <c r="I54" i="77"/>
  <c r="J55" i="77"/>
  <c r="H52" i="71"/>
  <c r="C53" i="67"/>
  <c r="D53" i="67" s="1"/>
  <c r="C53" i="59"/>
  <c r="E9" i="53"/>
  <c r="G9" i="53" s="1"/>
  <c r="H9" i="53" s="1"/>
  <c r="K9" i="53" s="1"/>
  <c r="L9" i="53" s="1"/>
  <c r="E10" i="53"/>
  <c r="G10" i="53" s="1"/>
  <c r="H10" i="53" s="1"/>
  <c r="K10" i="53" s="1"/>
  <c r="L10" i="53" s="1"/>
  <c r="C52" i="53"/>
  <c r="E6" i="53"/>
  <c r="G6" i="53" s="1"/>
  <c r="H6" i="53" s="1"/>
  <c r="K6" i="53" s="1"/>
  <c r="L6" i="53" s="1"/>
  <c r="E7" i="53"/>
  <c r="G7" i="53" s="1"/>
  <c r="H7" i="53" s="1"/>
  <c r="K7" i="53" s="1"/>
  <c r="L7" i="53" s="1"/>
  <c r="H53" i="53"/>
  <c r="E65" i="53" s="1"/>
  <c r="E8" i="53"/>
  <c r="G8" i="53" s="1"/>
  <c r="H8" i="53" s="1"/>
  <c r="K8" i="53" s="1"/>
  <c r="L8" i="53" s="1"/>
  <c r="E5" i="53"/>
  <c r="G5" i="53" s="1"/>
  <c r="H5" i="53" s="1"/>
  <c r="K5" i="53" s="1"/>
  <c r="L5" i="53" s="1"/>
  <c r="S35" i="53" s="1"/>
  <c r="I53" i="53"/>
  <c r="J54" i="53"/>
  <c r="I54" i="46"/>
  <c r="J55" i="46"/>
  <c r="I55" i="46" s="1"/>
  <c r="C52" i="24"/>
  <c r="I1" i="24"/>
  <c r="J54" i="8"/>
  <c r="B110" i="8" s="1"/>
  <c r="E68" i="34"/>
  <c r="G68" i="34" s="1"/>
  <c r="H68" i="34" s="1"/>
  <c r="I55" i="34"/>
  <c r="J56" i="34"/>
  <c r="I56" i="34" s="1"/>
  <c r="E67" i="34"/>
  <c r="G67" i="34" s="1"/>
  <c r="H67" i="34" s="1"/>
  <c r="E65" i="34"/>
  <c r="G65" i="34" s="1"/>
  <c r="H65" i="34" s="1"/>
  <c r="E70" i="34"/>
  <c r="G70" i="34" s="1"/>
  <c r="H70" i="34" s="1"/>
  <c r="E69" i="34"/>
  <c r="G69" i="34" s="1"/>
  <c r="H69" i="34" s="1"/>
  <c r="E66" i="34"/>
  <c r="G66" i="34" s="1"/>
  <c r="H66" i="34" s="1"/>
  <c r="H54" i="34"/>
  <c r="E81" i="34" s="1"/>
  <c r="G81" i="34" s="1"/>
  <c r="H81" i="34" s="1"/>
  <c r="J54" i="26"/>
  <c r="E5" i="26"/>
  <c r="G5" i="26" s="1"/>
  <c r="H5" i="26" s="1"/>
  <c r="I53" i="20"/>
  <c r="J54" i="20"/>
  <c r="B103" i="20" s="1"/>
  <c r="C53" i="15"/>
  <c r="D53" i="15" s="1"/>
  <c r="I53" i="8"/>
  <c r="C53" i="56"/>
  <c r="T35" i="50"/>
  <c r="H53" i="37"/>
  <c r="E65" i="37" s="1"/>
  <c r="C53" i="49"/>
  <c r="C53" i="44"/>
  <c r="D53" i="44" s="1"/>
  <c r="I54" i="44"/>
  <c r="E6" i="42"/>
  <c r="G6" i="42" s="1"/>
  <c r="H6" i="42" s="1"/>
  <c r="K6" i="42" s="1"/>
  <c r="L6" i="42" s="1"/>
  <c r="E9" i="42"/>
  <c r="G9" i="42" s="1"/>
  <c r="H9" i="42" s="1"/>
  <c r="K9" i="42" s="1"/>
  <c r="L9" i="42" s="1"/>
  <c r="E12" i="42"/>
  <c r="G12" i="42" s="1"/>
  <c r="H12" i="42" s="1"/>
  <c r="K12" i="42" s="1"/>
  <c r="L12" i="42" s="1"/>
  <c r="E8" i="42"/>
  <c r="G8" i="42" s="1"/>
  <c r="H8" i="42" s="1"/>
  <c r="K8" i="42" s="1"/>
  <c r="L8" i="42" s="1"/>
  <c r="E5" i="42"/>
  <c r="G5" i="42" s="1"/>
  <c r="H5" i="42" s="1"/>
  <c r="K5" i="42" s="1"/>
  <c r="L5" i="42" s="1"/>
  <c r="E7" i="42"/>
  <c r="G7" i="42" s="1"/>
  <c r="H7" i="42" s="1"/>
  <c r="K7" i="42" s="1"/>
  <c r="L7" i="42" s="1"/>
  <c r="E10" i="42"/>
  <c r="G10" i="42" s="1"/>
  <c r="H10" i="42" s="1"/>
  <c r="K10" i="42" s="1"/>
  <c r="L10" i="42" s="1"/>
  <c r="E11" i="42"/>
  <c r="G11" i="42" s="1"/>
  <c r="H11" i="42" s="1"/>
  <c r="K11" i="42" s="1"/>
  <c r="L11" i="42" s="1"/>
  <c r="E5" i="37"/>
  <c r="G5" i="37" s="1"/>
  <c r="H5" i="37" s="1"/>
  <c r="K5" i="37" s="1"/>
  <c r="L5" i="37" s="1"/>
  <c r="S35" i="37" s="1"/>
  <c r="E5" i="29"/>
  <c r="G5" i="29" s="1"/>
  <c r="H5" i="29" s="1"/>
  <c r="K5" i="29" s="1"/>
  <c r="L5" i="29" s="1"/>
  <c r="S35" i="29" s="1"/>
  <c r="AB30" i="29" s="1"/>
  <c r="I53" i="29"/>
  <c r="C53" i="21"/>
  <c r="D53" i="21" s="1"/>
  <c r="E5" i="20"/>
  <c r="G5" i="20" s="1"/>
  <c r="H5" i="20" s="1"/>
  <c r="K5" i="20" s="1"/>
  <c r="L5" i="20" s="1"/>
  <c r="S35" i="20" s="1"/>
  <c r="H53" i="20"/>
  <c r="I53" i="3"/>
  <c r="J54" i="3"/>
  <c r="I1" i="40"/>
  <c r="C52" i="40"/>
  <c r="I53" i="37"/>
  <c r="J54" i="37"/>
  <c r="I54" i="37" s="1"/>
  <c r="J54" i="29"/>
  <c r="B103" i="29" s="1"/>
  <c r="I53" i="28"/>
  <c r="J54" i="21"/>
  <c r="I54" i="21" s="1"/>
  <c r="I53" i="21"/>
  <c r="I53" i="18"/>
  <c r="J54" i="18"/>
  <c r="B107" i="18" s="1"/>
  <c r="H53" i="18"/>
  <c r="E65" i="18" s="1"/>
  <c r="G65" i="18" s="1"/>
  <c r="H65" i="18" s="1"/>
  <c r="T35" i="18"/>
  <c r="AC30" i="18" s="1"/>
  <c r="G5" i="18"/>
  <c r="H5" i="18" s="1"/>
  <c r="K5" i="18" s="1"/>
  <c r="L5" i="18" s="1"/>
  <c r="S35" i="18" s="1"/>
  <c r="C53" i="18"/>
  <c r="D53" i="18" s="1"/>
  <c r="C53" i="17"/>
  <c r="D53" i="17" s="1"/>
  <c r="I53" i="17"/>
  <c r="C53" i="16"/>
  <c r="D53" i="16" s="1"/>
  <c r="T35" i="15"/>
  <c r="AC30" i="15" s="1"/>
  <c r="E5" i="8"/>
  <c r="G5" i="8" s="1"/>
  <c r="H5" i="8" s="1"/>
  <c r="K5" i="8" s="1"/>
  <c r="L5" i="8" s="1"/>
  <c r="S35" i="8" s="1"/>
  <c r="AB30" i="8" s="1"/>
  <c r="H53" i="8"/>
  <c r="E65" i="8" s="1"/>
  <c r="J55" i="5"/>
  <c r="I55" i="5" s="1"/>
  <c r="I54" i="5"/>
  <c r="J55" i="30"/>
  <c r="I55" i="30" s="1"/>
  <c r="I54" i="30"/>
  <c r="E5" i="17"/>
  <c r="G5" i="17" s="1"/>
  <c r="H5" i="17" s="1"/>
  <c r="K5" i="17" s="1"/>
  <c r="L5" i="17" s="1"/>
  <c r="S35" i="17" s="1"/>
  <c r="I53" i="15"/>
  <c r="J55" i="23"/>
  <c r="B122" i="23" s="1"/>
  <c r="I54" i="23"/>
  <c r="T35" i="21"/>
  <c r="U35" i="21" s="1"/>
  <c r="T35" i="5"/>
  <c r="AB30" i="5" s="1"/>
  <c r="E84" i="5"/>
  <c r="G84" i="5" s="1"/>
  <c r="H84" i="5" s="1"/>
  <c r="E76" i="5"/>
  <c r="G76" i="5" s="1"/>
  <c r="H76" i="5" s="1"/>
  <c r="E80" i="5"/>
  <c r="G80" i="5" s="1"/>
  <c r="H80" i="5" s="1"/>
  <c r="E66" i="5"/>
  <c r="G66" i="5" s="1"/>
  <c r="H66" i="5" s="1"/>
  <c r="E77" i="5"/>
  <c r="G77" i="5" s="1"/>
  <c r="H77" i="5" s="1"/>
  <c r="E75" i="5"/>
  <c r="G75" i="5" s="1"/>
  <c r="H75" i="5" s="1"/>
  <c r="E69" i="5"/>
  <c r="G69" i="5" s="1"/>
  <c r="H69" i="5" s="1"/>
  <c r="E67" i="5"/>
  <c r="G67" i="5" s="1"/>
  <c r="H67" i="5" s="1"/>
  <c r="E87" i="5"/>
  <c r="G87" i="5" s="1"/>
  <c r="H87" i="5" s="1"/>
  <c r="E86" i="5"/>
  <c r="G86" i="5" s="1"/>
  <c r="H86" i="5" s="1"/>
  <c r="E83" i="5"/>
  <c r="G83" i="5" s="1"/>
  <c r="H83" i="5" s="1"/>
  <c r="E81" i="5"/>
  <c r="G81" i="5" s="1"/>
  <c r="H81" i="5" s="1"/>
  <c r="E73" i="5"/>
  <c r="G73" i="5" s="1"/>
  <c r="H73" i="5" s="1"/>
  <c r="E72" i="5"/>
  <c r="G72" i="5" s="1"/>
  <c r="H72" i="5" s="1"/>
  <c r="E71" i="5"/>
  <c r="G71" i="5" s="1"/>
  <c r="H71" i="5" s="1"/>
  <c r="E70" i="5"/>
  <c r="G70" i="5" s="1"/>
  <c r="H70" i="5" s="1"/>
  <c r="E68" i="5"/>
  <c r="G68" i="5" s="1"/>
  <c r="H68" i="5" s="1"/>
  <c r="C54" i="5"/>
  <c r="D54" i="5" s="1"/>
  <c r="E85" i="5"/>
  <c r="G85" i="5" s="1"/>
  <c r="H85" i="5" s="1"/>
  <c r="E82" i="5"/>
  <c r="G82" i="5" s="1"/>
  <c r="H82" i="5" s="1"/>
  <c r="E79" i="5"/>
  <c r="G79" i="5" s="1"/>
  <c r="H79" i="5" s="1"/>
  <c r="E78" i="5"/>
  <c r="G78" i="5" s="1"/>
  <c r="H78" i="5" s="1"/>
  <c r="E74" i="5"/>
  <c r="G74" i="5" s="1"/>
  <c r="H74" i="5" s="1"/>
  <c r="H52" i="72"/>
  <c r="E13" i="58"/>
  <c r="G13" i="58" s="1"/>
  <c r="H13" i="58" s="1"/>
  <c r="K13" i="58" s="1"/>
  <c r="L13" i="58" s="1"/>
  <c r="E6" i="58"/>
  <c r="G6" i="58" s="1"/>
  <c r="H6" i="58" s="1"/>
  <c r="K6" i="58" s="1"/>
  <c r="L6" i="58" s="1"/>
  <c r="E7" i="58"/>
  <c r="G7" i="58" s="1"/>
  <c r="H7" i="58" s="1"/>
  <c r="K7" i="58" s="1"/>
  <c r="L7" i="58" s="1"/>
  <c r="E17" i="58"/>
  <c r="G17" i="58" s="1"/>
  <c r="H17" i="58" s="1"/>
  <c r="K17" i="58" s="1"/>
  <c r="L17" i="58" s="1"/>
  <c r="E10" i="58"/>
  <c r="G10" i="58" s="1"/>
  <c r="H10" i="58" s="1"/>
  <c r="K10" i="58" s="1"/>
  <c r="L10" i="58" s="1"/>
  <c r="E12" i="58"/>
  <c r="G12" i="58" s="1"/>
  <c r="H12" i="58" s="1"/>
  <c r="K12" i="58" s="1"/>
  <c r="L12" i="58" s="1"/>
  <c r="E16" i="58"/>
  <c r="G16" i="58" s="1"/>
  <c r="H16" i="58" s="1"/>
  <c r="K16" i="58" s="1"/>
  <c r="L16" i="58" s="1"/>
  <c r="E21" i="58"/>
  <c r="G21" i="58" s="1"/>
  <c r="H21" i="58" s="1"/>
  <c r="K21" i="58" s="1"/>
  <c r="L21" i="58" s="1"/>
  <c r="E9" i="58"/>
  <c r="G9" i="58" s="1"/>
  <c r="H9" i="58" s="1"/>
  <c r="K9" i="58" s="1"/>
  <c r="L9" i="58" s="1"/>
  <c r="E14" i="58"/>
  <c r="G14" i="58" s="1"/>
  <c r="H14" i="58" s="1"/>
  <c r="K14" i="58" s="1"/>
  <c r="L14" i="58" s="1"/>
  <c r="E20" i="58"/>
  <c r="G20" i="58" s="1"/>
  <c r="H20" i="58" s="1"/>
  <c r="K20" i="58" s="1"/>
  <c r="L20" i="58" s="1"/>
  <c r="C52" i="58"/>
  <c r="C53" i="58" s="1"/>
  <c r="D53" i="58" s="1"/>
  <c r="E8" i="58"/>
  <c r="G8" i="58" s="1"/>
  <c r="H8" i="58" s="1"/>
  <c r="K8" i="58" s="1"/>
  <c r="L8" i="58" s="1"/>
  <c r="E11" i="58"/>
  <c r="G11" i="58" s="1"/>
  <c r="H11" i="58" s="1"/>
  <c r="K11" i="58" s="1"/>
  <c r="L11" i="58" s="1"/>
  <c r="E15" i="58"/>
  <c r="G15" i="58" s="1"/>
  <c r="H15" i="58" s="1"/>
  <c r="K15" i="58" s="1"/>
  <c r="L15" i="58" s="1"/>
  <c r="E18" i="58"/>
  <c r="G18" i="58" s="1"/>
  <c r="H18" i="58" s="1"/>
  <c r="K18" i="58" s="1"/>
  <c r="L18" i="58" s="1"/>
  <c r="E19" i="58"/>
  <c r="G19" i="58" s="1"/>
  <c r="H19" i="58" s="1"/>
  <c r="K19" i="58" s="1"/>
  <c r="L19" i="58" s="1"/>
  <c r="I53" i="56"/>
  <c r="D5" i="56"/>
  <c r="H52" i="56" s="1"/>
  <c r="I53" i="58"/>
  <c r="J54" i="58"/>
  <c r="B106" i="58" s="1"/>
  <c r="D5" i="58"/>
  <c r="H51" i="58" s="1"/>
  <c r="J54" i="74"/>
  <c r="B106" i="74" s="1"/>
  <c r="I53" i="74"/>
  <c r="D5" i="74"/>
  <c r="H53" i="73"/>
  <c r="E65" i="73" s="1"/>
  <c r="E5" i="73"/>
  <c r="G5" i="73" s="1"/>
  <c r="H53" i="59"/>
  <c r="E65" i="59" s="1"/>
  <c r="G65" i="59" s="1"/>
  <c r="H65" i="59" s="1"/>
  <c r="E5" i="59"/>
  <c r="G5" i="59" s="1"/>
  <c r="H5" i="59" s="1"/>
  <c r="K5" i="59" s="1"/>
  <c r="L5" i="59" s="1"/>
  <c r="S35" i="59" s="1"/>
  <c r="H53" i="62"/>
  <c r="E65" i="62" s="1"/>
  <c r="G65" i="62" s="1"/>
  <c r="H65" i="62" s="1"/>
  <c r="E5" i="62"/>
  <c r="G5" i="62" s="1"/>
  <c r="H5" i="62" s="1"/>
  <c r="K5" i="62" s="1"/>
  <c r="L5" i="62" s="1"/>
  <c r="S35" i="62" s="1"/>
  <c r="H51" i="69"/>
  <c r="I54" i="62"/>
  <c r="J55" i="62"/>
  <c r="I55" i="62" s="1"/>
  <c r="J53" i="47"/>
  <c r="B83" i="47" s="1"/>
  <c r="I51" i="47"/>
  <c r="D5" i="47" s="1"/>
  <c r="I53" i="67"/>
  <c r="J54" i="67"/>
  <c r="H53" i="43"/>
  <c r="E65" i="43" s="1"/>
  <c r="E5" i="43"/>
  <c r="G5" i="43" s="1"/>
  <c r="H5" i="43" s="1"/>
  <c r="K5" i="43" s="1"/>
  <c r="L5" i="43" s="1"/>
  <c r="S35" i="43" s="1"/>
  <c r="I54" i="43"/>
  <c r="D90" i="45"/>
  <c r="D112" i="45"/>
  <c r="C53" i="43"/>
  <c r="D53" i="43" s="1"/>
  <c r="E9" i="32"/>
  <c r="G9" i="32" s="1"/>
  <c r="H9" i="32" s="1"/>
  <c r="K9" i="32" s="1"/>
  <c r="L9" i="32" s="1"/>
  <c r="E10" i="32"/>
  <c r="G10" i="32" s="1"/>
  <c r="H10" i="32" s="1"/>
  <c r="K10" i="32" s="1"/>
  <c r="L10" i="32" s="1"/>
  <c r="E8" i="32"/>
  <c r="G8" i="32" s="1"/>
  <c r="H8" i="32" s="1"/>
  <c r="K8" i="32" s="1"/>
  <c r="L8" i="32" s="1"/>
  <c r="E7" i="32"/>
  <c r="G7" i="32" s="1"/>
  <c r="H7" i="32" s="1"/>
  <c r="K7" i="32" s="1"/>
  <c r="L7" i="32" s="1"/>
  <c r="I1" i="32"/>
  <c r="C52" i="32" s="1"/>
  <c r="E14" i="32"/>
  <c r="G14" i="32" s="1"/>
  <c r="H14" i="32" s="1"/>
  <c r="K14" i="32" s="1"/>
  <c r="L14" i="32" s="1"/>
  <c r="E13" i="32"/>
  <c r="G13" i="32" s="1"/>
  <c r="H13" i="32" s="1"/>
  <c r="K13" i="32" s="1"/>
  <c r="L13" i="32" s="1"/>
  <c r="E18" i="32"/>
  <c r="G18" i="32" s="1"/>
  <c r="H18" i="32" s="1"/>
  <c r="K18" i="32" s="1"/>
  <c r="L18" i="32" s="1"/>
  <c r="E11" i="32"/>
  <c r="G11" i="32" s="1"/>
  <c r="H11" i="32" s="1"/>
  <c r="K11" i="32" s="1"/>
  <c r="L11" i="32" s="1"/>
  <c r="E17" i="32"/>
  <c r="G17" i="32" s="1"/>
  <c r="H17" i="32" s="1"/>
  <c r="K17" i="32" s="1"/>
  <c r="L17" i="32" s="1"/>
  <c r="G6" i="32"/>
  <c r="H6" i="32" s="1"/>
  <c r="K6" i="32" s="1"/>
  <c r="L6" i="32" s="1"/>
  <c r="E15" i="32"/>
  <c r="G15" i="32" s="1"/>
  <c r="H15" i="32" s="1"/>
  <c r="K15" i="32" s="1"/>
  <c r="L15" i="32" s="1"/>
  <c r="E16" i="32"/>
  <c r="G16" i="32" s="1"/>
  <c r="H16" i="32" s="1"/>
  <c r="K16" i="32" s="1"/>
  <c r="L16" i="32" s="1"/>
  <c r="E19" i="32"/>
  <c r="G19" i="32" s="1"/>
  <c r="H19" i="32" s="1"/>
  <c r="K19" i="32" s="1"/>
  <c r="L19" i="32" s="1"/>
  <c r="E69" i="26"/>
  <c r="G69" i="26" s="1"/>
  <c r="H69" i="26" s="1"/>
  <c r="C54" i="25"/>
  <c r="D54" i="25" s="1"/>
  <c r="G88" i="50"/>
  <c r="H88" i="50" s="1"/>
  <c r="H55" i="50"/>
  <c r="E112" i="50" s="1"/>
  <c r="G112" i="50" s="1"/>
  <c r="H112" i="50" s="1"/>
  <c r="G65" i="50"/>
  <c r="H65" i="50" s="1"/>
  <c r="J54" i="33"/>
  <c r="B116" i="33" s="1"/>
  <c r="I53" i="33"/>
  <c r="D5" i="33"/>
  <c r="E12" i="32"/>
  <c r="G12" i="32" s="1"/>
  <c r="H12" i="32" s="1"/>
  <c r="K12" i="32" s="1"/>
  <c r="L12" i="32" s="1"/>
  <c r="C54" i="29"/>
  <c r="D54" i="29" s="1"/>
  <c r="T35" i="33"/>
  <c r="E70" i="26"/>
  <c r="G70" i="26" s="1"/>
  <c r="H70" i="26" s="1"/>
  <c r="E67" i="26"/>
  <c r="G67" i="26" s="1"/>
  <c r="H67" i="26" s="1"/>
  <c r="E78" i="26"/>
  <c r="G78" i="26" s="1"/>
  <c r="H78" i="26" s="1"/>
  <c r="C54" i="26"/>
  <c r="D54" i="26" s="1"/>
  <c r="E66" i="26"/>
  <c r="G66" i="26" s="1"/>
  <c r="H66" i="26" s="1"/>
  <c r="E68" i="26"/>
  <c r="G68" i="26" s="1"/>
  <c r="H68" i="26" s="1"/>
  <c r="E72" i="26"/>
  <c r="G72" i="26" s="1"/>
  <c r="H72" i="26" s="1"/>
  <c r="E75" i="26"/>
  <c r="G75" i="26" s="1"/>
  <c r="H75" i="26" s="1"/>
  <c r="E73" i="26"/>
  <c r="G73" i="26" s="1"/>
  <c r="H73" i="26" s="1"/>
  <c r="E77" i="26"/>
  <c r="G77" i="26" s="1"/>
  <c r="H77" i="26" s="1"/>
  <c r="E76" i="26"/>
  <c r="G76" i="26" s="1"/>
  <c r="H76" i="26" s="1"/>
  <c r="E71" i="26"/>
  <c r="G71" i="26" s="1"/>
  <c r="H71" i="26" s="1"/>
  <c r="E74" i="26"/>
  <c r="G74" i="26" s="1"/>
  <c r="H74" i="26" s="1"/>
  <c r="E67" i="20"/>
  <c r="J55" i="9"/>
  <c r="I55" i="9" s="1"/>
  <c r="H54" i="77"/>
  <c r="H55" i="77" s="1"/>
  <c r="E68" i="77"/>
  <c r="G68" i="77" s="1"/>
  <c r="H68" i="77" s="1"/>
  <c r="E69" i="77"/>
  <c r="G69" i="77" s="1"/>
  <c r="H69" i="77" s="1"/>
  <c r="E70" i="77"/>
  <c r="G70" i="77" s="1"/>
  <c r="H70" i="77" s="1"/>
  <c r="G65" i="77"/>
  <c r="H65" i="77" s="1"/>
  <c r="E66" i="77"/>
  <c r="G66" i="77" s="1"/>
  <c r="H66" i="77" s="1"/>
  <c r="E67" i="77"/>
  <c r="G67" i="77" s="1"/>
  <c r="H67" i="77" s="1"/>
  <c r="AB30" i="77"/>
  <c r="I55" i="10"/>
  <c r="H53" i="10"/>
  <c r="E8" i="10"/>
  <c r="G8" i="10" s="1"/>
  <c r="H8" i="10" s="1"/>
  <c r="K8" i="10" s="1"/>
  <c r="L8" i="10" s="1"/>
  <c r="E9" i="10"/>
  <c r="G9" i="10" s="1"/>
  <c r="H9" i="10" s="1"/>
  <c r="K9" i="10" s="1"/>
  <c r="L9" i="10" s="1"/>
  <c r="E7" i="10"/>
  <c r="G7" i="10" s="1"/>
  <c r="H7" i="10" s="1"/>
  <c r="K7" i="10" s="1"/>
  <c r="L7" i="10" s="1"/>
  <c r="E6" i="10"/>
  <c r="G6" i="10" s="1"/>
  <c r="H6" i="10" s="1"/>
  <c r="K6" i="10" s="1"/>
  <c r="L6" i="10" s="1"/>
  <c r="H1" i="10"/>
  <c r="J56" i="10"/>
  <c r="B106" i="10" s="1"/>
  <c r="J54" i="7"/>
  <c r="B104" i="7" s="1"/>
  <c r="I53" i="7"/>
  <c r="D5" i="7"/>
  <c r="D132" i="7" s="1"/>
  <c r="C54" i="7"/>
  <c r="D54" i="7" s="1"/>
  <c r="H52" i="69"/>
  <c r="D89" i="69"/>
  <c r="D65" i="69"/>
  <c r="I54" i="9"/>
  <c r="E6" i="75"/>
  <c r="G6" i="75" s="1"/>
  <c r="H6" i="75" s="1"/>
  <c r="K6" i="75" s="1"/>
  <c r="L6" i="75" s="1"/>
  <c r="S33" i="75" s="1"/>
  <c r="I53" i="25"/>
  <c r="J54" i="25"/>
  <c r="E17" i="51"/>
  <c r="G17" i="51" s="1"/>
  <c r="H17" i="51" s="1"/>
  <c r="K17" i="51" s="1"/>
  <c r="L17" i="51" s="1"/>
  <c r="E13" i="51"/>
  <c r="G13" i="51" s="1"/>
  <c r="H13" i="51" s="1"/>
  <c r="K13" i="51" s="1"/>
  <c r="L13" i="51" s="1"/>
  <c r="E11" i="51"/>
  <c r="G11" i="51" s="1"/>
  <c r="H11" i="51" s="1"/>
  <c r="K11" i="51" s="1"/>
  <c r="L11" i="51" s="1"/>
  <c r="E6" i="51"/>
  <c r="G6" i="51" s="1"/>
  <c r="H6" i="51" s="1"/>
  <c r="K6" i="51" s="1"/>
  <c r="L6" i="51" s="1"/>
  <c r="H1" i="51"/>
  <c r="E16" i="51"/>
  <c r="G16" i="51" s="1"/>
  <c r="H16" i="51" s="1"/>
  <c r="K16" i="51" s="1"/>
  <c r="L16" i="51" s="1"/>
  <c r="E10" i="51"/>
  <c r="G10" i="51" s="1"/>
  <c r="H10" i="51" s="1"/>
  <c r="K10" i="51" s="1"/>
  <c r="L10" i="51" s="1"/>
  <c r="E9" i="51"/>
  <c r="G9" i="51" s="1"/>
  <c r="H9" i="51" s="1"/>
  <c r="K9" i="51" s="1"/>
  <c r="L9" i="51" s="1"/>
  <c r="E8" i="51"/>
  <c r="G8" i="51" s="1"/>
  <c r="H8" i="51" s="1"/>
  <c r="K8" i="51" s="1"/>
  <c r="L8" i="51" s="1"/>
  <c r="E7" i="51"/>
  <c r="G7" i="51" s="1"/>
  <c r="H7" i="51" s="1"/>
  <c r="K7" i="51" s="1"/>
  <c r="L7" i="51" s="1"/>
  <c r="E14" i="51"/>
  <c r="G14" i="51" s="1"/>
  <c r="H14" i="51" s="1"/>
  <c r="K14" i="51" s="1"/>
  <c r="L14" i="51" s="1"/>
  <c r="E12" i="51"/>
  <c r="G12" i="51" s="1"/>
  <c r="H12" i="51" s="1"/>
  <c r="K12" i="51" s="1"/>
  <c r="L12" i="51" s="1"/>
  <c r="E15" i="51"/>
  <c r="G15" i="51" s="1"/>
  <c r="H15" i="51" s="1"/>
  <c r="K15" i="51" s="1"/>
  <c r="L15" i="51" s="1"/>
  <c r="H53" i="51"/>
  <c r="I54" i="51"/>
  <c r="J55" i="51"/>
  <c r="I53" i="60"/>
  <c r="E6" i="60"/>
  <c r="G6" i="60" s="1"/>
  <c r="H6" i="60" s="1"/>
  <c r="K6" i="60" s="1"/>
  <c r="L6" i="60" s="1"/>
  <c r="E13" i="60"/>
  <c r="G13" i="60" s="1"/>
  <c r="H13" i="60" s="1"/>
  <c r="K13" i="60" s="1"/>
  <c r="L13" i="60" s="1"/>
  <c r="E10" i="60"/>
  <c r="G10" i="60" s="1"/>
  <c r="H10" i="60" s="1"/>
  <c r="K10" i="60" s="1"/>
  <c r="L10" i="60" s="1"/>
  <c r="E12" i="60"/>
  <c r="G12" i="60" s="1"/>
  <c r="H12" i="60" s="1"/>
  <c r="K12" i="60" s="1"/>
  <c r="L12" i="60" s="1"/>
  <c r="E9" i="60"/>
  <c r="G9" i="60" s="1"/>
  <c r="H9" i="60" s="1"/>
  <c r="K9" i="60" s="1"/>
  <c r="L9" i="60" s="1"/>
  <c r="E7" i="60"/>
  <c r="G7" i="60" s="1"/>
  <c r="H7" i="60" s="1"/>
  <c r="K7" i="60" s="1"/>
  <c r="L7" i="60" s="1"/>
  <c r="E8" i="60"/>
  <c r="G8" i="60" s="1"/>
  <c r="H8" i="60" s="1"/>
  <c r="K8" i="60" s="1"/>
  <c r="L8" i="60" s="1"/>
  <c r="E11" i="60"/>
  <c r="G11" i="60" s="1"/>
  <c r="H11" i="60" s="1"/>
  <c r="K11" i="60" s="1"/>
  <c r="L11" i="60" s="1"/>
  <c r="E16" i="60"/>
  <c r="G16" i="60" s="1"/>
  <c r="H16" i="60" s="1"/>
  <c r="K16" i="60" s="1"/>
  <c r="L16" i="60" s="1"/>
  <c r="E14" i="60"/>
  <c r="G14" i="60" s="1"/>
  <c r="H14" i="60" s="1"/>
  <c r="K14" i="60" s="1"/>
  <c r="L14" i="60" s="1"/>
  <c r="C52" i="60"/>
  <c r="E15" i="60"/>
  <c r="G15" i="60" s="1"/>
  <c r="H15" i="60" s="1"/>
  <c r="K15" i="60" s="1"/>
  <c r="L15" i="60" s="1"/>
  <c r="E17" i="60"/>
  <c r="G17" i="60" s="1"/>
  <c r="H17" i="60" s="1"/>
  <c r="K17" i="60" s="1"/>
  <c r="L17" i="60" s="1"/>
  <c r="J54" i="60"/>
  <c r="C54" i="50"/>
  <c r="I54" i="35"/>
  <c r="J55" i="35"/>
  <c r="B95" i="35" s="1"/>
  <c r="H95" i="35" s="1"/>
  <c r="E6" i="35"/>
  <c r="G6" i="35" s="1"/>
  <c r="H6" i="35" s="1"/>
  <c r="K6" i="35" s="1"/>
  <c r="L6" i="35" s="1"/>
  <c r="E9" i="35"/>
  <c r="G9" i="35" s="1"/>
  <c r="H9" i="35" s="1"/>
  <c r="K9" i="35" s="1"/>
  <c r="L9" i="35" s="1"/>
  <c r="H53" i="35"/>
  <c r="H1" i="35"/>
  <c r="E7" i="35"/>
  <c r="G7" i="35" s="1"/>
  <c r="H7" i="35" s="1"/>
  <c r="K7" i="35" s="1"/>
  <c r="L7" i="35" s="1"/>
  <c r="E8" i="35"/>
  <c r="G8" i="35" s="1"/>
  <c r="H8" i="35" s="1"/>
  <c r="K8" i="35" s="1"/>
  <c r="L8" i="35" s="1"/>
  <c r="C54" i="27"/>
  <c r="D54" i="27" s="1"/>
  <c r="G65" i="30"/>
  <c r="H65" i="30" s="1"/>
  <c r="H54" i="30"/>
  <c r="E80" i="30" s="1"/>
  <c r="G80" i="30" s="1"/>
  <c r="H80" i="30" s="1"/>
  <c r="I1" i="78"/>
  <c r="C52" i="78"/>
  <c r="G70" i="68"/>
  <c r="H70" i="68" s="1"/>
  <c r="G67" i="68"/>
  <c r="H67" i="68" s="1"/>
  <c r="G72" i="68"/>
  <c r="H72" i="68" s="1"/>
  <c r="G68" i="68"/>
  <c r="H68" i="68" s="1"/>
  <c r="G66" i="68"/>
  <c r="H66" i="68" s="1"/>
  <c r="G71" i="68"/>
  <c r="H71" i="68" s="1"/>
  <c r="G69" i="68"/>
  <c r="H69" i="68" s="1"/>
  <c r="C52" i="55"/>
  <c r="I1" i="55"/>
  <c r="I1" i="54"/>
  <c r="C52" i="54"/>
  <c r="E11" i="39"/>
  <c r="G11" i="39" s="1"/>
  <c r="H11" i="39" s="1"/>
  <c r="K11" i="39" s="1"/>
  <c r="L11" i="39" s="1"/>
  <c r="E10" i="39"/>
  <c r="G10" i="39" s="1"/>
  <c r="H10" i="39" s="1"/>
  <c r="K10" i="39" s="1"/>
  <c r="L10" i="39" s="1"/>
  <c r="E7" i="39"/>
  <c r="G7" i="39" s="1"/>
  <c r="H7" i="39" s="1"/>
  <c r="K7" i="39" s="1"/>
  <c r="L7" i="39" s="1"/>
  <c r="E9" i="39"/>
  <c r="G9" i="39" s="1"/>
  <c r="H9" i="39" s="1"/>
  <c r="K9" i="39" s="1"/>
  <c r="L9" i="39" s="1"/>
  <c r="E6" i="39"/>
  <c r="G6" i="39" s="1"/>
  <c r="H6" i="39" s="1"/>
  <c r="K6" i="39" s="1"/>
  <c r="L6" i="39" s="1"/>
  <c r="E8" i="39"/>
  <c r="G8" i="39" s="1"/>
  <c r="H8" i="39" s="1"/>
  <c r="K8" i="39" s="1"/>
  <c r="L8" i="39" s="1"/>
  <c r="C52" i="38"/>
  <c r="I1" i="38"/>
  <c r="E9" i="31"/>
  <c r="G9" i="31" s="1"/>
  <c r="H9" i="31" s="1"/>
  <c r="K9" i="31" s="1"/>
  <c r="L9" i="31" s="1"/>
  <c r="E8" i="31"/>
  <c r="G8" i="31" s="1"/>
  <c r="H8" i="31" s="1"/>
  <c r="K8" i="31" s="1"/>
  <c r="L8" i="31" s="1"/>
  <c r="E16" i="31"/>
  <c r="G16" i="31" s="1"/>
  <c r="H16" i="31" s="1"/>
  <c r="K16" i="31" s="1"/>
  <c r="L16" i="31" s="1"/>
  <c r="E12" i="31"/>
  <c r="G12" i="31" s="1"/>
  <c r="H12" i="31" s="1"/>
  <c r="K12" i="31" s="1"/>
  <c r="L12" i="31" s="1"/>
  <c r="E14" i="31"/>
  <c r="G14" i="31" s="1"/>
  <c r="H14" i="31" s="1"/>
  <c r="K14" i="31" s="1"/>
  <c r="L14" i="31" s="1"/>
  <c r="E11" i="31"/>
  <c r="G11" i="31" s="1"/>
  <c r="H11" i="31" s="1"/>
  <c r="K11" i="31" s="1"/>
  <c r="L11" i="31" s="1"/>
  <c r="E10" i="31"/>
  <c r="G10" i="31" s="1"/>
  <c r="H10" i="31" s="1"/>
  <c r="K10" i="31" s="1"/>
  <c r="L10" i="31" s="1"/>
  <c r="E22" i="31"/>
  <c r="G22" i="31" s="1"/>
  <c r="H22" i="31" s="1"/>
  <c r="K22" i="31" s="1"/>
  <c r="L22" i="31" s="1"/>
  <c r="E21" i="31"/>
  <c r="G21" i="31" s="1"/>
  <c r="H21" i="31" s="1"/>
  <c r="K21" i="31" s="1"/>
  <c r="L21" i="31" s="1"/>
  <c r="E20" i="31"/>
  <c r="G20" i="31" s="1"/>
  <c r="H20" i="31" s="1"/>
  <c r="K20" i="31" s="1"/>
  <c r="L20" i="31" s="1"/>
  <c r="E19" i="31"/>
  <c r="G19" i="31" s="1"/>
  <c r="H19" i="31" s="1"/>
  <c r="K19" i="31" s="1"/>
  <c r="L19" i="31" s="1"/>
  <c r="E18" i="31"/>
  <c r="G18" i="31" s="1"/>
  <c r="H18" i="31" s="1"/>
  <c r="K18" i="31" s="1"/>
  <c r="L18" i="31" s="1"/>
  <c r="E13" i="31"/>
  <c r="G13" i="31" s="1"/>
  <c r="H13" i="31" s="1"/>
  <c r="K13" i="31" s="1"/>
  <c r="L13" i="31" s="1"/>
  <c r="E7" i="31"/>
  <c r="G7" i="31" s="1"/>
  <c r="H7" i="31" s="1"/>
  <c r="K7" i="31" s="1"/>
  <c r="L7" i="31" s="1"/>
  <c r="E6" i="31"/>
  <c r="G6" i="31" s="1"/>
  <c r="H6" i="31" s="1"/>
  <c r="K6" i="31" s="1"/>
  <c r="L6" i="31" s="1"/>
  <c r="E15" i="31"/>
  <c r="G15" i="31" s="1"/>
  <c r="H15" i="31" s="1"/>
  <c r="K15" i="31" s="1"/>
  <c r="L15" i="31" s="1"/>
  <c r="E24" i="31"/>
  <c r="G24" i="31" s="1"/>
  <c r="H24" i="31" s="1"/>
  <c r="K24" i="31" s="1"/>
  <c r="L24" i="31" s="1"/>
  <c r="I1" i="31"/>
  <c r="C52" i="31" s="1"/>
  <c r="E23" i="31"/>
  <c r="G23" i="31" s="1"/>
  <c r="H23" i="31" s="1"/>
  <c r="K23" i="31" s="1"/>
  <c r="L23" i="31" s="1"/>
  <c r="E17" i="31"/>
  <c r="G17" i="31" s="1"/>
  <c r="H17" i="31" s="1"/>
  <c r="K17" i="31" s="1"/>
  <c r="L17" i="31" s="1"/>
  <c r="I1" i="14"/>
  <c r="C52" i="14"/>
  <c r="C52" i="13"/>
  <c r="I1" i="13"/>
  <c r="E8" i="37"/>
  <c r="G8" i="37" s="1"/>
  <c r="H8" i="37" s="1"/>
  <c r="K8" i="37" s="1"/>
  <c r="L8" i="37" s="1"/>
  <c r="E11" i="37"/>
  <c r="G11" i="37" s="1"/>
  <c r="H11" i="37" s="1"/>
  <c r="K11" i="37" s="1"/>
  <c r="L11" i="37" s="1"/>
  <c r="E7" i="37"/>
  <c r="G7" i="37" s="1"/>
  <c r="H7" i="37" s="1"/>
  <c r="K7" i="37" s="1"/>
  <c r="L7" i="37" s="1"/>
  <c r="E6" i="37"/>
  <c r="G6" i="37" s="1"/>
  <c r="H6" i="37" s="1"/>
  <c r="K6" i="37" s="1"/>
  <c r="L6" i="37" s="1"/>
  <c r="E9" i="37"/>
  <c r="G9" i="37" s="1"/>
  <c r="H9" i="37" s="1"/>
  <c r="K9" i="37" s="1"/>
  <c r="L9" i="37" s="1"/>
  <c r="E12" i="37"/>
  <c r="G12" i="37" s="1"/>
  <c r="H12" i="37" s="1"/>
  <c r="K12" i="37" s="1"/>
  <c r="L12" i="37" s="1"/>
  <c r="E10" i="37"/>
  <c r="G10" i="37" s="1"/>
  <c r="H10" i="37" s="1"/>
  <c r="K10" i="37" s="1"/>
  <c r="L10" i="37" s="1"/>
  <c r="C52" i="37"/>
  <c r="E72" i="29"/>
  <c r="G72" i="29" s="1"/>
  <c r="H72" i="29" s="1"/>
  <c r="E70" i="29"/>
  <c r="G70" i="29" s="1"/>
  <c r="H70" i="29" s="1"/>
  <c r="E67" i="29"/>
  <c r="G67" i="29" s="1"/>
  <c r="H67" i="29" s="1"/>
  <c r="E75" i="29"/>
  <c r="G75" i="29" s="1"/>
  <c r="H75" i="29" s="1"/>
  <c r="E78" i="29"/>
  <c r="G78" i="29" s="1"/>
  <c r="H78" i="29" s="1"/>
  <c r="E73" i="29"/>
  <c r="G73" i="29" s="1"/>
  <c r="H73" i="29" s="1"/>
  <c r="E71" i="29"/>
  <c r="G71" i="29" s="1"/>
  <c r="H71" i="29" s="1"/>
  <c r="E79" i="29"/>
  <c r="G79" i="29" s="1"/>
  <c r="H79" i="29" s="1"/>
  <c r="E66" i="29"/>
  <c r="G66" i="29" s="1"/>
  <c r="H66" i="29" s="1"/>
  <c r="E74" i="29"/>
  <c r="G74" i="29" s="1"/>
  <c r="H74" i="29" s="1"/>
  <c r="E76" i="29"/>
  <c r="G76" i="29" s="1"/>
  <c r="H76" i="29" s="1"/>
  <c r="E77" i="29"/>
  <c r="G77" i="29" s="1"/>
  <c r="H77" i="29" s="1"/>
  <c r="E68" i="29"/>
  <c r="G68" i="29" s="1"/>
  <c r="H68" i="29" s="1"/>
  <c r="E69" i="29"/>
  <c r="G69" i="29" s="1"/>
  <c r="H69" i="29" s="1"/>
  <c r="AC30" i="7"/>
  <c r="H53" i="23"/>
  <c r="E8" i="23"/>
  <c r="G8" i="23" s="1"/>
  <c r="H8" i="23" s="1"/>
  <c r="K8" i="23" s="1"/>
  <c r="L8" i="23" s="1"/>
  <c r="E16" i="23"/>
  <c r="G16" i="23" s="1"/>
  <c r="H16" i="23" s="1"/>
  <c r="K16" i="23" s="1"/>
  <c r="L16" i="23" s="1"/>
  <c r="E6" i="23"/>
  <c r="G6" i="23" s="1"/>
  <c r="H6" i="23" s="1"/>
  <c r="K6" i="23" s="1"/>
  <c r="H1" i="23"/>
  <c r="E11" i="23"/>
  <c r="G11" i="23" s="1"/>
  <c r="H11" i="23" s="1"/>
  <c r="K11" i="23" s="1"/>
  <c r="L11" i="23" s="1"/>
  <c r="E14" i="23"/>
  <c r="G14" i="23" s="1"/>
  <c r="H14" i="23" s="1"/>
  <c r="K14" i="23" s="1"/>
  <c r="L14" i="23" s="1"/>
  <c r="E9" i="23"/>
  <c r="G9" i="23" s="1"/>
  <c r="H9" i="23" s="1"/>
  <c r="K9" i="23" s="1"/>
  <c r="L9" i="23" s="1"/>
  <c r="E17" i="23"/>
  <c r="G17" i="23" s="1"/>
  <c r="H17" i="23" s="1"/>
  <c r="K17" i="23" s="1"/>
  <c r="L17" i="23" s="1"/>
  <c r="E12" i="23"/>
  <c r="G12" i="23" s="1"/>
  <c r="H12" i="23" s="1"/>
  <c r="K12" i="23" s="1"/>
  <c r="L12" i="23" s="1"/>
  <c r="E10" i="23"/>
  <c r="G10" i="23" s="1"/>
  <c r="H10" i="23" s="1"/>
  <c r="K10" i="23" s="1"/>
  <c r="L10" i="23" s="1"/>
  <c r="E18" i="23"/>
  <c r="G18" i="23" s="1"/>
  <c r="H18" i="23" s="1"/>
  <c r="K18" i="23" s="1"/>
  <c r="L18" i="23" s="1"/>
  <c r="E7" i="23"/>
  <c r="G7" i="23" s="1"/>
  <c r="H7" i="23" s="1"/>
  <c r="K7" i="23" s="1"/>
  <c r="L7" i="23" s="1"/>
  <c r="E15" i="23"/>
  <c r="G15" i="23" s="1"/>
  <c r="H15" i="23" s="1"/>
  <c r="K15" i="23" s="1"/>
  <c r="L15" i="23" s="1"/>
  <c r="E13" i="23"/>
  <c r="G13" i="23" s="1"/>
  <c r="H13" i="23" s="1"/>
  <c r="K13" i="23" s="1"/>
  <c r="L13" i="23" s="1"/>
  <c r="H20" i="21"/>
  <c r="H18" i="21"/>
  <c r="H54" i="21"/>
  <c r="H55" i="21" s="1"/>
  <c r="H19" i="21"/>
  <c r="E71" i="20"/>
  <c r="G71" i="20" s="1"/>
  <c r="H71" i="20" s="1"/>
  <c r="E79" i="20"/>
  <c r="G79" i="20" s="1"/>
  <c r="H79" i="20" s="1"/>
  <c r="E66" i="20"/>
  <c r="G66" i="20" s="1"/>
  <c r="H66" i="20" s="1"/>
  <c r="E74" i="20"/>
  <c r="G74" i="20" s="1"/>
  <c r="H74" i="20" s="1"/>
  <c r="E69" i="20"/>
  <c r="G69" i="20" s="1"/>
  <c r="H69" i="20" s="1"/>
  <c r="E77" i="20"/>
  <c r="G77" i="20" s="1"/>
  <c r="H77" i="20" s="1"/>
  <c r="E78" i="20"/>
  <c r="G78" i="20" s="1"/>
  <c r="H78" i="20" s="1"/>
  <c r="E72" i="20"/>
  <c r="G72" i="20" s="1"/>
  <c r="H72" i="20" s="1"/>
  <c r="E75" i="20"/>
  <c r="G75" i="20" s="1"/>
  <c r="H75" i="20" s="1"/>
  <c r="E70" i="20"/>
  <c r="G70" i="20" s="1"/>
  <c r="H70" i="20" s="1"/>
  <c r="E73" i="20"/>
  <c r="G73" i="20" s="1"/>
  <c r="H73" i="20" s="1"/>
  <c r="E68" i="20"/>
  <c r="G68" i="20" s="1"/>
  <c r="H68" i="20" s="1"/>
  <c r="E76" i="20"/>
  <c r="G76" i="20" s="1"/>
  <c r="H76" i="20" s="1"/>
  <c r="C54" i="20"/>
  <c r="D54" i="20" s="1"/>
  <c r="C53" i="19"/>
  <c r="H54" i="17"/>
  <c r="E96" i="17" s="1"/>
  <c r="G96" i="17" s="1"/>
  <c r="H96" i="17" s="1"/>
  <c r="AB30" i="7"/>
  <c r="E79" i="7"/>
  <c r="G79" i="7" s="1"/>
  <c r="H79" i="7" s="1"/>
  <c r="E74" i="7"/>
  <c r="G74" i="7" s="1"/>
  <c r="H74" i="7" s="1"/>
  <c r="E72" i="7"/>
  <c r="G72" i="7" s="1"/>
  <c r="H72" i="7" s="1"/>
  <c r="E68" i="7"/>
  <c r="G68" i="7" s="1"/>
  <c r="H68" i="7" s="1"/>
  <c r="E76" i="7"/>
  <c r="G76" i="7" s="1"/>
  <c r="H76" i="7" s="1"/>
  <c r="E71" i="7"/>
  <c r="G71" i="7" s="1"/>
  <c r="H71" i="7" s="1"/>
  <c r="E66" i="7"/>
  <c r="G66" i="7" s="1"/>
  <c r="H66" i="7" s="1"/>
  <c r="E78" i="7"/>
  <c r="G78" i="7" s="1"/>
  <c r="H78" i="7" s="1"/>
  <c r="E69" i="7"/>
  <c r="G69" i="7" s="1"/>
  <c r="H69" i="7" s="1"/>
  <c r="E77" i="7"/>
  <c r="G77" i="7" s="1"/>
  <c r="H77" i="7" s="1"/>
  <c r="E73" i="7"/>
  <c r="G73" i="7" s="1"/>
  <c r="H73" i="7" s="1"/>
  <c r="E67" i="7"/>
  <c r="G67" i="7" s="1"/>
  <c r="H67" i="7" s="1"/>
  <c r="E75" i="7"/>
  <c r="G75" i="7" s="1"/>
  <c r="H75" i="7" s="1"/>
  <c r="E70" i="7"/>
  <c r="G70" i="7" s="1"/>
  <c r="H70" i="7" s="1"/>
  <c r="E67" i="45"/>
  <c r="G67" i="45" s="1"/>
  <c r="H67" i="45" s="1"/>
  <c r="E75" i="45"/>
  <c r="G75" i="45" s="1"/>
  <c r="H75" i="45" s="1"/>
  <c r="E80" i="45"/>
  <c r="G80" i="45" s="1"/>
  <c r="H80" i="45" s="1"/>
  <c r="C54" i="45"/>
  <c r="D54" i="45" s="1"/>
  <c r="E70" i="45"/>
  <c r="G70" i="45" s="1"/>
  <c r="H70" i="45" s="1"/>
  <c r="E78" i="45"/>
  <c r="G78" i="45" s="1"/>
  <c r="H78" i="45" s="1"/>
  <c r="E73" i="45"/>
  <c r="G73" i="45" s="1"/>
  <c r="H73" i="45" s="1"/>
  <c r="E68" i="45"/>
  <c r="G68" i="45" s="1"/>
  <c r="H68" i="45" s="1"/>
  <c r="E76" i="45"/>
  <c r="G76" i="45" s="1"/>
  <c r="H76" i="45" s="1"/>
  <c r="E71" i="45"/>
  <c r="G71" i="45" s="1"/>
  <c r="H71" i="45" s="1"/>
  <c r="E79" i="45"/>
  <c r="G79" i="45" s="1"/>
  <c r="H79" i="45" s="1"/>
  <c r="E66" i="45"/>
  <c r="G66" i="45" s="1"/>
  <c r="H66" i="45" s="1"/>
  <c r="E69" i="45"/>
  <c r="G69" i="45" s="1"/>
  <c r="H69" i="45" s="1"/>
  <c r="E77" i="45"/>
  <c r="G77" i="45" s="1"/>
  <c r="H77" i="45" s="1"/>
  <c r="E72" i="45"/>
  <c r="G72" i="45" s="1"/>
  <c r="H72" i="45" s="1"/>
  <c r="E74" i="45"/>
  <c r="G74" i="45" s="1"/>
  <c r="H74" i="45" s="1"/>
  <c r="J54" i="45"/>
  <c r="B107" i="45" s="1"/>
  <c r="I53" i="45"/>
  <c r="T35" i="6"/>
  <c r="C53" i="3"/>
  <c r="D53" i="3" s="1"/>
  <c r="C53" i="6"/>
  <c r="D53" i="6" s="1"/>
  <c r="I54" i="6"/>
  <c r="J55" i="6"/>
  <c r="I55" i="6" s="1"/>
  <c r="E83" i="8"/>
  <c r="G83" i="8" s="1"/>
  <c r="H83" i="8" s="1"/>
  <c r="E80" i="8"/>
  <c r="G80" i="8" s="1"/>
  <c r="H80" i="8" s="1"/>
  <c r="E68" i="8"/>
  <c r="G68" i="8" s="1"/>
  <c r="H68" i="8" s="1"/>
  <c r="E66" i="8"/>
  <c r="G66" i="8" s="1"/>
  <c r="H66" i="8" s="1"/>
  <c r="E74" i="8"/>
  <c r="G74" i="8" s="1"/>
  <c r="H74" i="8" s="1"/>
  <c r="E78" i="8"/>
  <c r="G78" i="8" s="1"/>
  <c r="H78" i="8" s="1"/>
  <c r="E70" i="8"/>
  <c r="G70" i="8" s="1"/>
  <c r="H70" i="8" s="1"/>
  <c r="E67" i="8"/>
  <c r="G67" i="8" s="1"/>
  <c r="H67" i="8" s="1"/>
  <c r="E79" i="8"/>
  <c r="G79" i="8" s="1"/>
  <c r="H79" i="8" s="1"/>
  <c r="E77" i="8"/>
  <c r="G77" i="8" s="1"/>
  <c r="H77" i="8" s="1"/>
  <c r="E82" i="8"/>
  <c r="G82" i="8" s="1"/>
  <c r="H82" i="8" s="1"/>
  <c r="E73" i="8"/>
  <c r="G73" i="8" s="1"/>
  <c r="H73" i="8" s="1"/>
  <c r="E69" i="8"/>
  <c r="G69" i="8" s="1"/>
  <c r="H69" i="8" s="1"/>
  <c r="E76" i="8"/>
  <c r="G76" i="8" s="1"/>
  <c r="H76" i="8" s="1"/>
  <c r="E81" i="8"/>
  <c r="G81" i="8" s="1"/>
  <c r="H81" i="8" s="1"/>
  <c r="E75" i="8"/>
  <c r="G75" i="8" s="1"/>
  <c r="H75" i="8" s="1"/>
  <c r="E71" i="8"/>
  <c r="G71" i="8" s="1"/>
  <c r="H71" i="8" s="1"/>
  <c r="E72" i="8"/>
  <c r="G72" i="8" s="1"/>
  <c r="H72" i="8" s="1"/>
  <c r="C54" i="8"/>
  <c r="G65" i="9"/>
  <c r="H65" i="9" s="1"/>
  <c r="H54" i="9"/>
  <c r="C54" i="9"/>
  <c r="D54" i="9" s="1"/>
  <c r="T35" i="71"/>
  <c r="C53" i="74"/>
  <c r="C53" i="71"/>
  <c r="E12" i="70"/>
  <c r="G12" i="70" s="1"/>
  <c r="H12" i="70" s="1"/>
  <c r="K12" i="70" s="1"/>
  <c r="L12" i="70" s="1"/>
  <c r="E10" i="70"/>
  <c r="G10" i="70" s="1"/>
  <c r="H10" i="70" s="1"/>
  <c r="K10" i="70" s="1"/>
  <c r="L10" i="70" s="1"/>
  <c r="E14" i="70"/>
  <c r="G14" i="70" s="1"/>
  <c r="H14" i="70" s="1"/>
  <c r="K14" i="70" s="1"/>
  <c r="L14" i="70" s="1"/>
  <c r="E17" i="70"/>
  <c r="G17" i="70" s="1"/>
  <c r="H17" i="70" s="1"/>
  <c r="K17" i="70" s="1"/>
  <c r="L17" i="70" s="1"/>
  <c r="E15" i="70"/>
  <c r="G15" i="70" s="1"/>
  <c r="H15" i="70" s="1"/>
  <c r="K15" i="70" s="1"/>
  <c r="L15" i="70" s="1"/>
  <c r="E9" i="70"/>
  <c r="G9" i="70" s="1"/>
  <c r="H9" i="70" s="1"/>
  <c r="K9" i="70" s="1"/>
  <c r="L9" i="70" s="1"/>
  <c r="E8" i="70"/>
  <c r="G8" i="70" s="1"/>
  <c r="H8" i="70" s="1"/>
  <c r="K8" i="70" s="1"/>
  <c r="L8" i="70" s="1"/>
  <c r="E7" i="70"/>
  <c r="G7" i="70" s="1"/>
  <c r="H7" i="70" s="1"/>
  <c r="K7" i="70" s="1"/>
  <c r="L7" i="70" s="1"/>
  <c r="E6" i="70"/>
  <c r="G6" i="70" s="1"/>
  <c r="H6" i="70" s="1"/>
  <c r="K6" i="70" s="1"/>
  <c r="L6" i="70" s="1"/>
  <c r="C52" i="70"/>
  <c r="E22" i="70"/>
  <c r="G22" i="70" s="1"/>
  <c r="H22" i="70" s="1"/>
  <c r="K22" i="70" s="1"/>
  <c r="L22" i="70" s="1"/>
  <c r="E20" i="70"/>
  <c r="G20" i="70" s="1"/>
  <c r="H20" i="70" s="1"/>
  <c r="K20" i="70" s="1"/>
  <c r="L20" i="70" s="1"/>
  <c r="E18" i="70"/>
  <c r="G18" i="70" s="1"/>
  <c r="H18" i="70" s="1"/>
  <c r="K18" i="70" s="1"/>
  <c r="L18" i="70" s="1"/>
  <c r="E16" i="70"/>
  <c r="G16" i="70" s="1"/>
  <c r="H16" i="70" s="1"/>
  <c r="K16" i="70" s="1"/>
  <c r="L16" i="70" s="1"/>
  <c r="E11" i="70"/>
  <c r="G11" i="70" s="1"/>
  <c r="H11" i="70" s="1"/>
  <c r="K11" i="70" s="1"/>
  <c r="L11" i="70" s="1"/>
  <c r="E23" i="70"/>
  <c r="G23" i="70" s="1"/>
  <c r="H23" i="70" s="1"/>
  <c r="K23" i="70" s="1"/>
  <c r="L23" i="70" s="1"/>
  <c r="E19" i="70"/>
  <c r="G19" i="70" s="1"/>
  <c r="H19" i="70" s="1"/>
  <c r="K19" i="70" s="1"/>
  <c r="L19" i="70" s="1"/>
  <c r="E21" i="70"/>
  <c r="G21" i="70" s="1"/>
  <c r="H21" i="70" s="1"/>
  <c r="K21" i="70" s="1"/>
  <c r="L21" i="70" s="1"/>
  <c r="E13" i="70"/>
  <c r="G13" i="70" s="1"/>
  <c r="H13" i="70" s="1"/>
  <c r="K13" i="70" s="1"/>
  <c r="L13" i="70" s="1"/>
  <c r="I54" i="66"/>
  <c r="J55" i="66"/>
  <c r="U35" i="49" l="1"/>
  <c r="U35" i="59"/>
  <c r="B107" i="59"/>
  <c r="J55" i="59"/>
  <c r="I55" i="59" s="1"/>
  <c r="I54" i="59"/>
  <c r="AA30" i="49"/>
  <c r="B99" i="49"/>
  <c r="I54" i="49"/>
  <c r="J55" i="49"/>
  <c r="I55" i="49" s="1"/>
  <c r="D53" i="57"/>
  <c r="B101" i="19"/>
  <c r="J55" i="19"/>
  <c r="I55" i="19" s="1"/>
  <c r="I54" i="19"/>
  <c r="E82" i="26"/>
  <c r="G82" i="26"/>
  <c r="D53" i="49"/>
  <c r="D53" i="19"/>
  <c r="E81" i="59"/>
  <c r="G81" i="59" s="1"/>
  <c r="H81" i="59" s="1"/>
  <c r="E80" i="59"/>
  <c r="G80" i="59" s="1"/>
  <c r="H80" i="59" s="1"/>
  <c r="D53" i="59"/>
  <c r="E86" i="33"/>
  <c r="G86" i="33" s="1"/>
  <c r="H86" i="33" s="1"/>
  <c r="E85" i="33"/>
  <c r="G85" i="33" s="1"/>
  <c r="H85" i="33" s="1"/>
  <c r="H54" i="49"/>
  <c r="H55" i="49" s="1"/>
  <c r="E65" i="49"/>
  <c r="G65" i="49" s="1"/>
  <c r="H65" i="49" s="1"/>
  <c r="L16" i="37"/>
  <c r="W28" i="37"/>
  <c r="T35" i="58"/>
  <c r="AB30" i="58" s="1"/>
  <c r="AB31" i="58" s="1"/>
  <c r="S35" i="4"/>
  <c r="M5" i="4"/>
  <c r="H53" i="67"/>
  <c r="H54" i="67" s="1"/>
  <c r="H55" i="67" s="1"/>
  <c r="E5" i="67"/>
  <c r="G5" i="67" s="1"/>
  <c r="H5" i="67" s="1"/>
  <c r="K5" i="67" s="1"/>
  <c r="L5" i="67" s="1"/>
  <c r="S35" i="67" s="1"/>
  <c r="H53" i="28"/>
  <c r="E5" i="28"/>
  <c r="G5" i="28" s="1"/>
  <c r="H5" i="28" s="1"/>
  <c r="K5" i="28" s="1"/>
  <c r="L5" i="28" s="1"/>
  <c r="S35" i="28" s="1"/>
  <c r="AB30" i="28" s="1"/>
  <c r="D54" i="4"/>
  <c r="E91" i="4"/>
  <c r="G91" i="4" s="1"/>
  <c r="H91" i="4" s="1"/>
  <c r="E92" i="4"/>
  <c r="G92" i="4" s="1"/>
  <c r="H92" i="4" s="1"/>
  <c r="E93" i="4"/>
  <c r="G93" i="4" s="1"/>
  <c r="H93" i="4" s="1"/>
  <c r="E94" i="4"/>
  <c r="G94" i="4" s="1"/>
  <c r="H94" i="4" s="1"/>
  <c r="I54" i="48"/>
  <c r="J55" i="48"/>
  <c r="B101" i="48"/>
  <c r="E87" i="32"/>
  <c r="H55" i="32"/>
  <c r="D53" i="71"/>
  <c r="AB30" i="79"/>
  <c r="AD30" i="79" s="1"/>
  <c r="AC25" i="79" s="1"/>
  <c r="U35" i="79"/>
  <c r="AB32" i="20"/>
  <c r="T35" i="73"/>
  <c r="AC30" i="73" s="1"/>
  <c r="AC30" i="29"/>
  <c r="AD30" i="29"/>
  <c r="T33" i="34"/>
  <c r="AA30" i="34"/>
  <c r="AC30" i="34" s="1"/>
  <c r="AC25" i="34" s="1"/>
  <c r="T35" i="47"/>
  <c r="AB30" i="47" s="1"/>
  <c r="T35" i="53"/>
  <c r="AC30" i="53" s="1"/>
  <c r="U35" i="46"/>
  <c r="AA30" i="46"/>
  <c r="U35" i="27"/>
  <c r="AB30" i="27"/>
  <c r="T33" i="75"/>
  <c r="AB30" i="75"/>
  <c r="AE30" i="75" s="1"/>
  <c r="AC25" i="75" s="1"/>
  <c r="T35" i="72"/>
  <c r="AC30" i="71"/>
  <c r="AD30" i="71"/>
  <c r="T35" i="70"/>
  <c r="S33" i="66"/>
  <c r="AA30" i="62"/>
  <c r="AD30" i="62" s="1"/>
  <c r="U35" i="62"/>
  <c r="AA30" i="59"/>
  <c r="AD30" i="59" s="1"/>
  <c r="U35" i="57"/>
  <c r="AB30" i="57"/>
  <c r="AB30" i="53"/>
  <c r="S33" i="51"/>
  <c r="AB30" i="50"/>
  <c r="U35" i="50"/>
  <c r="T35" i="48"/>
  <c r="E65" i="46"/>
  <c r="G65" i="46" s="1"/>
  <c r="H65" i="46" s="1"/>
  <c r="H54" i="46"/>
  <c r="H55" i="46" s="1"/>
  <c r="AB30" i="44"/>
  <c r="AD30" i="44" s="1"/>
  <c r="AC25" i="44" s="1"/>
  <c r="U35" i="44"/>
  <c r="AB30" i="43"/>
  <c r="V35" i="43"/>
  <c r="AB30" i="41"/>
  <c r="AE30" i="41" s="1"/>
  <c r="AC25" i="41" s="1"/>
  <c r="U35" i="41"/>
  <c r="S34" i="39"/>
  <c r="T35" i="37"/>
  <c r="AB30" i="37"/>
  <c r="AB30" i="22"/>
  <c r="AC30" i="21"/>
  <c r="AE30" i="21" s="1"/>
  <c r="AC25" i="21" s="1"/>
  <c r="AA30" i="20"/>
  <c r="U35" i="20"/>
  <c r="AC30" i="69"/>
  <c r="AD30" i="69"/>
  <c r="T35" i="60"/>
  <c r="AD30" i="57"/>
  <c r="AC30" i="57"/>
  <c r="AC30" i="56"/>
  <c r="W35" i="22"/>
  <c r="W28" i="22"/>
  <c r="G90" i="5"/>
  <c r="C90" i="5" s="1"/>
  <c r="U35" i="16"/>
  <c r="AB30" i="18"/>
  <c r="AE30" i="18" s="1"/>
  <c r="AC25" i="18" s="1"/>
  <c r="U35" i="18"/>
  <c r="E71" i="24"/>
  <c r="E65" i="24"/>
  <c r="E70" i="24"/>
  <c r="E72" i="24"/>
  <c r="E66" i="24"/>
  <c r="E67" i="24"/>
  <c r="E68" i="24"/>
  <c r="E69" i="24"/>
  <c r="E66" i="55"/>
  <c r="E67" i="55"/>
  <c r="E68" i="55"/>
  <c r="E69" i="55"/>
  <c r="E70" i="55"/>
  <c r="E74" i="55"/>
  <c r="E71" i="55"/>
  <c r="E72" i="55"/>
  <c r="E73" i="55"/>
  <c r="E68" i="38"/>
  <c r="E69" i="38"/>
  <c r="E70" i="38"/>
  <c r="E71" i="38"/>
  <c r="E65" i="38"/>
  <c r="E67" i="38"/>
  <c r="E66" i="38"/>
  <c r="E73" i="78"/>
  <c r="E74" i="78"/>
  <c r="E66" i="78"/>
  <c r="E72" i="78"/>
  <c r="E67" i="78"/>
  <c r="E68" i="78"/>
  <c r="E69" i="78"/>
  <c r="E70" i="78"/>
  <c r="E71" i="78"/>
  <c r="E67" i="13"/>
  <c r="E70" i="13"/>
  <c r="E68" i="13"/>
  <c r="E73" i="13"/>
  <c r="E69" i="13"/>
  <c r="E71" i="13"/>
  <c r="E72" i="13"/>
  <c r="E65" i="13"/>
  <c r="E66" i="13"/>
  <c r="E66" i="54"/>
  <c r="E70" i="54"/>
  <c r="E71" i="54"/>
  <c r="E65" i="54"/>
  <c r="E67" i="54"/>
  <c r="E68" i="54"/>
  <c r="E69" i="54"/>
  <c r="E66" i="14"/>
  <c r="E67" i="14"/>
  <c r="E68" i="14"/>
  <c r="E69" i="14"/>
  <c r="E70" i="14"/>
  <c r="E71" i="14"/>
  <c r="E65" i="14"/>
  <c r="E69" i="40"/>
  <c r="E70" i="40"/>
  <c r="E72" i="40"/>
  <c r="E71" i="40"/>
  <c r="E73" i="40"/>
  <c r="E65" i="40"/>
  <c r="E68" i="40"/>
  <c r="E66" i="40"/>
  <c r="E67" i="40"/>
  <c r="AC30" i="6"/>
  <c r="AD30" i="6"/>
  <c r="AD31" i="6" s="1"/>
  <c r="AC30" i="17"/>
  <c r="AD30" i="17"/>
  <c r="AD30" i="28"/>
  <c r="AC30" i="28"/>
  <c r="S33" i="10"/>
  <c r="AB31" i="30"/>
  <c r="AC24" i="12"/>
  <c r="T31" i="12"/>
  <c r="U35" i="17"/>
  <c r="AB30" i="17"/>
  <c r="AE30" i="5"/>
  <c r="AC25" i="5" s="1"/>
  <c r="U35" i="29"/>
  <c r="AD30" i="8"/>
  <c r="AC30" i="8"/>
  <c r="AB32" i="8"/>
  <c r="AC30" i="3"/>
  <c r="AC31" i="3" s="1"/>
  <c r="AD30" i="3"/>
  <c r="AD31" i="3" s="1"/>
  <c r="U35" i="8"/>
  <c r="G84" i="3"/>
  <c r="E84" i="3"/>
  <c r="G81" i="27"/>
  <c r="E81" i="27"/>
  <c r="H81" i="27" s="1"/>
  <c r="L6" i="23"/>
  <c r="AC25" i="23" s="1"/>
  <c r="G85" i="8"/>
  <c r="E85" i="8"/>
  <c r="K5" i="26"/>
  <c r="L5" i="26" s="1"/>
  <c r="S35" i="26" s="1"/>
  <c r="D54" i="8"/>
  <c r="D53" i="56"/>
  <c r="E66" i="56"/>
  <c r="G66" i="56" s="1"/>
  <c r="H66" i="56" s="1"/>
  <c r="H53" i="60"/>
  <c r="E5" i="60"/>
  <c r="G5" i="60" s="1"/>
  <c r="H5" i="60" s="1"/>
  <c r="K5" i="60" s="1"/>
  <c r="L5" i="60" s="1"/>
  <c r="D56" i="84"/>
  <c r="D53" i="74"/>
  <c r="E66" i="74"/>
  <c r="G66" i="74" s="1"/>
  <c r="H66" i="74" s="1"/>
  <c r="D53" i="73"/>
  <c r="E66" i="73"/>
  <c r="G66" i="73" s="1"/>
  <c r="H66" i="73" s="1"/>
  <c r="D53" i="72"/>
  <c r="E66" i="72"/>
  <c r="G66" i="72" s="1"/>
  <c r="H66" i="72" s="1"/>
  <c r="D53" i="62"/>
  <c r="E66" i="62"/>
  <c r="G66" i="62" s="1"/>
  <c r="H66" i="62" s="1"/>
  <c r="D53" i="61"/>
  <c r="E66" i="61"/>
  <c r="G66" i="61" s="1"/>
  <c r="H66" i="61" s="1"/>
  <c r="D54" i="50"/>
  <c r="E89" i="50"/>
  <c r="G89" i="50" s="1"/>
  <c r="H89" i="50" s="1"/>
  <c r="D53" i="46"/>
  <c r="E66" i="46"/>
  <c r="G66" i="46" s="1"/>
  <c r="H66" i="46" s="1"/>
  <c r="H55" i="44"/>
  <c r="E90" i="44"/>
  <c r="G90" i="44" s="1"/>
  <c r="H90" i="44" s="1"/>
  <c r="D53" i="42"/>
  <c r="G74" i="42" s="1"/>
  <c r="C74" i="42" s="1"/>
  <c r="E69" i="42"/>
  <c r="E66" i="42"/>
  <c r="E68" i="42"/>
  <c r="E70" i="42"/>
  <c r="E71" i="42"/>
  <c r="E72" i="42"/>
  <c r="E65" i="42"/>
  <c r="E67" i="42"/>
  <c r="D53" i="41"/>
  <c r="E66" i="41"/>
  <c r="G66" i="41" s="1"/>
  <c r="H66" i="41" s="1"/>
  <c r="E68" i="41"/>
  <c r="G68" i="41" s="1"/>
  <c r="H68" i="41" s="1"/>
  <c r="C53" i="38"/>
  <c r="G81" i="7"/>
  <c r="E81" i="7"/>
  <c r="H81" i="7" s="1"/>
  <c r="C55" i="7"/>
  <c r="G83" i="50"/>
  <c r="C83" i="50" s="1"/>
  <c r="D53" i="33"/>
  <c r="C54" i="33"/>
  <c r="J55" i="22"/>
  <c r="I55" i="22" s="1"/>
  <c r="E107" i="45"/>
  <c r="G107" i="45"/>
  <c r="E82" i="44"/>
  <c r="G82" i="44"/>
  <c r="G79" i="43"/>
  <c r="E79" i="43"/>
  <c r="E103" i="29"/>
  <c r="G103" i="29"/>
  <c r="G104" i="27"/>
  <c r="E104" i="27"/>
  <c r="E81" i="16"/>
  <c r="G81" i="16"/>
  <c r="G65" i="22"/>
  <c r="H65" i="22" s="1"/>
  <c r="H54" i="22"/>
  <c r="H55" i="22" s="1"/>
  <c r="G82" i="21"/>
  <c r="E82" i="21"/>
  <c r="G103" i="20"/>
  <c r="E103" i="20"/>
  <c r="G82" i="18"/>
  <c r="E82" i="18"/>
  <c r="G90" i="17"/>
  <c r="E90" i="17"/>
  <c r="G91" i="15"/>
  <c r="E91" i="15"/>
  <c r="G73" i="6"/>
  <c r="E73" i="6"/>
  <c r="J55" i="15"/>
  <c r="I55" i="15" s="1"/>
  <c r="C55" i="68"/>
  <c r="D54" i="68"/>
  <c r="C56" i="83"/>
  <c r="D55" i="83"/>
  <c r="E83" i="58"/>
  <c r="G83" i="58"/>
  <c r="J55" i="17"/>
  <c r="I55" i="17" s="1"/>
  <c r="I54" i="17"/>
  <c r="I54" i="15"/>
  <c r="J56" i="4"/>
  <c r="H54" i="66"/>
  <c r="E73" i="66"/>
  <c r="G73" i="66" s="1"/>
  <c r="H73" i="66" s="1"/>
  <c r="E72" i="66"/>
  <c r="G72" i="66" s="1"/>
  <c r="H72" i="66" s="1"/>
  <c r="E71" i="66"/>
  <c r="G71" i="66" s="1"/>
  <c r="H71" i="66" s="1"/>
  <c r="E70" i="66"/>
  <c r="G70" i="66" s="1"/>
  <c r="H70" i="66" s="1"/>
  <c r="E69" i="66"/>
  <c r="G69" i="66" s="1"/>
  <c r="H69" i="66" s="1"/>
  <c r="E68" i="66"/>
  <c r="G68" i="66" s="1"/>
  <c r="H68" i="66" s="1"/>
  <c r="E67" i="66"/>
  <c r="G67" i="66" s="1"/>
  <c r="H67" i="66" s="1"/>
  <c r="E66" i="66"/>
  <c r="G66" i="66" s="1"/>
  <c r="H66" i="66" s="1"/>
  <c r="E65" i="66"/>
  <c r="G65" i="66" s="1"/>
  <c r="H65" i="66" s="1"/>
  <c r="J56" i="77"/>
  <c r="J57" i="77" s="1"/>
  <c r="I57" i="77" s="1"/>
  <c r="B98" i="77"/>
  <c r="H98" i="77" s="1"/>
  <c r="J55" i="71"/>
  <c r="B94" i="71"/>
  <c r="J55" i="70"/>
  <c r="B139" i="70" s="1"/>
  <c r="B112" i="70"/>
  <c r="H84" i="69"/>
  <c r="C84" i="69"/>
  <c r="J56" i="66"/>
  <c r="B107" i="66"/>
  <c r="H107" i="66" s="1"/>
  <c r="J55" i="60"/>
  <c r="I55" i="60" s="1"/>
  <c r="B98" i="60"/>
  <c r="J55" i="57"/>
  <c r="B115" i="57"/>
  <c r="J56" i="51"/>
  <c r="B138" i="51" s="1"/>
  <c r="H138" i="51" s="1"/>
  <c r="B119" i="51"/>
  <c r="H119" i="51" s="1"/>
  <c r="H53" i="48"/>
  <c r="E5" i="48"/>
  <c r="G5" i="48" s="1"/>
  <c r="H5" i="48" s="1"/>
  <c r="K5" i="48" s="1"/>
  <c r="L5" i="48" s="1"/>
  <c r="S35" i="48" s="1"/>
  <c r="C54" i="42"/>
  <c r="H81" i="29"/>
  <c r="C81" i="29"/>
  <c r="J55" i="28"/>
  <c r="I54" i="28"/>
  <c r="H54" i="23"/>
  <c r="G80" i="23"/>
  <c r="E80" i="23"/>
  <c r="H81" i="20"/>
  <c r="C81" i="20"/>
  <c r="E104" i="7"/>
  <c r="G104" i="7"/>
  <c r="H90" i="5"/>
  <c r="I55" i="4"/>
  <c r="B116" i="4"/>
  <c r="C55" i="4"/>
  <c r="G96" i="4"/>
  <c r="E96" i="4"/>
  <c r="J55" i="3"/>
  <c r="B136" i="3" s="1"/>
  <c r="B108" i="3"/>
  <c r="J55" i="72"/>
  <c r="I55" i="72" s="1"/>
  <c r="B118" i="72"/>
  <c r="C53" i="55"/>
  <c r="D53" i="55" s="1"/>
  <c r="C53" i="54"/>
  <c r="D93" i="33"/>
  <c r="H52" i="33"/>
  <c r="C53" i="31"/>
  <c r="D53" i="31" s="1"/>
  <c r="E5" i="25"/>
  <c r="G5" i="25" s="1"/>
  <c r="H5" i="25" s="1"/>
  <c r="K5" i="25" s="1"/>
  <c r="L5" i="25" s="1"/>
  <c r="S35" i="25" s="1"/>
  <c r="H53" i="25"/>
  <c r="G71" i="10"/>
  <c r="E71" i="10"/>
  <c r="H53" i="19"/>
  <c r="E65" i="19" s="1"/>
  <c r="G65" i="19" s="1"/>
  <c r="H65" i="19" s="1"/>
  <c r="E5" i="19"/>
  <c r="G5" i="19" s="1"/>
  <c r="H5" i="19" s="1"/>
  <c r="K5" i="19" s="1"/>
  <c r="L5" i="19" s="1"/>
  <c r="S35" i="19" s="1"/>
  <c r="U35" i="19" s="1"/>
  <c r="H78" i="4"/>
  <c r="C78" i="4"/>
  <c r="H54" i="5"/>
  <c r="H55" i="5" s="1"/>
  <c r="E65" i="5"/>
  <c r="G65" i="5" s="1"/>
  <c r="H65" i="5" s="1"/>
  <c r="H54" i="3"/>
  <c r="E65" i="3"/>
  <c r="H54" i="4"/>
  <c r="E83" i="4" s="1"/>
  <c r="G83" i="4" s="1"/>
  <c r="H83" i="4" s="1"/>
  <c r="C54" i="46"/>
  <c r="D54" i="46" s="1"/>
  <c r="C53" i="40"/>
  <c r="D53" i="40" s="1"/>
  <c r="C54" i="39"/>
  <c r="D54" i="39" s="1"/>
  <c r="C53" i="24"/>
  <c r="D53" i="24" s="1"/>
  <c r="C53" i="14"/>
  <c r="D53" i="14" s="1"/>
  <c r="C53" i="13"/>
  <c r="D53" i="13" s="1"/>
  <c r="C54" i="12"/>
  <c r="D54" i="12" s="1"/>
  <c r="C55" i="82"/>
  <c r="D55" i="82" s="1"/>
  <c r="E78" i="16"/>
  <c r="G78" i="16" s="1"/>
  <c r="H78" i="16" s="1"/>
  <c r="E79" i="16"/>
  <c r="G79" i="16" s="1"/>
  <c r="H79" i="16" s="1"/>
  <c r="E76" i="16"/>
  <c r="G76" i="16" s="1"/>
  <c r="H76" i="16" s="1"/>
  <c r="E77" i="16"/>
  <c r="G77" i="16" s="1"/>
  <c r="H77" i="16" s="1"/>
  <c r="E75" i="16"/>
  <c r="G75" i="16" s="1"/>
  <c r="H75" i="16" s="1"/>
  <c r="E72" i="46"/>
  <c r="G72" i="46" s="1"/>
  <c r="H72" i="46" s="1"/>
  <c r="E75" i="46"/>
  <c r="G75" i="46" s="1"/>
  <c r="H75" i="46" s="1"/>
  <c r="E74" i="46"/>
  <c r="G74" i="46" s="1"/>
  <c r="H74" i="46" s="1"/>
  <c r="E70" i="46"/>
  <c r="G70" i="46" s="1"/>
  <c r="H70" i="46" s="1"/>
  <c r="E73" i="46"/>
  <c r="G73" i="46" s="1"/>
  <c r="H73" i="46" s="1"/>
  <c r="E71" i="46"/>
  <c r="G71" i="46" s="1"/>
  <c r="H71" i="46" s="1"/>
  <c r="E69" i="46"/>
  <c r="G69" i="46" s="1"/>
  <c r="H69" i="46" s="1"/>
  <c r="E67" i="46"/>
  <c r="G67" i="46" s="1"/>
  <c r="H67" i="46" s="1"/>
  <c r="E68" i="46"/>
  <c r="G68" i="46" s="1"/>
  <c r="H68" i="46" s="1"/>
  <c r="H53" i="70"/>
  <c r="C53" i="48"/>
  <c r="D53" i="48" s="1"/>
  <c r="E5" i="70"/>
  <c r="G5" i="70" s="1"/>
  <c r="H5" i="70" s="1"/>
  <c r="K5" i="70" s="1"/>
  <c r="L5" i="70" s="1"/>
  <c r="S35" i="70" s="1"/>
  <c r="I54" i="70"/>
  <c r="C54" i="62"/>
  <c r="D54" i="62" s="1"/>
  <c r="I54" i="72"/>
  <c r="E72" i="62"/>
  <c r="G72" i="62" s="1"/>
  <c r="H72" i="62" s="1"/>
  <c r="E69" i="62"/>
  <c r="G69" i="62" s="1"/>
  <c r="H69" i="62" s="1"/>
  <c r="E70" i="62"/>
  <c r="G70" i="62" s="1"/>
  <c r="H70" i="62" s="1"/>
  <c r="E73" i="62"/>
  <c r="G73" i="62" s="1"/>
  <c r="H73" i="62" s="1"/>
  <c r="E79" i="62"/>
  <c r="G79" i="62" s="1"/>
  <c r="H79" i="62" s="1"/>
  <c r="E78" i="62"/>
  <c r="G78" i="62" s="1"/>
  <c r="H78" i="62" s="1"/>
  <c r="E75" i="62"/>
  <c r="G75" i="62" s="1"/>
  <c r="H75" i="62" s="1"/>
  <c r="E74" i="62"/>
  <c r="G74" i="62" s="1"/>
  <c r="H74" i="62" s="1"/>
  <c r="E77" i="62"/>
  <c r="G77" i="62" s="1"/>
  <c r="H77" i="62" s="1"/>
  <c r="E80" i="62"/>
  <c r="G80" i="62" s="1"/>
  <c r="H80" i="62" s="1"/>
  <c r="E76" i="62"/>
  <c r="G76" i="62" s="1"/>
  <c r="H76" i="62" s="1"/>
  <c r="E68" i="62"/>
  <c r="G68" i="62" s="1"/>
  <c r="H68" i="62" s="1"/>
  <c r="E71" i="62"/>
  <c r="G71" i="62" s="1"/>
  <c r="H71" i="62" s="1"/>
  <c r="E67" i="62"/>
  <c r="G67" i="62" s="1"/>
  <c r="H67" i="62" s="1"/>
  <c r="E65" i="57"/>
  <c r="G65" i="57" s="1"/>
  <c r="H65" i="57" s="1"/>
  <c r="H54" i="57"/>
  <c r="C53" i="47"/>
  <c r="E70" i="41"/>
  <c r="G70" i="41" s="1"/>
  <c r="H70" i="41" s="1"/>
  <c r="E73" i="41"/>
  <c r="G73" i="41" s="1"/>
  <c r="H73" i="41" s="1"/>
  <c r="E71" i="41"/>
  <c r="G71" i="41" s="1"/>
  <c r="H71" i="41" s="1"/>
  <c r="E74" i="41"/>
  <c r="G74" i="41" s="1"/>
  <c r="H74" i="41" s="1"/>
  <c r="E69" i="41"/>
  <c r="G69" i="41" s="1"/>
  <c r="H69" i="41" s="1"/>
  <c r="E72" i="41"/>
  <c r="G72" i="41" s="1"/>
  <c r="H72" i="41" s="1"/>
  <c r="E67" i="41"/>
  <c r="G67" i="41" s="1"/>
  <c r="H67" i="41" s="1"/>
  <c r="C54" i="41"/>
  <c r="D54" i="41" s="1"/>
  <c r="E6" i="24"/>
  <c r="G6" i="24" s="1"/>
  <c r="H6" i="24" s="1"/>
  <c r="K6" i="24" s="1"/>
  <c r="L6" i="24" s="1"/>
  <c r="E9" i="24"/>
  <c r="G9" i="24" s="1"/>
  <c r="H9" i="24" s="1"/>
  <c r="K9" i="24" s="1"/>
  <c r="L9" i="24" s="1"/>
  <c r="E12" i="24"/>
  <c r="G12" i="24" s="1"/>
  <c r="H12" i="24" s="1"/>
  <c r="K12" i="24" s="1"/>
  <c r="L12" i="24" s="1"/>
  <c r="E7" i="24"/>
  <c r="G7" i="24" s="1"/>
  <c r="H7" i="24" s="1"/>
  <c r="K7" i="24" s="1"/>
  <c r="L7" i="24" s="1"/>
  <c r="E10" i="24"/>
  <c r="G10" i="24" s="1"/>
  <c r="H10" i="24" s="1"/>
  <c r="K10" i="24" s="1"/>
  <c r="L10" i="24" s="1"/>
  <c r="I54" i="69"/>
  <c r="J55" i="69"/>
  <c r="I55" i="69" s="1"/>
  <c r="I54" i="61"/>
  <c r="J55" i="61"/>
  <c r="I55" i="61" s="1"/>
  <c r="E77" i="61"/>
  <c r="G77" i="61" s="1"/>
  <c r="H77" i="61" s="1"/>
  <c r="E70" i="61"/>
  <c r="G70" i="61" s="1"/>
  <c r="H70" i="61" s="1"/>
  <c r="E75" i="61"/>
  <c r="G75" i="61" s="1"/>
  <c r="H75" i="61" s="1"/>
  <c r="E76" i="61"/>
  <c r="G76" i="61" s="1"/>
  <c r="H76" i="61" s="1"/>
  <c r="E69" i="61"/>
  <c r="G69" i="61" s="1"/>
  <c r="H69" i="61" s="1"/>
  <c r="E67" i="61"/>
  <c r="G67" i="61" s="1"/>
  <c r="H67" i="61" s="1"/>
  <c r="E74" i="61"/>
  <c r="G74" i="61" s="1"/>
  <c r="H74" i="61" s="1"/>
  <c r="E71" i="61"/>
  <c r="G71" i="61" s="1"/>
  <c r="H71" i="61" s="1"/>
  <c r="E72" i="61"/>
  <c r="G72" i="61" s="1"/>
  <c r="H72" i="61" s="1"/>
  <c r="C54" i="61"/>
  <c r="D54" i="61" s="1"/>
  <c r="E78" i="61"/>
  <c r="G78" i="61" s="1"/>
  <c r="H78" i="61" s="1"/>
  <c r="E73" i="61"/>
  <c r="G73" i="61" s="1"/>
  <c r="H73" i="61" s="1"/>
  <c r="E68" i="61"/>
  <c r="G68" i="61" s="1"/>
  <c r="H68" i="61" s="1"/>
  <c r="I54" i="57"/>
  <c r="E13" i="24"/>
  <c r="G13" i="24" s="1"/>
  <c r="H13" i="24" s="1"/>
  <c r="K13" i="24" s="1"/>
  <c r="L13" i="24" s="1"/>
  <c r="E85" i="4"/>
  <c r="G85" i="4" s="1"/>
  <c r="H85" i="4" s="1"/>
  <c r="E89" i="4"/>
  <c r="G89" i="4" s="1"/>
  <c r="H89" i="4" s="1"/>
  <c r="E90" i="4"/>
  <c r="G90" i="4" s="1"/>
  <c r="H90" i="4" s="1"/>
  <c r="C53" i="78"/>
  <c r="D53" i="78" s="1"/>
  <c r="E8" i="24"/>
  <c r="G8" i="24" s="1"/>
  <c r="H8" i="24" s="1"/>
  <c r="K8" i="24" s="1"/>
  <c r="L8" i="24" s="1"/>
  <c r="E11" i="24"/>
  <c r="G11" i="24" s="1"/>
  <c r="H11" i="24" s="1"/>
  <c r="K11" i="24" s="1"/>
  <c r="L11" i="24" s="1"/>
  <c r="E84" i="4"/>
  <c r="G84" i="4" s="1"/>
  <c r="H84" i="4" s="1"/>
  <c r="E86" i="4"/>
  <c r="G86" i="4" s="1"/>
  <c r="H86" i="4" s="1"/>
  <c r="E87" i="4"/>
  <c r="G87" i="4" s="1"/>
  <c r="H87" i="4" s="1"/>
  <c r="E5" i="61"/>
  <c r="G5" i="61" s="1"/>
  <c r="H5" i="61" s="1"/>
  <c r="K5" i="61" s="1"/>
  <c r="L5" i="61" s="1"/>
  <c r="S35" i="61" s="1"/>
  <c r="H53" i="61"/>
  <c r="E68" i="57"/>
  <c r="G68" i="57" s="1"/>
  <c r="H68" i="57" s="1"/>
  <c r="E76" i="57"/>
  <c r="G76" i="57" s="1"/>
  <c r="H76" i="57" s="1"/>
  <c r="C54" i="57"/>
  <c r="E83" i="57"/>
  <c r="G83" i="57" s="1"/>
  <c r="H83" i="57" s="1"/>
  <c r="E81" i="57"/>
  <c r="G81" i="57" s="1"/>
  <c r="H81" i="57" s="1"/>
  <c r="E80" i="57"/>
  <c r="G80" i="57" s="1"/>
  <c r="H80" i="57" s="1"/>
  <c r="E84" i="57"/>
  <c r="G84" i="57" s="1"/>
  <c r="H84" i="57" s="1"/>
  <c r="E85" i="57"/>
  <c r="G85" i="57" s="1"/>
  <c r="H85" i="57" s="1"/>
  <c r="E82" i="57"/>
  <c r="G82" i="57" s="1"/>
  <c r="H82" i="57" s="1"/>
  <c r="E79" i="57"/>
  <c r="G79" i="57" s="1"/>
  <c r="H79" i="57" s="1"/>
  <c r="E77" i="57"/>
  <c r="G77" i="57" s="1"/>
  <c r="H77" i="57" s="1"/>
  <c r="E74" i="57"/>
  <c r="G74" i="57" s="1"/>
  <c r="H74" i="57" s="1"/>
  <c r="E73" i="57"/>
  <c r="G73" i="57" s="1"/>
  <c r="H73" i="57" s="1"/>
  <c r="E72" i="57"/>
  <c r="G72" i="57" s="1"/>
  <c r="H72" i="57" s="1"/>
  <c r="E71" i="57"/>
  <c r="G71" i="57" s="1"/>
  <c r="H71" i="57" s="1"/>
  <c r="E70" i="57"/>
  <c r="G70" i="57" s="1"/>
  <c r="H70" i="57" s="1"/>
  <c r="E69" i="57"/>
  <c r="G69" i="57" s="1"/>
  <c r="H69" i="57" s="1"/>
  <c r="E67" i="57"/>
  <c r="G67" i="57" s="1"/>
  <c r="H67" i="57" s="1"/>
  <c r="E66" i="57"/>
  <c r="G66" i="57" s="1"/>
  <c r="H66" i="57" s="1"/>
  <c r="E78" i="57"/>
  <c r="G78" i="57" s="1"/>
  <c r="H78" i="57" s="1"/>
  <c r="E75" i="57"/>
  <c r="G75" i="57" s="1"/>
  <c r="H75" i="57" s="1"/>
  <c r="G65" i="41"/>
  <c r="H65" i="41" s="1"/>
  <c r="H54" i="41"/>
  <c r="E81" i="41" s="1"/>
  <c r="G81" i="41" s="1"/>
  <c r="H81" i="41" s="1"/>
  <c r="J55" i="41"/>
  <c r="I55" i="41" s="1"/>
  <c r="I54" i="41"/>
  <c r="E65" i="29"/>
  <c r="G65" i="29" s="1"/>
  <c r="H65" i="29" s="1"/>
  <c r="H54" i="29"/>
  <c r="E87" i="29" s="1"/>
  <c r="G87" i="29" s="1"/>
  <c r="H87" i="29" s="1"/>
  <c r="J55" i="20"/>
  <c r="B124" i="20" s="1"/>
  <c r="I54" i="20"/>
  <c r="I55" i="77"/>
  <c r="I54" i="71"/>
  <c r="E5" i="71"/>
  <c r="G5" i="71" s="1"/>
  <c r="H5" i="71" s="1"/>
  <c r="K5" i="71" s="1"/>
  <c r="L5" i="71" s="1"/>
  <c r="S35" i="71" s="1"/>
  <c r="H53" i="71"/>
  <c r="C54" i="67"/>
  <c r="D54" i="67" s="1"/>
  <c r="H54" i="26"/>
  <c r="H55" i="26" s="1"/>
  <c r="E88" i="4"/>
  <c r="G88" i="4" s="1"/>
  <c r="H88" i="4" s="1"/>
  <c r="H5" i="3"/>
  <c r="G65" i="3"/>
  <c r="G89" i="3"/>
  <c r="G117" i="3"/>
  <c r="E79" i="59"/>
  <c r="G79" i="59" s="1"/>
  <c r="H79" i="59" s="1"/>
  <c r="E76" i="59"/>
  <c r="G76" i="59" s="1"/>
  <c r="H76" i="59" s="1"/>
  <c r="E74" i="59"/>
  <c r="G74" i="59" s="1"/>
  <c r="H74" i="59" s="1"/>
  <c r="E71" i="59"/>
  <c r="G71" i="59" s="1"/>
  <c r="H71" i="59" s="1"/>
  <c r="E77" i="59"/>
  <c r="G77" i="59" s="1"/>
  <c r="H77" i="59" s="1"/>
  <c r="E72" i="59"/>
  <c r="G72" i="59" s="1"/>
  <c r="H72" i="59" s="1"/>
  <c r="E68" i="59"/>
  <c r="G68" i="59" s="1"/>
  <c r="H68" i="59" s="1"/>
  <c r="E67" i="59"/>
  <c r="G67" i="59" s="1"/>
  <c r="H67" i="59" s="1"/>
  <c r="E70" i="59"/>
  <c r="G70" i="59" s="1"/>
  <c r="H70" i="59" s="1"/>
  <c r="E73" i="59"/>
  <c r="G73" i="59" s="1"/>
  <c r="H73" i="59" s="1"/>
  <c r="E69" i="59"/>
  <c r="G69" i="59" s="1"/>
  <c r="H69" i="59" s="1"/>
  <c r="E75" i="59"/>
  <c r="G75" i="59" s="1"/>
  <c r="H75" i="59" s="1"/>
  <c r="E78" i="59"/>
  <c r="G78" i="59" s="1"/>
  <c r="H78" i="59" s="1"/>
  <c r="E66" i="59"/>
  <c r="G66" i="59" s="1"/>
  <c r="H66" i="59" s="1"/>
  <c r="C54" i="59"/>
  <c r="I54" i="53"/>
  <c r="C53" i="53"/>
  <c r="E70" i="53" s="1"/>
  <c r="G70" i="53" s="1"/>
  <c r="H70" i="53" s="1"/>
  <c r="H54" i="53"/>
  <c r="H55" i="53" s="1"/>
  <c r="J55" i="53"/>
  <c r="I55" i="53" s="1"/>
  <c r="G65" i="53"/>
  <c r="H65" i="53" s="1"/>
  <c r="AB30" i="46"/>
  <c r="G65" i="43"/>
  <c r="H65" i="43" s="1"/>
  <c r="E80" i="34"/>
  <c r="G80" i="34" s="1"/>
  <c r="H80" i="34" s="1"/>
  <c r="E79" i="34"/>
  <c r="G79" i="34" s="1"/>
  <c r="H79" i="34" s="1"/>
  <c r="E77" i="34"/>
  <c r="G77" i="34" s="1"/>
  <c r="H77" i="34" s="1"/>
  <c r="I55" i="23"/>
  <c r="J55" i="8"/>
  <c r="I54" i="8"/>
  <c r="H53" i="72"/>
  <c r="E65" i="72" s="1"/>
  <c r="C54" i="49"/>
  <c r="D54" i="49" s="1"/>
  <c r="E82" i="34"/>
  <c r="G82" i="34" s="1"/>
  <c r="H82" i="34" s="1"/>
  <c r="H55" i="34"/>
  <c r="B74" i="34" s="1"/>
  <c r="E78" i="34"/>
  <c r="G78" i="34" s="1"/>
  <c r="H78" i="34" s="1"/>
  <c r="I54" i="26"/>
  <c r="J55" i="26"/>
  <c r="I55" i="26" s="1"/>
  <c r="C54" i="15"/>
  <c r="D54" i="15" s="1"/>
  <c r="E73" i="15"/>
  <c r="G73" i="15" s="1"/>
  <c r="H73" i="15" s="1"/>
  <c r="E81" i="15"/>
  <c r="G81" i="15" s="1"/>
  <c r="H81" i="15" s="1"/>
  <c r="E89" i="15"/>
  <c r="G89" i="15" s="1"/>
  <c r="H89" i="15" s="1"/>
  <c r="E68" i="15"/>
  <c r="G68" i="15" s="1"/>
  <c r="H68" i="15" s="1"/>
  <c r="E76" i="15"/>
  <c r="G76" i="15" s="1"/>
  <c r="H76" i="15" s="1"/>
  <c r="E84" i="15"/>
  <c r="G84" i="15" s="1"/>
  <c r="H84" i="15" s="1"/>
  <c r="E85" i="15"/>
  <c r="G85" i="15" s="1"/>
  <c r="H85" i="15" s="1"/>
  <c r="E71" i="15"/>
  <c r="G71" i="15" s="1"/>
  <c r="H71" i="15" s="1"/>
  <c r="E79" i="15"/>
  <c r="G79" i="15" s="1"/>
  <c r="H79" i="15" s="1"/>
  <c r="E87" i="15"/>
  <c r="G87" i="15" s="1"/>
  <c r="H87" i="15" s="1"/>
  <c r="E66" i="15"/>
  <c r="G66" i="15" s="1"/>
  <c r="H66" i="15" s="1"/>
  <c r="E74" i="15"/>
  <c r="G74" i="15" s="1"/>
  <c r="H74" i="15" s="1"/>
  <c r="E82" i="15"/>
  <c r="G82" i="15" s="1"/>
  <c r="H82" i="15" s="1"/>
  <c r="E69" i="15"/>
  <c r="G69" i="15" s="1"/>
  <c r="H69" i="15" s="1"/>
  <c r="E77" i="15"/>
  <c r="G77" i="15" s="1"/>
  <c r="H77" i="15" s="1"/>
  <c r="E67" i="15"/>
  <c r="G67" i="15" s="1"/>
  <c r="H67" i="15" s="1"/>
  <c r="E75" i="15"/>
  <c r="G75" i="15" s="1"/>
  <c r="H75" i="15" s="1"/>
  <c r="E83" i="15"/>
  <c r="G83" i="15" s="1"/>
  <c r="H83" i="15" s="1"/>
  <c r="E72" i="15"/>
  <c r="G72" i="15" s="1"/>
  <c r="H72" i="15" s="1"/>
  <c r="E80" i="15"/>
  <c r="G80" i="15" s="1"/>
  <c r="H80" i="15" s="1"/>
  <c r="E88" i="15"/>
  <c r="G88" i="15" s="1"/>
  <c r="H88" i="15" s="1"/>
  <c r="E70" i="15"/>
  <c r="G70" i="15" s="1"/>
  <c r="H70" i="15" s="1"/>
  <c r="E78" i="15"/>
  <c r="G78" i="15" s="1"/>
  <c r="H78" i="15" s="1"/>
  <c r="E86" i="15"/>
  <c r="G86" i="15" s="1"/>
  <c r="H86" i="15" s="1"/>
  <c r="E77" i="56"/>
  <c r="G77" i="56" s="1"/>
  <c r="H77" i="56" s="1"/>
  <c r="E76" i="56"/>
  <c r="G76" i="56" s="1"/>
  <c r="H76" i="56" s="1"/>
  <c r="E74" i="56"/>
  <c r="G74" i="56" s="1"/>
  <c r="H74" i="56" s="1"/>
  <c r="E67" i="56"/>
  <c r="G67" i="56" s="1"/>
  <c r="H67" i="56" s="1"/>
  <c r="E71" i="56"/>
  <c r="G71" i="56" s="1"/>
  <c r="H71" i="56" s="1"/>
  <c r="E70" i="56"/>
  <c r="G70" i="56" s="1"/>
  <c r="H70" i="56" s="1"/>
  <c r="E69" i="56"/>
  <c r="G69" i="56" s="1"/>
  <c r="H69" i="56" s="1"/>
  <c r="E72" i="56"/>
  <c r="G72" i="56" s="1"/>
  <c r="H72" i="56" s="1"/>
  <c r="E73" i="56"/>
  <c r="G73" i="56" s="1"/>
  <c r="H73" i="56" s="1"/>
  <c r="E75" i="56"/>
  <c r="G75" i="56" s="1"/>
  <c r="H75" i="56" s="1"/>
  <c r="E68" i="56"/>
  <c r="G68" i="56" s="1"/>
  <c r="H68" i="56" s="1"/>
  <c r="C54" i="56"/>
  <c r="D54" i="56" s="1"/>
  <c r="G65" i="37"/>
  <c r="H65" i="37" s="1"/>
  <c r="H54" i="37"/>
  <c r="H55" i="37" s="1"/>
  <c r="E77" i="49"/>
  <c r="G77" i="49" s="1"/>
  <c r="H77" i="49" s="1"/>
  <c r="E73" i="49"/>
  <c r="G73" i="49" s="1"/>
  <c r="H73" i="49" s="1"/>
  <c r="E68" i="49"/>
  <c r="G68" i="49" s="1"/>
  <c r="H68" i="49" s="1"/>
  <c r="E67" i="49"/>
  <c r="G67" i="49" s="1"/>
  <c r="H67" i="49" s="1"/>
  <c r="E74" i="49"/>
  <c r="G74" i="49" s="1"/>
  <c r="H74" i="49" s="1"/>
  <c r="E70" i="49"/>
  <c r="G70" i="49" s="1"/>
  <c r="H70" i="49" s="1"/>
  <c r="E75" i="49"/>
  <c r="G75" i="49" s="1"/>
  <c r="H75" i="49" s="1"/>
  <c r="E76" i="49"/>
  <c r="G76" i="49" s="1"/>
  <c r="H76" i="49" s="1"/>
  <c r="E69" i="49"/>
  <c r="G69" i="49" s="1"/>
  <c r="H69" i="49" s="1"/>
  <c r="E71" i="49"/>
  <c r="G71" i="49" s="1"/>
  <c r="H71" i="49" s="1"/>
  <c r="E72" i="49"/>
  <c r="G72" i="49" s="1"/>
  <c r="H72" i="49" s="1"/>
  <c r="E66" i="49"/>
  <c r="G66" i="49" s="1"/>
  <c r="H66" i="49" s="1"/>
  <c r="E75" i="44"/>
  <c r="G75" i="44" s="1"/>
  <c r="H75" i="44" s="1"/>
  <c r="E76" i="44"/>
  <c r="G76" i="44" s="1"/>
  <c r="H76" i="44" s="1"/>
  <c r="E78" i="44"/>
  <c r="G78" i="44" s="1"/>
  <c r="H78" i="44" s="1"/>
  <c r="E77" i="44"/>
  <c r="G77" i="44" s="1"/>
  <c r="H77" i="44" s="1"/>
  <c r="E70" i="44"/>
  <c r="G70" i="44" s="1"/>
  <c r="H70" i="44" s="1"/>
  <c r="E69" i="44"/>
  <c r="G69" i="44" s="1"/>
  <c r="H69" i="44" s="1"/>
  <c r="E79" i="44"/>
  <c r="G79" i="44" s="1"/>
  <c r="H79" i="44" s="1"/>
  <c r="E73" i="44"/>
  <c r="G73" i="44" s="1"/>
  <c r="H73" i="44" s="1"/>
  <c r="E68" i="44"/>
  <c r="G68" i="44" s="1"/>
  <c r="H68" i="44" s="1"/>
  <c r="E67" i="44"/>
  <c r="G67" i="44" s="1"/>
  <c r="H67" i="44" s="1"/>
  <c r="E66" i="44"/>
  <c r="G66" i="44" s="1"/>
  <c r="H66" i="44" s="1"/>
  <c r="E80" i="44"/>
  <c r="G80" i="44" s="1"/>
  <c r="H80" i="44" s="1"/>
  <c r="E74" i="44"/>
  <c r="G74" i="44" s="1"/>
  <c r="H74" i="44" s="1"/>
  <c r="E71" i="44"/>
  <c r="G71" i="44" s="1"/>
  <c r="H71" i="44" s="1"/>
  <c r="E72" i="44"/>
  <c r="G72" i="44" s="1"/>
  <c r="H72" i="44" s="1"/>
  <c r="C54" i="44"/>
  <c r="D54" i="44" s="1"/>
  <c r="H54" i="43"/>
  <c r="E84" i="43" s="1"/>
  <c r="G84" i="43" s="1"/>
  <c r="H84" i="43" s="1"/>
  <c r="S34" i="42"/>
  <c r="C54" i="21"/>
  <c r="D54" i="21" s="1"/>
  <c r="E68" i="21"/>
  <c r="G68" i="21" s="1"/>
  <c r="H68" i="21" s="1"/>
  <c r="E79" i="21"/>
  <c r="G79" i="21" s="1"/>
  <c r="H79" i="21" s="1"/>
  <c r="E78" i="21"/>
  <c r="G78" i="21" s="1"/>
  <c r="H78" i="21" s="1"/>
  <c r="E80" i="21"/>
  <c r="G80" i="21" s="1"/>
  <c r="H80" i="21" s="1"/>
  <c r="E66" i="21"/>
  <c r="G66" i="21" s="1"/>
  <c r="H66" i="21" s="1"/>
  <c r="E67" i="21"/>
  <c r="G67" i="21" s="1"/>
  <c r="H67" i="21" s="1"/>
  <c r="E70" i="21"/>
  <c r="G70" i="21" s="1"/>
  <c r="H70" i="21" s="1"/>
  <c r="E73" i="21"/>
  <c r="G73" i="21" s="1"/>
  <c r="H73" i="21" s="1"/>
  <c r="E77" i="21"/>
  <c r="G77" i="21" s="1"/>
  <c r="H77" i="21" s="1"/>
  <c r="E69" i="21"/>
  <c r="G69" i="21" s="1"/>
  <c r="H69" i="21" s="1"/>
  <c r="E72" i="21"/>
  <c r="G72" i="21" s="1"/>
  <c r="H72" i="21" s="1"/>
  <c r="E71" i="21"/>
  <c r="G71" i="21" s="1"/>
  <c r="H71" i="21" s="1"/>
  <c r="E74" i="21"/>
  <c r="G74" i="21" s="1"/>
  <c r="H74" i="21" s="1"/>
  <c r="E76" i="21"/>
  <c r="G76" i="21" s="1"/>
  <c r="H76" i="21" s="1"/>
  <c r="E75" i="21"/>
  <c r="G75" i="21" s="1"/>
  <c r="H75" i="21" s="1"/>
  <c r="H54" i="20"/>
  <c r="E65" i="20"/>
  <c r="G65" i="20" s="1"/>
  <c r="H65" i="20" s="1"/>
  <c r="H54" i="18"/>
  <c r="E90" i="18" s="1"/>
  <c r="I54" i="18"/>
  <c r="J55" i="18"/>
  <c r="I55" i="18" s="1"/>
  <c r="E87" i="17"/>
  <c r="G87" i="17" s="1"/>
  <c r="H87" i="17" s="1"/>
  <c r="E88" i="17"/>
  <c r="G88" i="17" s="1"/>
  <c r="H88" i="17" s="1"/>
  <c r="E66" i="17"/>
  <c r="G66" i="17" s="1"/>
  <c r="H66" i="17" s="1"/>
  <c r="E82" i="17"/>
  <c r="G82" i="17" s="1"/>
  <c r="H82" i="17" s="1"/>
  <c r="E83" i="17"/>
  <c r="G83" i="17" s="1"/>
  <c r="H83" i="17" s="1"/>
  <c r="E78" i="17"/>
  <c r="G78" i="17" s="1"/>
  <c r="H78" i="17" s="1"/>
  <c r="E86" i="17"/>
  <c r="G86" i="17" s="1"/>
  <c r="H86" i="17" s="1"/>
  <c r="E81" i="17"/>
  <c r="G81" i="17" s="1"/>
  <c r="H81" i="17" s="1"/>
  <c r="E76" i="17"/>
  <c r="G76" i="17" s="1"/>
  <c r="H76" i="17" s="1"/>
  <c r="E69" i="17"/>
  <c r="G69" i="17" s="1"/>
  <c r="H69" i="17" s="1"/>
  <c r="E79" i="17"/>
  <c r="G79" i="17" s="1"/>
  <c r="H79" i="17" s="1"/>
  <c r="E75" i="17"/>
  <c r="G75" i="17" s="1"/>
  <c r="H75" i="17" s="1"/>
  <c r="E70" i="17"/>
  <c r="G70" i="17" s="1"/>
  <c r="H70" i="17" s="1"/>
  <c r="E68" i="17"/>
  <c r="G68" i="17" s="1"/>
  <c r="H68" i="17" s="1"/>
  <c r="E84" i="17"/>
  <c r="G84" i="17" s="1"/>
  <c r="H84" i="17" s="1"/>
  <c r="E77" i="17"/>
  <c r="G77" i="17" s="1"/>
  <c r="H77" i="17" s="1"/>
  <c r="E71" i="17"/>
  <c r="G71" i="17" s="1"/>
  <c r="H71" i="17" s="1"/>
  <c r="E73" i="17"/>
  <c r="G73" i="17" s="1"/>
  <c r="H73" i="17" s="1"/>
  <c r="E74" i="17"/>
  <c r="G74" i="17" s="1"/>
  <c r="H74" i="17" s="1"/>
  <c r="E85" i="17"/>
  <c r="G85" i="17" s="1"/>
  <c r="H85" i="17" s="1"/>
  <c r="C54" i="16"/>
  <c r="D54" i="16" s="1"/>
  <c r="E72" i="16"/>
  <c r="G72" i="16" s="1"/>
  <c r="H72" i="16" s="1"/>
  <c r="E68" i="16"/>
  <c r="G68" i="16" s="1"/>
  <c r="H68" i="16" s="1"/>
  <c r="E71" i="16"/>
  <c r="G71" i="16" s="1"/>
  <c r="H71" i="16" s="1"/>
  <c r="G66" i="16"/>
  <c r="H66" i="16" s="1"/>
  <c r="E74" i="16"/>
  <c r="G74" i="16" s="1"/>
  <c r="H74" i="16" s="1"/>
  <c r="E69" i="16"/>
  <c r="G69" i="16" s="1"/>
  <c r="H69" i="16" s="1"/>
  <c r="I54" i="3"/>
  <c r="E11" i="40"/>
  <c r="G11" i="40" s="1"/>
  <c r="H11" i="40" s="1"/>
  <c r="K11" i="40" s="1"/>
  <c r="L11" i="40" s="1"/>
  <c r="E7" i="40"/>
  <c r="G7" i="40" s="1"/>
  <c r="H7" i="40" s="1"/>
  <c r="K7" i="40" s="1"/>
  <c r="L7" i="40" s="1"/>
  <c r="E12" i="40"/>
  <c r="G12" i="40" s="1"/>
  <c r="H12" i="40" s="1"/>
  <c r="K12" i="40" s="1"/>
  <c r="L12" i="40" s="1"/>
  <c r="E8" i="40"/>
  <c r="G8" i="40" s="1"/>
  <c r="H8" i="40" s="1"/>
  <c r="K8" i="40" s="1"/>
  <c r="L8" i="40" s="1"/>
  <c r="E14" i="40"/>
  <c r="G14" i="40" s="1"/>
  <c r="H14" i="40" s="1"/>
  <c r="K14" i="40" s="1"/>
  <c r="L14" i="40" s="1"/>
  <c r="E10" i="40"/>
  <c r="G10" i="40" s="1"/>
  <c r="H10" i="40" s="1"/>
  <c r="K10" i="40" s="1"/>
  <c r="L10" i="40" s="1"/>
  <c r="E13" i="40"/>
  <c r="G13" i="40" s="1"/>
  <c r="H13" i="40" s="1"/>
  <c r="K13" i="40" s="1"/>
  <c r="L13" i="40" s="1"/>
  <c r="E6" i="40"/>
  <c r="G6" i="40" s="1"/>
  <c r="H6" i="40" s="1"/>
  <c r="K6" i="40" s="1"/>
  <c r="L6" i="40" s="1"/>
  <c r="E9" i="40"/>
  <c r="G9" i="40" s="1"/>
  <c r="H9" i="40" s="1"/>
  <c r="K9" i="40" s="1"/>
  <c r="L9" i="40" s="1"/>
  <c r="J55" i="37"/>
  <c r="I55" i="37" s="1"/>
  <c r="J55" i="29"/>
  <c r="B126" i="29" s="1"/>
  <c r="I54" i="29"/>
  <c r="E94" i="29"/>
  <c r="G94" i="29" s="1"/>
  <c r="H94" i="29" s="1"/>
  <c r="E89" i="29"/>
  <c r="G89" i="29" s="1"/>
  <c r="H89" i="29" s="1"/>
  <c r="E92" i="29"/>
  <c r="G92" i="29" s="1"/>
  <c r="H92" i="29" s="1"/>
  <c r="E88" i="29"/>
  <c r="G88" i="29" s="1"/>
  <c r="H88" i="29" s="1"/>
  <c r="E100" i="29"/>
  <c r="G100" i="29" s="1"/>
  <c r="H100" i="29" s="1"/>
  <c r="E90" i="29"/>
  <c r="G90" i="29" s="1"/>
  <c r="H90" i="29" s="1"/>
  <c r="E97" i="29"/>
  <c r="G97" i="29" s="1"/>
  <c r="H97" i="29" s="1"/>
  <c r="E93" i="29"/>
  <c r="G93" i="29" s="1"/>
  <c r="H93" i="29" s="1"/>
  <c r="E98" i="29"/>
  <c r="G98" i="29" s="1"/>
  <c r="H98" i="29" s="1"/>
  <c r="E96" i="29"/>
  <c r="G96" i="29" s="1"/>
  <c r="H96" i="29" s="1"/>
  <c r="E95" i="29"/>
  <c r="G95" i="29" s="1"/>
  <c r="H95" i="29" s="1"/>
  <c r="E91" i="29"/>
  <c r="G91" i="29" s="1"/>
  <c r="H91" i="29" s="1"/>
  <c r="E99" i="29"/>
  <c r="G99" i="29" s="1"/>
  <c r="H99" i="29" s="1"/>
  <c r="E101" i="29"/>
  <c r="G101" i="29" s="1"/>
  <c r="H101" i="29" s="1"/>
  <c r="C54" i="28"/>
  <c r="E74" i="28"/>
  <c r="G74" i="28" s="1"/>
  <c r="H74" i="28" s="1"/>
  <c r="E78" i="28"/>
  <c r="G78" i="28" s="1"/>
  <c r="H78" i="28" s="1"/>
  <c r="E81" i="28"/>
  <c r="G81" i="28" s="1"/>
  <c r="H81" i="28" s="1"/>
  <c r="E76" i="28"/>
  <c r="G76" i="28" s="1"/>
  <c r="H76" i="28" s="1"/>
  <c r="E79" i="28"/>
  <c r="G79" i="28" s="1"/>
  <c r="H79" i="28" s="1"/>
  <c r="E82" i="28"/>
  <c r="G82" i="28" s="1"/>
  <c r="H82" i="28" s="1"/>
  <c r="E69" i="28"/>
  <c r="G69" i="28" s="1"/>
  <c r="H69" i="28" s="1"/>
  <c r="E72" i="28"/>
  <c r="G72" i="28" s="1"/>
  <c r="H72" i="28" s="1"/>
  <c r="E75" i="28"/>
  <c r="G75" i="28" s="1"/>
  <c r="H75" i="28" s="1"/>
  <c r="E71" i="28"/>
  <c r="G71" i="28" s="1"/>
  <c r="H71" i="28" s="1"/>
  <c r="E70" i="28"/>
  <c r="G70" i="28" s="1"/>
  <c r="H70" i="28" s="1"/>
  <c r="E80" i="28"/>
  <c r="G80" i="28" s="1"/>
  <c r="H80" i="28" s="1"/>
  <c r="E83" i="28"/>
  <c r="G83" i="28" s="1"/>
  <c r="H83" i="28" s="1"/>
  <c r="E68" i="28"/>
  <c r="G68" i="28" s="1"/>
  <c r="H68" i="28" s="1"/>
  <c r="E66" i="28"/>
  <c r="G66" i="28" s="1"/>
  <c r="H66" i="28" s="1"/>
  <c r="E77" i="28"/>
  <c r="G77" i="28" s="1"/>
  <c r="H77" i="28" s="1"/>
  <c r="E67" i="28"/>
  <c r="G67" i="28" s="1"/>
  <c r="H67" i="28" s="1"/>
  <c r="E73" i="28"/>
  <c r="G73" i="28" s="1"/>
  <c r="H73" i="28" s="1"/>
  <c r="J55" i="21"/>
  <c r="I55" i="21" s="1"/>
  <c r="C54" i="18"/>
  <c r="D54" i="18" s="1"/>
  <c r="E71" i="18"/>
  <c r="G71" i="18" s="1"/>
  <c r="H71" i="18" s="1"/>
  <c r="E80" i="18"/>
  <c r="G80" i="18" s="1"/>
  <c r="H80" i="18" s="1"/>
  <c r="E75" i="18"/>
  <c r="G75" i="18" s="1"/>
  <c r="H75" i="18" s="1"/>
  <c r="E76" i="18"/>
  <c r="G76" i="18" s="1"/>
  <c r="H76" i="18" s="1"/>
  <c r="E77" i="18"/>
  <c r="G77" i="18" s="1"/>
  <c r="H77" i="18" s="1"/>
  <c r="E70" i="18"/>
  <c r="G70" i="18" s="1"/>
  <c r="H70" i="18" s="1"/>
  <c r="E66" i="18"/>
  <c r="G66" i="18" s="1"/>
  <c r="H66" i="18" s="1"/>
  <c r="E74" i="18"/>
  <c r="G74" i="18" s="1"/>
  <c r="H74" i="18" s="1"/>
  <c r="E79" i="18"/>
  <c r="G79" i="18" s="1"/>
  <c r="H79" i="18" s="1"/>
  <c r="E72" i="18"/>
  <c r="G72" i="18" s="1"/>
  <c r="H72" i="18" s="1"/>
  <c r="E68" i="18"/>
  <c r="G68" i="18" s="1"/>
  <c r="H68" i="18" s="1"/>
  <c r="E73" i="18"/>
  <c r="G73" i="18" s="1"/>
  <c r="H73" i="18" s="1"/>
  <c r="E69" i="18"/>
  <c r="G69" i="18" s="1"/>
  <c r="H69" i="18" s="1"/>
  <c r="E78" i="18"/>
  <c r="G78" i="18" s="1"/>
  <c r="H78" i="18" s="1"/>
  <c r="E67" i="18"/>
  <c r="G67" i="18" s="1"/>
  <c r="H67" i="18" s="1"/>
  <c r="C54" i="17"/>
  <c r="D54" i="17" s="1"/>
  <c r="E67" i="17"/>
  <c r="E72" i="17"/>
  <c r="G72" i="17" s="1"/>
  <c r="H72" i="17" s="1"/>
  <c r="E80" i="17"/>
  <c r="G80" i="17" s="1"/>
  <c r="H80" i="17" s="1"/>
  <c r="E73" i="16"/>
  <c r="G73" i="16" s="1"/>
  <c r="H73" i="16" s="1"/>
  <c r="E70" i="16"/>
  <c r="G70" i="16" s="1"/>
  <c r="H70" i="16" s="1"/>
  <c r="E67" i="16"/>
  <c r="G67" i="16" s="1"/>
  <c r="H67" i="16" s="1"/>
  <c r="H54" i="10"/>
  <c r="G65" i="8"/>
  <c r="H65" i="8" s="1"/>
  <c r="H54" i="8"/>
  <c r="E90" i="8" s="1"/>
  <c r="G90" i="8" s="1"/>
  <c r="H90" i="8" s="1"/>
  <c r="C55" i="25"/>
  <c r="D55" i="25" s="1"/>
  <c r="H55" i="17"/>
  <c r="J56" i="23"/>
  <c r="U35" i="5"/>
  <c r="C55" i="5"/>
  <c r="D55" i="5" s="1"/>
  <c r="E5" i="72"/>
  <c r="G5" i="72" s="1"/>
  <c r="H5" i="72" s="1"/>
  <c r="K5" i="72" s="1"/>
  <c r="L5" i="72" s="1"/>
  <c r="S35" i="72" s="1"/>
  <c r="H54" i="59"/>
  <c r="C54" i="73"/>
  <c r="D54" i="73" s="1"/>
  <c r="E70" i="73"/>
  <c r="G70" i="73" s="1"/>
  <c r="H70" i="73" s="1"/>
  <c r="E69" i="73"/>
  <c r="G69" i="73" s="1"/>
  <c r="H69" i="73" s="1"/>
  <c r="E67" i="73"/>
  <c r="G67" i="73" s="1"/>
  <c r="H67" i="73" s="1"/>
  <c r="E68" i="73"/>
  <c r="G68" i="73" s="1"/>
  <c r="H68" i="73" s="1"/>
  <c r="H54" i="62"/>
  <c r="H55" i="62" s="1"/>
  <c r="E72" i="58"/>
  <c r="G72" i="58" s="1"/>
  <c r="H72" i="58" s="1"/>
  <c r="E66" i="58"/>
  <c r="G66" i="58" s="1"/>
  <c r="H66" i="58" s="1"/>
  <c r="E67" i="58"/>
  <c r="G67" i="58" s="1"/>
  <c r="H67" i="58" s="1"/>
  <c r="E76" i="58"/>
  <c r="G76" i="58" s="1"/>
  <c r="H76" i="58" s="1"/>
  <c r="E74" i="58"/>
  <c r="G74" i="58" s="1"/>
  <c r="H74" i="58" s="1"/>
  <c r="E77" i="58"/>
  <c r="G77" i="58" s="1"/>
  <c r="H77" i="58" s="1"/>
  <c r="C54" i="58"/>
  <c r="D54" i="58" s="1"/>
  <c r="E71" i="58"/>
  <c r="G71" i="58" s="1"/>
  <c r="H71" i="58" s="1"/>
  <c r="E78" i="58"/>
  <c r="G78" i="58" s="1"/>
  <c r="H78" i="58" s="1"/>
  <c r="E70" i="58"/>
  <c r="G70" i="58" s="1"/>
  <c r="H70" i="58" s="1"/>
  <c r="E79" i="58"/>
  <c r="G79" i="58" s="1"/>
  <c r="H79" i="58" s="1"/>
  <c r="E75" i="58"/>
  <c r="G75" i="58" s="1"/>
  <c r="H75" i="58" s="1"/>
  <c r="E73" i="58"/>
  <c r="G73" i="58" s="1"/>
  <c r="H73" i="58" s="1"/>
  <c r="E68" i="58"/>
  <c r="G68" i="58" s="1"/>
  <c r="H68" i="58" s="1"/>
  <c r="E69" i="58"/>
  <c r="G69" i="58" s="1"/>
  <c r="H69" i="58" s="1"/>
  <c r="E80" i="58"/>
  <c r="G80" i="58" s="1"/>
  <c r="H80" i="58" s="1"/>
  <c r="E81" i="58"/>
  <c r="G81" i="58" s="1"/>
  <c r="H81" i="58" s="1"/>
  <c r="I54" i="56"/>
  <c r="J55" i="56"/>
  <c r="I55" i="56" s="1"/>
  <c r="D85" i="56"/>
  <c r="D65" i="56"/>
  <c r="I54" i="58"/>
  <c r="J55" i="58"/>
  <c r="I55" i="58" s="1"/>
  <c r="H52" i="58"/>
  <c r="D88" i="58"/>
  <c r="D65" i="58"/>
  <c r="I54" i="74"/>
  <c r="J55" i="74"/>
  <c r="B131" i="74" s="1"/>
  <c r="D88" i="74"/>
  <c r="D65" i="74"/>
  <c r="H52" i="74"/>
  <c r="D113" i="74"/>
  <c r="H54" i="73"/>
  <c r="H55" i="73" s="1"/>
  <c r="H5" i="73"/>
  <c r="G65" i="73"/>
  <c r="H51" i="56"/>
  <c r="H51" i="74"/>
  <c r="J54" i="47"/>
  <c r="B107" i="47" s="1"/>
  <c r="I53" i="47"/>
  <c r="H52" i="47"/>
  <c r="D89" i="47"/>
  <c r="D65" i="47"/>
  <c r="I54" i="67"/>
  <c r="J55" i="67"/>
  <c r="I55" i="67" s="1"/>
  <c r="E67" i="43"/>
  <c r="G67" i="43" s="1"/>
  <c r="H67" i="43" s="1"/>
  <c r="E70" i="43"/>
  <c r="G70" i="43" s="1"/>
  <c r="H70" i="43" s="1"/>
  <c r="E76" i="43"/>
  <c r="G76" i="43" s="1"/>
  <c r="H76" i="43" s="1"/>
  <c r="E77" i="43"/>
  <c r="G77" i="43" s="1"/>
  <c r="H77" i="43" s="1"/>
  <c r="E72" i="43"/>
  <c r="G72" i="43" s="1"/>
  <c r="H72" i="43" s="1"/>
  <c r="E69" i="43"/>
  <c r="G69" i="43" s="1"/>
  <c r="H69" i="43" s="1"/>
  <c r="E73" i="43"/>
  <c r="G73" i="43" s="1"/>
  <c r="H73" i="43" s="1"/>
  <c r="E74" i="43"/>
  <c r="G74" i="43" s="1"/>
  <c r="H74" i="43" s="1"/>
  <c r="E66" i="43"/>
  <c r="G66" i="43" s="1"/>
  <c r="H66" i="43" s="1"/>
  <c r="E68" i="43"/>
  <c r="G68" i="43" s="1"/>
  <c r="H68" i="43" s="1"/>
  <c r="E71" i="43"/>
  <c r="G71" i="43" s="1"/>
  <c r="H71" i="43" s="1"/>
  <c r="E75" i="43"/>
  <c r="G75" i="43" s="1"/>
  <c r="H75" i="43" s="1"/>
  <c r="C54" i="43"/>
  <c r="D54" i="43" s="1"/>
  <c r="C53" i="32"/>
  <c r="D53" i="32" s="1"/>
  <c r="C55" i="29"/>
  <c r="D55" i="29" s="1"/>
  <c r="C55" i="50"/>
  <c r="E90" i="50"/>
  <c r="G90" i="50" s="1"/>
  <c r="H90" i="50" s="1"/>
  <c r="E91" i="50"/>
  <c r="G91" i="50" s="1"/>
  <c r="H91" i="50" s="1"/>
  <c r="E92" i="50"/>
  <c r="G92" i="50" s="1"/>
  <c r="H92" i="50" s="1"/>
  <c r="E93" i="50"/>
  <c r="G93" i="50" s="1"/>
  <c r="H93" i="50" s="1"/>
  <c r="E94" i="50"/>
  <c r="G94" i="50" s="1"/>
  <c r="H94" i="50" s="1"/>
  <c r="E95" i="50"/>
  <c r="G95" i="50" s="1"/>
  <c r="H95" i="50" s="1"/>
  <c r="E96" i="50"/>
  <c r="G96" i="50" s="1"/>
  <c r="H96" i="50" s="1"/>
  <c r="E97" i="50"/>
  <c r="G97" i="50" s="1"/>
  <c r="H97" i="50" s="1"/>
  <c r="E98" i="50"/>
  <c r="G98" i="50" s="1"/>
  <c r="H98" i="50" s="1"/>
  <c r="E99" i="50"/>
  <c r="G99" i="50" s="1"/>
  <c r="H99" i="50" s="1"/>
  <c r="E100" i="50"/>
  <c r="G100" i="50" s="1"/>
  <c r="H100" i="50" s="1"/>
  <c r="E101" i="50"/>
  <c r="G101" i="50" s="1"/>
  <c r="H101" i="50" s="1"/>
  <c r="E102" i="50"/>
  <c r="G102" i="50" s="1"/>
  <c r="H102" i="50" s="1"/>
  <c r="E103" i="50"/>
  <c r="G103" i="50" s="1"/>
  <c r="H103" i="50" s="1"/>
  <c r="E104" i="50"/>
  <c r="G104" i="50" s="1"/>
  <c r="H104" i="50" s="1"/>
  <c r="I54" i="33"/>
  <c r="J55" i="33"/>
  <c r="I55" i="33" s="1"/>
  <c r="D65" i="33"/>
  <c r="H51" i="33"/>
  <c r="T35" i="32"/>
  <c r="U35" i="32" s="1"/>
  <c r="H55" i="30"/>
  <c r="E76" i="33"/>
  <c r="G76" i="33" s="1"/>
  <c r="H76" i="33" s="1"/>
  <c r="E71" i="33"/>
  <c r="G71" i="33" s="1"/>
  <c r="H71" i="33" s="1"/>
  <c r="E66" i="33"/>
  <c r="G66" i="33" s="1"/>
  <c r="H66" i="33" s="1"/>
  <c r="E72" i="33"/>
  <c r="G72" i="33" s="1"/>
  <c r="H72" i="33" s="1"/>
  <c r="E82" i="33"/>
  <c r="G82" i="33" s="1"/>
  <c r="H82" i="33" s="1"/>
  <c r="E70" i="33"/>
  <c r="G70" i="33" s="1"/>
  <c r="H70" i="33" s="1"/>
  <c r="E67" i="33"/>
  <c r="G67" i="33" s="1"/>
  <c r="H67" i="33" s="1"/>
  <c r="E80" i="33"/>
  <c r="G80" i="33" s="1"/>
  <c r="H80" i="33" s="1"/>
  <c r="E79" i="33"/>
  <c r="G79" i="33" s="1"/>
  <c r="H79" i="33" s="1"/>
  <c r="E69" i="33"/>
  <c r="G69" i="33" s="1"/>
  <c r="H69" i="33" s="1"/>
  <c r="E77" i="33"/>
  <c r="G77" i="33" s="1"/>
  <c r="H77" i="33" s="1"/>
  <c r="E75" i="33"/>
  <c r="G75" i="33" s="1"/>
  <c r="H75" i="33" s="1"/>
  <c r="E74" i="33"/>
  <c r="G74" i="33" s="1"/>
  <c r="H74" i="33" s="1"/>
  <c r="E83" i="33"/>
  <c r="G83" i="33" s="1"/>
  <c r="H83" i="33" s="1"/>
  <c r="E81" i="33"/>
  <c r="G81" i="33" s="1"/>
  <c r="H81" i="33" s="1"/>
  <c r="E78" i="33"/>
  <c r="G78" i="33" s="1"/>
  <c r="H78" i="33" s="1"/>
  <c r="E68" i="33"/>
  <c r="G68" i="33" s="1"/>
  <c r="H68" i="33" s="1"/>
  <c r="E73" i="33"/>
  <c r="G73" i="33" s="1"/>
  <c r="H73" i="33" s="1"/>
  <c r="E84" i="33"/>
  <c r="G84" i="33" s="1"/>
  <c r="H84" i="33" s="1"/>
  <c r="AB30" i="33"/>
  <c r="E91" i="27"/>
  <c r="G91" i="27" s="1"/>
  <c r="H91" i="27" s="1"/>
  <c r="E96" i="27"/>
  <c r="G96" i="27" s="1"/>
  <c r="H96" i="27" s="1"/>
  <c r="E98" i="27"/>
  <c r="G98" i="27" s="1"/>
  <c r="H98" i="27" s="1"/>
  <c r="E89" i="27"/>
  <c r="G89" i="27" s="1"/>
  <c r="H89" i="27" s="1"/>
  <c r="E92" i="27"/>
  <c r="G92" i="27" s="1"/>
  <c r="H92" i="27" s="1"/>
  <c r="E94" i="27"/>
  <c r="G94" i="27" s="1"/>
  <c r="H94" i="27" s="1"/>
  <c r="E97" i="27"/>
  <c r="G97" i="27" s="1"/>
  <c r="H97" i="27" s="1"/>
  <c r="E100" i="27"/>
  <c r="G100" i="27" s="1"/>
  <c r="H100" i="27" s="1"/>
  <c r="E102" i="27"/>
  <c r="G102" i="27" s="1"/>
  <c r="H102" i="27" s="1"/>
  <c r="E90" i="27"/>
  <c r="G90" i="27" s="1"/>
  <c r="H90" i="27" s="1"/>
  <c r="E93" i="27"/>
  <c r="G93" i="27" s="1"/>
  <c r="H93" i="27" s="1"/>
  <c r="E95" i="27"/>
  <c r="G95" i="27" s="1"/>
  <c r="H95" i="27" s="1"/>
  <c r="E99" i="27"/>
  <c r="G99" i="27" s="1"/>
  <c r="H99" i="27" s="1"/>
  <c r="E101" i="27"/>
  <c r="G101" i="27" s="1"/>
  <c r="H101" i="27" s="1"/>
  <c r="C55" i="26"/>
  <c r="D55" i="26" s="1"/>
  <c r="G67" i="20"/>
  <c r="H67" i="20" s="1"/>
  <c r="C55" i="20"/>
  <c r="D55" i="20" s="1"/>
  <c r="E94" i="20"/>
  <c r="G94" i="20" s="1"/>
  <c r="H94" i="20" s="1"/>
  <c r="C54" i="19"/>
  <c r="D54" i="19" s="1"/>
  <c r="E66" i="10"/>
  <c r="G66" i="10" s="1"/>
  <c r="H66" i="10" s="1"/>
  <c r="E65" i="10"/>
  <c r="C55" i="8"/>
  <c r="B113" i="8" s="1"/>
  <c r="E78" i="77"/>
  <c r="G78" i="77" s="1"/>
  <c r="H78" i="77" s="1"/>
  <c r="E77" i="77"/>
  <c r="G77" i="77" s="1"/>
  <c r="H77" i="77" s="1"/>
  <c r="E79" i="77"/>
  <c r="G79" i="77" s="1"/>
  <c r="H79" i="77" s="1"/>
  <c r="E81" i="77"/>
  <c r="G81" i="77" s="1"/>
  <c r="H81" i="77" s="1"/>
  <c r="E80" i="77"/>
  <c r="G80" i="77" s="1"/>
  <c r="H80" i="77" s="1"/>
  <c r="E82" i="77"/>
  <c r="G82" i="77" s="1"/>
  <c r="H82" i="77" s="1"/>
  <c r="AC30" i="77"/>
  <c r="AC25" i="77" s="1"/>
  <c r="I56" i="10"/>
  <c r="E67" i="10"/>
  <c r="G67" i="10" s="1"/>
  <c r="H67" i="10" s="1"/>
  <c r="E69" i="10"/>
  <c r="G69" i="10" s="1"/>
  <c r="H69" i="10" s="1"/>
  <c r="E68" i="10"/>
  <c r="G68" i="10" s="1"/>
  <c r="H68" i="10" s="1"/>
  <c r="I54" i="7"/>
  <c r="H52" i="7"/>
  <c r="D109" i="7"/>
  <c r="J55" i="7"/>
  <c r="B125" i="7" s="1"/>
  <c r="E92" i="7"/>
  <c r="G92" i="7" s="1"/>
  <c r="H92" i="7" s="1"/>
  <c r="E102" i="7"/>
  <c r="G102" i="7" s="1"/>
  <c r="H102" i="7" s="1"/>
  <c r="E101" i="7"/>
  <c r="G101" i="7" s="1"/>
  <c r="H101" i="7" s="1"/>
  <c r="E89" i="7"/>
  <c r="G89" i="7" s="1"/>
  <c r="H89" i="7" s="1"/>
  <c r="E96" i="7"/>
  <c r="G96" i="7" s="1"/>
  <c r="H96" i="7" s="1"/>
  <c r="E95" i="7"/>
  <c r="G95" i="7" s="1"/>
  <c r="H95" i="7" s="1"/>
  <c r="E91" i="7"/>
  <c r="G91" i="7" s="1"/>
  <c r="H91" i="7" s="1"/>
  <c r="E100" i="7"/>
  <c r="G100" i="7" s="1"/>
  <c r="H100" i="7" s="1"/>
  <c r="E99" i="7"/>
  <c r="G99" i="7" s="1"/>
  <c r="H99" i="7" s="1"/>
  <c r="E94" i="7"/>
  <c r="G94" i="7" s="1"/>
  <c r="H94" i="7" s="1"/>
  <c r="E90" i="7"/>
  <c r="G90" i="7" s="1"/>
  <c r="H90" i="7" s="1"/>
  <c r="E97" i="7"/>
  <c r="G97" i="7" s="1"/>
  <c r="H97" i="7" s="1"/>
  <c r="E98" i="7"/>
  <c r="G98" i="7" s="1"/>
  <c r="H98" i="7" s="1"/>
  <c r="E93" i="7"/>
  <c r="G93" i="7" s="1"/>
  <c r="H93" i="7" s="1"/>
  <c r="H51" i="7"/>
  <c r="H53" i="69"/>
  <c r="E65" i="69" s="1"/>
  <c r="G65" i="69" s="1"/>
  <c r="H65" i="69" s="1"/>
  <c r="E5" i="69"/>
  <c r="G5" i="69" s="1"/>
  <c r="H5" i="69" s="1"/>
  <c r="K5" i="69" s="1"/>
  <c r="L5" i="69" s="1"/>
  <c r="S35" i="69" s="1"/>
  <c r="J55" i="25"/>
  <c r="I55" i="25" s="1"/>
  <c r="I54" i="25"/>
  <c r="E98" i="45"/>
  <c r="G98" i="45" s="1"/>
  <c r="H98" i="45" s="1"/>
  <c r="E94" i="45"/>
  <c r="G94" i="45" s="1"/>
  <c r="H94" i="45" s="1"/>
  <c r="E95" i="45"/>
  <c r="G95" i="45" s="1"/>
  <c r="H95" i="45" s="1"/>
  <c r="E93" i="45"/>
  <c r="G93" i="45" s="1"/>
  <c r="H93" i="45" s="1"/>
  <c r="C55" i="45"/>
  <c r="D55" i="45" s="1"/>
  <c r="E99" i="45"/>
  <c r="G99" i="45" s="1"/>
  <c r="H99" i="45" s="1"/>
  <c r="E91" i="45"/>
  <c r="G91" i="45" s="1"/>
  <c r="H91" i="45" s="1"/>
  <c r="E96" i="45"/>
  <c r="G96" i="45" s="1"/>
  <c r="H96" i="45" s="1"/>
  <c r="E103" i="45"/>
  <c r="G103" i="45" s="1"/>
  <c r="H103" i="45" s="1"/>
  <c r="E100" i="45"/>
  <c r="G100" i="45" s="1"/>
  <c r="H100" i="45" s="1"/>
  <c r="E105" i="45"/>
  <c r="G105" i="45" s="1"/>
  <c r="H105" i="45" s="1"/>
  <c r="E92" i="45"/>
  <c r="G92" i="45" s="1"/>
  <c r="H92" i="45" s="1"/>
  <c r="E104" i="45"/>
  <c r="G104" i="45" s="1"/>
  <c r="H104" i="45" s="1"/>
  <c r="E102" i="45"/>
  <c r="G102" i="45" s="1"/>
  <c r="H102" i="45" s="1"/>
  <c r="E69" i="51"/>
  <c r="G69" i="51" s="1"/>
  <c r="H69" i="51" s="1"/>
  <c r="E67" i="51"/>
  <c r="G67" i="51" s="1"/>
  <c r="H67" i="51" s="1"/>
  <c r="E71" i="51"/>
  <c r="G71" i="51" s="1"/>
  <c r="H71" i="51" s="1"/>
  <c r="E65" i="51"/>
  <c r="G65" i="51" s="1"/>
  <c r="H65" i="51" s="1"/>
  <c r="E66" i="51"/>
  <c r="G66" i="51" s="1"/>
  <c r="H66" i="51" s="1"/>
  <c r="E70" i="51"/>
  <c r="G70" i="51" s="1"/>
  <c r="H70" i="51" s="1"/>
  <c r="E73" i="51"/>
  <c r="G73" i="51" s="1"/>
  <c r="H73" i="51" s="1"/>
  <c r="E68" i="51"/>
  <c r="G68" i="51" s="1"/>
  <c r="H68" i="51" s="1"/>
  <c r="E72" i="51"/>
  <c r="G72" i="51" s="1"/>
  <c r="H72" i="51" s="1"/>
  <c r="E75" i="51"/>
  <c r="G75" i="51" s="1"/>
  <c r="H75" i="51" s="1"/>
  <c r="E77" i="51"/>
  <c r="G77" i="51" s="1"/>
  <c r="H77" i="51" s="1"/>
  <c r="E74" i="51"/>
  <c r="G74" i="51" s="1"/>
  <c r="H74" i="51" s="1"/>
  <c r="E76" i="51"/>
  <c r="G76" i="51" s="1"/>
  <c r="H76" i="51" s="1"/>
  <c r="I55" i="51"/>
  <c r="H54" i="51"/>
  <c r="C53" i="60"/>
  <c r="E67" i="60" s="1"/>
  <c r="I54" i="60"/>
  <c r="I55" i="35"/>
  <c r="H54" i="35"/>
  <c r="E66" i="35"/>
  <c r="G66" i="35" s="1"/>
  <c r="H66" i="35" s="1"/>
  <c r="E67" i="35"/>
  <c r="G67" i="35" s="1"/>
  <c r="H67" i="35" s="1"/>
  <c r="E68" i="35"/>
  <c r="G68" i="35" s="1"/>
  <c r="H68" i="35" s="1"/>
  <c r="E69" i="35"/>
  <c r="G69" i="35" s="1"/>
  <c r="H69" i="35" s="1"/>
  <c r="E65" i="35"/>
  <c r="G65" i="35" s="1"/>
  <c r="H65" i="35" s="1"/>
  <c r="AB30" i="35"/>
  <c r="AC30" i="35" s="1"/>
  <c r="AC25" i="35" s="1"/>
  <c r="C55" i="27"/>
  <c r="E6" i="78"/>
  <c r="G6" i="78" s="1"/>
  <c r="H6" i="78" s="1"/>
  <c r="K6" i="78" s="1"/>
  <c r="L6" i="78" s="1"/>
  <c r="E7" i="78"/>
  <c r="G7" i="78" s="1"/>
  <c r="H7" i="78" s="1"/>
  <c r="K7" i="78" s="1"/>
  <c r="L7" i="78" s="1"/>
  <c r="E8" i="78"/>
  <c r="G8" i="78" s="1"/>
  <c r="H8" i="78" s="1"/>
  <c r="K8" i="78" s="1"/>
  <c r="L8" i="78" s="1"/>
  <c r="E9" i="78"/>
  <c r="G9" i="78" s="1"/>
  <c r="H9" i="78" s="1"/>
  <c r="K9" i="78" s="1"/>
  <c r="L9" i="78" s="1"/>
  <c r="E11" i="78"/>
  <c r="G11" i="78" s="1"/>
  <c r="H11" i="78" s="1"/>
  <c r="K11" i="78" s="1"/>
  <c r="L11" i="78" s="1"/>
  <c r="E10" i="78"/>
  <c r="G10" i="78" s="1"/>
  <c r="H10" i="78" s="1"/>
  <c r="K10" i="78" s="1"/>
  <c r="L10" i="78" s="1"/>
  <c r="E13" i="78"/>
  <c r="G13" i="78" s="1"/>
  <c r="H13" i="78" s="1"/>
  <c r="K13" i="78" s="1"/>
  <c r="L13" i="78" s="1"/>
  <c r="E14" i="78"/>
  <c r="G14" i="78" s="1"/>
  <c r="H14" i="78" s="1"/>
  <c r="K14" i="78" s="1"/>
  <c r="L14" i="78" s="1"/>
  <c r="E12" i="78"/>
  <c r="G12" i="78" s="1"/>
  <c r="H12" i="78" s="1"/>
  <c r="K12" i="78" s="1"/>
  <c r="L12" i="78" s="1"/>
  <c r="E11" i="55"/>
  <c r="G11" i="55" s="1"/>
  <c r="H11" i="55" s="1"/>
  <c r="K11" i="55" s="1"/>
  <c r="L11" i="55" s="1"/>
  <c r="E8" i="55"/>
  <c r="G8" i="55" s="1"/>
  <c r="H8" i="55" s="1"/>
  <c r="K8" i="55" s="1"/>
  <c r="L8" i="55" s="1"/>
  <c r="E7" i="55"/>
  <c r="G7" i="55" s="1"/>
  <c r="H7" i="55" s="1"/>
  <c r="K7" i="55" s="1"/>
  <c r="L7" i="55" s="1"/>
  <c r="E9" i="55"/>
  <c r="G9" i="55" s="1"/>
  <c r="H9" i="55" s="1"/>
  <c r="K9" i="55" s="1"/>
  <c r="L9" i="55" s="1"/>
  <c r="E6" i="55"/>
  <c r="G6" i="55" s="1"/>
  <c r="H6" i="55" s="1"/>
  <c r="K6" i="55" s="1"/>
  <c r="L6" i="55" s="1"/>
  <c r="E10" i="55"/>
  <c r="G10" i="55" s="1"/>
  <c r="H10" i="55" s="1"/>
  <c r="K10" i="55" s="1"/>
  <c r="L10" i="55" s="1"/>
  <c r="E14" i="55"/>
  <c r="G14" i="55" s="1"/>
  <c r="H14" i="55" s="1"/>
  <c r="K14" i="55" s="1"/>
  <c r="L14" i="55" s="1"/>
  <c r="E13" i="55"/>
  <c r="G13" i="55" s="1"/>
  <c r="H13" i="55" s="1"/>
  <c r="K13" i="55" s="1"/>
  <c r="L13" i="55" s="1"/>
  <c r="E12" i="55"/>
  <c r="G12" i="55" s="1"/>
  <c r="H12" i="55" s="1"/>
  <c r="K12" i="55" s="1"/>
  <c r="L12" i="55" s="1"/>
  <c r="E12" i="54"/>
  <c r="G12" i="54" s="1"/>
  <c r="H12" i="54" s="1"/>
  <c r="K12" i="54" s="1"/>
  <c r="L12" i="54" s="1"/>
  <c r="E7" i="54"/>
  <c r="G7" i="54" s="1"/>
  <c r="H7" i="54" s="1"/>
  <c r="K7" i="54" s="1"/>
  <c r="L7" i="54" s="1"/>
  <c r="E6" i="54"/>
  <c r="G6" i="54" s="1"/>
  <c r="H6" i="54" s="1"/>
  <c r="K6" i="54" s="1"/>
  <c r="L6" i="54" s="1"/>
  <c r="E10" i="54"/>
  <c r="G10" i="54" s="1"/>
  <c r="H10" i="54" s="1"/>
  <c r="K10" i="54" s="1"/>
  <c r="L10" i="54" s="1"/>
  <c r="E11" i="54"/>
  <c r="G11" i="54" s="1"/>
  <c r="H11" i="54" s="1"/>
  <c r="K11" i="54" s="1"/>
  <c r="L11" i="54" s="1"/>
  <c r="E9" i="54"/>
  <c r="G9" i="54" s="1"/>
  <c r="H9" i="54" s="1"/>
  <c r="K9" i="54" s="1"/>
  <c r="L9" i="54" s="1"/>
  <c r="E8" i="54"/>
  <c r="G8" i="54" s="1"/>
  <c r="H8" i="54" s="1"/>
  <c r="K8" i="54" s="1"/>
  <c r="L8" i="54" s="1"/>
  <c r="G66" i="39"/>
  <c r="H66" i="39" s="1"/>
  <c r="G69" i="39"/>
  <c r="H69" i="39" s="1"/>
  <c r="G68" i="39"/>
  <c r="H68" i="39" s="1"/>
  <c r="G71" i="39"/>
  <c r="H71" i="39" s="1"/>
  <c r="G70" i="39"/>
  <c r="H70" i="39" s="1"/>
  <c r="G67" i="39"/>
  <c r="H67" i="39" s="1"/>
  <c r="E12" i="38"/>
  <c r="G12" i="38" s="1"/>
  <c r="H12" i="38" s="1"/>
  <c r="K12" i="38" s="1"/>
  <c r="L12" i="38" s="1"/>
  <c r="E11" i="38"/>
  <c r="G11" i="38" s="1"/>
  <c r="H11" i="38" s="1"/>
  <c r="K11" i="38" s="1"/>
  <c r="L11" i="38" s="1"/>
  <c r="E9" i="38"/>
  <c r="G9" i="38" s="1"/>
  <c r="H9" i="38" s="1"/>
  <c r="K9" i="38" s="1"/>
  <c r="L9" i="38" s="1"/>
  <c r="E7" i="38"/>
  <c r="G7" i="38" s="1"/>
  <c r="H7" i="38" s="1"/>
  <c r="K7" i="38" s="1"/>
  <c r="L7" i="38" s="1"/>
  <c r="E8" i="38"/>
  <c r="G8" i="38" s="1"/>
  <c r="H8" i="38" s="1"/>
  <c r="K8" i="38" s="1"/>
  <c r="L8" i="38" s="1"/>
  <c r="E10" i="38"/>
  <c r="G10" i="38" s="1"/>
  <c r="H10" i="38" s="1"/>
  <c r="K10" i="38" s="1"/>
  <c r="L10" i="38" s="1"/>
  <c r="E6" i="38"/>
  <c r="G6" i="38" s="1"/>
  <c r="H6" i="38" s="1"/>
  <c r="K6" i="38" s="1"/>
  <c r="L6" i="38" s="1"/>
  <c r="T35" i="31"/>
  <c r="AC25" i="31" s="1"/>
  <c r="E11" i="14"/>
  <c r="G11" i="14" s="1"/>
  <c r="H11" i="14" s="1"/>
  <c r="K11" i="14" s="1"/>
  <c r="L11" i="14" s="1"/>
  <c r="E10" i="14"/>
  <c r="G10" i="14" s="1"/>
  <c r="H10" i="14" s="1"/>
  <c r="K10" i="14" s="1"/>
  <c r="L10" i="14" s="1"/>
  <c r="E7" i="14"/>
  <c r="G7" i="14" s="1"/>
  <c r="H7" i="14" s="1"/>
  <c r="K7" i="14" s="1"/>
  <c r="L7" i="14" s="1"/>
  <c r="E12" i="14"/>
  <c r="G12" i="14" s="1"/>
  <c r="H12" i="14" s="1"/>
  <c r="K12" i="14" s="1"/>
  <c r="L12" i="14" s="1"/>
  <c r="E9" i="14"/>
  <c r="G9" i="14" s="1"/>
  <c r="H9" i="14" s="1"/>
  <c r="K9" i="14" s="1"/>
  <c r="L9" i="14" s="1"/>
  <c r="E8" i="14"/>
  <c r="G8" i="14" s="1"/>
  <c r="H8" i="14" s="1"/>
  <c r="K8" i="14" s="1"/>
  <c r="L8" i="14" s="1"/>
  <c r="E6" i="14"/>
  <c r="G6" i="14" s="1"/>
  <c r="H6" i="14" s="1"/>
  <c r="K6" i="14" s="1"/>
  <c r="L6" i="14" s="1"/>
  <c r="E12" i="13"/>
  <c r="G12" i="13" s="1"/>
  <c r="H12" i="13" s="1"/>
  <c r="K12" i="13" s="1"/>
  <c r="L12" i="13" s="1"/>
  <c r="E13" i="13"/>
  <c r="G13" i="13" s="1"/>
  <c r="H13" i="13" s="1"/>
  <c r="K13" i="13" s="1"/>
  <c r="L13" i="13" s="1"/>
  <c r="E11" i="13"/>
  <c r="G11" i="13" s="1"/>
  <c r="H11" i="13" s="1"/>
  <c r="K11" i="13" s="1"/>
  <c r="L11" i="13" s="1"/>
  <c r="E8" i="13"/>
  <c r="G8" i="13" s="1"/>
  <c r="H8" i="13" s="1"/>
  <c r="K8" i="13" s="1"/>
  <c r="L8" i="13" s="1"/>
  <c r="E6" i="13"/>
  <c r="G6" i="13" s="1"/>
  <c r="H6" i="13" s="1"/>
  <c r="K6" i="13" s="1"/>
  <c r="L6" i="13" s="1"/>
  <c r="E14" i="13"/>
  <c r="G14" i="13" s="1"/>
  <c r="H14" i="13" s="1"/>
  <c r="K14" i="13" s="1"/>
  <c r="L14" i="13" s="1"/>
  <c r="E10" i="13"/>
  <c r="G10" i="13" s="1"/>
  <c r="H10" i="13" s="1"/>
  <c r="K10" i="13" s="1"/>
  <c r="L10" i="13" s="1"/>
  <c r="E9" i="13"/>
  <c r="G9" i="13" s="1"/>
  <c r="H9" i="13" s="1"/>
  <c r="K9" i="13" s="1"/>
  <c r="L9" i="13" s="1"/>
  <c r="E7" i="13"/>
  <c r="G7" i="13" s="1"/>
  <c r="H7" i="13" s="1"/>
  <c r="K7" i="13" s="1"/>
  <c r="L7" i="13" s="1"/>
  <c r="G72" i="12"/>
  <c r="H72" i="12" s="1"/>
  <c r="G66" i="12"/>
  <c r="H66" i="12" s="1"/>
  <c r="G71" i="12"/>
  <c r="H71" i="12" s="1"/>
  <c r="G68" i="12"/>
  <c r="H68" i="12" s="1"/>
  <c r="G69" i="12"/>
  <c r="H69" i="12" s="1"/>
  <c r="G65" i="12"/>
  <c r="H65" i="12" s="1"/>
  <c r="G67" i="12"/>
  <c r="H67" i="12" s="1"/>
  <c r="G70" i="12"/>
  <c r="H70" i="12" s="1"/>
  <c r="C53" i="37"/>
  <c r="E71" i="23"/>
  <c r="G71" i="23" s="1"/>
  <c r="H71" i="23" s="1"/>
  <c r="E69" i="23"/>
  <c r="G69" i="23" s="1"/>
  <c r="H69" i="23" s="1"/>
  <c r="E77" i="23"/>
  <c r="G77" i="23" s="1"/>
  <c r="H77" i="23" s="1"/>
  <c r="E66" i="23"/>
  <c r="G66" i="23" s="1"/>
  <c r="H66" i="23" s="1"/>
  <c r="E74" i="23"/>
  <c r="G74" i="23" s="1"/>
  <c r="H74" i="23" s="1"/>
  <c r="E72" i="23"/>
  <c r="G72" i="23" s="1"/>
  <c r="H72" i="23" s="1"/>
  <c r="E67" i="23"/>
  <c r="G67" i="23" s="1"/>
  <c r="H67" i="23" s="1"/>
  <c r="E75" i="23"/>
  <c r="G75" i="23" s="1"/>
  <c r="H75" i="23" s="1"/>
  <c r="E65" i="23"/>
  <c r="G65" i="23" s="1"/>
  <c r="H65" i="23" s="1"/>
  <c r="E70" i="23"/>
  <c r="G70" i="23" s="1"/>
  <c r="H70" i="23" s="1"/>
  <c r="E78" i="23"/>
  <c r="G78" i="23" s="1"/>
  <c r="H78" i="23" s="1"/>
  <c r="E73" i="23"/>
  <c r="G73" i="23" s="1"/>
  <c r="H73" i="23" s="1"/>
  <c r="E68" i="23"/>
  <c r="G68" i="23" s="1"/>
  <c r="H68" i="23" s="1"/>
  <c r="E76" i="23"/>
  <c r="G76" i="23" s="1"/>
  <c r="H76" i="23" s="1"/>
  <c r="E90" i="20"/>
  <c r="G90" i="20" s="1"/>
  <c r="H90" i="20" s="1"/>
  <c r="E98" i="20"/>
  <c r="G98" i="20" s="1"/>
  <c r="H98" i="20" s="1"/>
  <c r="E93" i="20"/>
  <c r="G93" i="20" s="1"/>
  <c r="H93" i="20" s="1"/>
  <c r="E101" i="20"/>
  <c r="G101" i="20" s="1"/>
  <c r="H101" i="20" s="1"/>
  <c r="E88" i="20"/>
  <c r="G88" i="20" s="1"/>
  <c r="H88" i="20" s="1"/>
  <c r="E96" i="20"/>
  <c r="G96" i="20" s="1"/>
  <c r="H96" i="20" s="1"/>
  <c r="E89" i="20"/>
  <c r="G89" i="20" s="1"/>
  <c r="H89" i="20" s="1"/>
  <c r="E97" i="20"/>
  <c r="G97" i="20" s="1"/>
  <c r="H97" i="20" s="1"/>
  <c r="E92" i="20"/>
  <c r="G92" i="20" s="1"/>
  <c r="H92" i="20" s="1"/>
  <c r="E100" i="20"/>
  <c r="G100" i="20" s="1"/>
  <c r="H100" i="20" s="1"/>
  <c r="E95" i="20"/>
  <c r="G95" i="20" s="1"/>
  <c r="H95" i="20" s="1"/>
  <c r="E91" i="20"/>
  <c r="G91" i="20" s="1"/>
  <c r="H91" i="20" s="1"/>
  <c r="E99" i="20"/>
  <c r="G99" i="20" s="1"/>
  <c r="H99" i="20" s="1"/>
  <c r="E74" i="19"/>
  <c r="G74" i="19" s="1"/>
  <c r="H74" i="19" s="1"/>
  <c r="E70" i="19"/>
  <c r="G70" i="19" s="1"/>
  <c r="H70" i="19" s="1"/>
  <c r="E77" i="19"/>
  <c r="G77" i="19" s="1"/>
  <c r="H77" i="19" s="1"/>
  <c r="E67" i="19"/>
  <c r="G67" i="19" s="1"/>
  <c r="H67" i="19" s="1"/>
  <c r="E68" i="19"/>
  <c r="G68" i="19" s="1"/>
  <c r="H68" i="19" s="1"/>
  <c r="E75" i="19"/>
  <c r="G75" i="19" s="1"/>
  <c r="H75" i="19" s="1"/>
  <c r="E71" i="19"/>
  <c r="G71" i="19" s="1"/>
  <c r="H71" i="19" s="1"/>
  <c r="E72" i="19"/>
  <c r="G72" i="19" s="1"/>
  <c r="H72" i="19" s="1"/>
  <c r="E69" i="19"/>
  <c r="G69" i="19" s="1"/>
  <c r="H69" i="19" s="1"/>
  <c r="E76" i="19"/>
  <c r="G76" i="19" s="1"/>
  <c r="H76" i="19" s="1"/>
  <c r="E73" i="19"/>
  <c r="G73" i="19" s="1"/>
  <c r="H73" i="19" s="1"/>
  <c r="E66" i="19"/>
  <c r="G66" i="19" s="1"/>
  <c r="H66" i="19" s="1"/>
  <c r="E101" i="45"/>
  <c r="G101" i="45" s="1"/>
  <c r="H101" i="45" s="1"/>
  <c r="E97" i="45"/>
  <c r="G97" i="45" s="1"/>
  <c r="H97" i="45" s="1"/>
  <c r="I54" i="45"/>
  <c r="J55" i="45"/>
  <c r="E76" i="3"/>
  <c r="G76" i="3" s="1"/>
  <c r="H76" i="3" s="1"/>
  <c r="E82" i="3"/>
  <c r="G82" i="3" s="1"/>
  <c r="H82" i="3" s="1"/>
  <c r="E75" i="3"/>
  <c r="G75" i="3" s="1"/>
  <c r="H75" i="3" s="1"/>
  <c r="E77" i="3"/>
  <c r="G77" i="3" s="1"/>
  <c r="H77" i="3" s="1"/>
  <c r="E74" i="3"/>
  <c r="G74" i="3" s="1"/>
  <c r="H74" i="3" s="1"/>
  <c r="E73" i="3"/>
  <c r="G73" i="3" s="1"/>
  <c r="H73" i="3" s="1"/>
  <c r="E72" i="3"/>
  <c r="G72" i="3" s="1"/>
  <c r="H72" i="3" s="1"/>
  <c r="E71" i="3"/>
  <c r="G71" i="3" s="1"/>
  <c r="H71" i="3" s="1"/>
  <c r="E70" i="3"/>
  <c r="G70" i="3" s="1"/>
  <c r="H70" i="3" s="1"/>
  <c r="E69" i="3"/>
  <c r="G69" i="3" s="1"/>
  <c r="H69" i="3" s="1"/>
  <c r="E68" i="3"/>
  <c r="G68" i="3" s="1"/>
  <c r="H68" i="3" s="1"/>
  <c r="E67" i="3"/>
  <c r="G67" i="3" s="1"/>
  <c r="H67" i="3" s="1"/>
  <c r="E66" i="3"/>
  <c r="G66" i="3" s="1"/>
  <c r="H66" i="3" s="1"/>
  <c r="E81" i="3"/>
  <c r="G81" i="3" s="1"/>
  <c r="H81" i="3" s="1"/>
  <c r="E79" i="3"/>
  <c r="G79" i="3" s="1"/>
  <c r="H79" i="3" s="1"/>
  <c r="E80" i="3"/>
  <c r="G80" i="3" s="1"/>
  <c r="H80" i="3" s="1"/>
  <c r="E78" i="3"/>
  <c r="G78" i="3" s="1"/>
  <c r="H78" i="3" s="1"/>
  <c r="C54" i="3"/>
  <c r="D54" i="3" s="1"/>
  <c r="E69" i="6"/>
  <c r="G69" i="6" s="1"/>
  <c r="H69" i="6" s="1"/>
  <c r="E70" i="6"/>
  <c r="G70" i="6" s="1"/>
  <c r="H70" i="6" s="1"/>
  <c r="E67" i="6"/>
  <c r="G67" i="6" s="1"/>
  <c r="H67" i="6" s="1"/>
  <c r="E71" i="6"/>
  <c r="G71" i="6" s="1"/>
  <c r="H71" i="6" s="1"/>
  <c r="E68" i="6"/>
  <c r="G68" i="6" s="1"/>
  <c r="H68" i="6" s="1"/>
  <c r="E66" i="6"/>
  <c r="G66" i="6" s="1"/>
  <c r="H66" i="6" s="1"/>
  <c r="C54" i="6"/>
  <c r="D54" i="6" s="1"/>
  <c r="E108" i="8"/>
  <c r="G108" i="8" s="1"/>
  <c r="H108" i="8" s="1"/>
  <c r="E107" i="8"/>
  <c r="G107" i="8" s="1"/>
  <c r="H107" i="8" s="1"/>
  <c r="E106" i="8"/>
  <c r="G106" i="8" s="1"/>
  <c r="H106" i="8" s="1"/>
  <c r="E105" i="8"/>
  <c r="G105" i="8" s="1"/>
  <c r="H105" i="8" s="1"/>
  <c r="E104" i="8"/>
  <c r="G104" i="8" s="1"/>
  <c r="H104" i="8" s="1"/>
  <c r="E103" i="8"/>
  <c r="G103" i="8" s="1"/>
  <c r="H103" i="8" s="1"/>
  <c r="E102" i="8"/>
  <c r="G102" i="8" s="1"/>
  <c r="H102" i="8" s="1"/>
  <c r="E101" i="8"/>
  <c r="G101" i="8" s="1"/>
  <c r="H101" i="8" s="1"/>
  <c r="E100" i="8"/>
  <c r="G100" i="8" s="1"/>
  <c r="H100" i="8" s="1"/>
  <c r="E99" i="8"/>
  <c r="G99" i="8" s="1"/>
  <c r="H99" i="8" s="1"/>
  <c r="E98" i="8"/>
  <c r="G98" i="8" s="1"/>
  <c r="H98" i="8" s="1"/>
  <c r="E97" i="8"/>
  <c r="G97" i="8" s="1"/>
  <c r="H97" i="8" s="1"/>
  <c r="E94" i="8"/>
  <c r="G94" i="8" s="1"/>
  <c r="H94" i="8" s="1"/>
  <c r="E92" i="8"/>
  <c r="G92" i="8" s="1"/>
  <c r="H92" i="8" s="1"/>
  <c r="E91" i="8"/>
  <c r="G91" i="8" s="1"/>
  <c r="H91" i="8" s="1"/>
  <c r="E96" i="8"/>
  <c r="G96" i="8" s="1"/>
  <c r="H96" i="8" s="1"/>
  <c r="E95" i="8"/>
  <c r="G95" i="8" s="1"/>
  <c r="H95" i="8" s="1"/>
  <c r="E93" i="8"/>
  <c r="G93" i="8" s="1"/>
  <c r="H93" i="8" s="1"/>
  <c r="H55" i="9"/>
  <c r="C55" i="9"/>
  <c r="D55" i="9" s="1"/>
  <c r="E81" i="74"/>
  <c r="G81" i="74" s="1"/>
  <c r="H81" i="74" s="1"/>
  <c r="E80" i="74"/>
  <c r="G80" i="74" s="1"/>
  <c r="H80" i="74" s="1"/>
  <c r="E79" i="74"/>
  <c r="G79" i="74" s="1"/>
  <c r="H79" i="74" s="1"/>
  <c r="E78" i="74"/>
  <c r="G78" i="74" s="1"/>
  <c r="H78" i="74" s="1"/>
  <c r="E77" i="74"/>
  <c r="G77" i="74" s="1"/>
  <c r="H77" i="74" s="1"/>
  <c r="E76" i="74"/>
  <c r="G76" i="74" s="1"/>
  <c r="H76" i="74" s="1"/>
  <c r="E75" i="74"/>
  <c r="G75" i="74" s="1"/>
  <c r="H75" i="74" s="1"/>
  <c r="E74" i="74"/>
  <c r="G74" i="74" s="1"/>
  <c r="H74" i="74" s="1"/>
  <c r="E73" i="74"/>
  <c r="G73" i="74" s="1"/>
  <c r="H73" i="74" s="1"/>
  <c r="E72" i="74"/>
  <c r="G72" i="74" s="1"/>
  <c r="H72" i="74" s="1"/>
  <c r="E71" i="74"/>
  <c r="G71" i="74" s="1"/>
  <c r="H71" i="74" s="1"/>
  <c r="E70" i="74"/>
  <c r="G70" i="74" s="1"/>
  <c r="H70" i="74" s="1"/>
  <c r="E69" i="74"/>
  <c r="G69" i="74" s="1"/>
  <c r="H69" i="74" s="1"/>
  <c r="E68" i="74"/>
  <c r="G68" i="74" s="1"/>
  <c r="H68" i="74" s="1"/>
  <c r="E67" i="74"/>
  <c r="G67" i="74" s="1"/>
  <c r="H67" i="74" s="1"/>
  <c r="C54" i="74"/>
  <c r="E85" i="72"/>
  <c r="G85" i="72" s="1"/>
  <c r="H85" i="72" s="1"/>
  <c r="E84" i="72"/>
  <c r="G84" i="72" s="1"/>
  <c r="H84" i="72" s="1"/>
  <c r="E83" i="72"/>
  <c r="G83" i="72" s="1"/>
  <c r="H83" i="72" s="1"/>
  <c r="E69" i="72"/>
  <c r="G69" i="72" s="1"/>
  <c r="H69" i="72" s="1"/>
  <c r="E67" i="72"/>
  <c r="G67" i="72" s="1"/>
  <c r="H67" i="72" s="1"/>
  <c r="E87" i="72"/>
  <c r="G87" i="72" s="1"/>
  <c r="H87" i="72" s="1"/>
  <c r="E82" i="72"/>
  <c r="G82" i="72" s="1"/>
  <c r="H82" i="72" s="1"/>
  <c r="E78" i="72"/>
  <c r="G78" i="72" s="1"/>
  <c r="H78" i="72" s="1"/>
  <c r="E75" i="72"/>
  <c r="G75" i="72" s="1"/>
  <c r="H75" i="72" s="1"/>
  <c r="E74" i="72"/>
  <c r="G74" i="72" s="1"/>
  <c r="H74" i="72" s="1"/>
  <c r="E81" i="72"/>
  <c r="G81" i="72" s="1"/>
  <c r="H81" i="72" s="1"/>
  <c r="E79" i="72"/>
  <c r="G79" i="72" s="1"/>
  <c r="H79" i="72" s="1"/>
  <c r="E77" i="72"/>
  <c r="G77" i="72" s="1"/>
  <c r="H77" i="72" s="1"/>
  <c r="E73" i="72"/>
  <c r="G73" i="72" s="1"/>
  <c r="H73" i="72" s="1"/>
  <c r="E71" i="72"/>
  <c r="G71" i="72" s="1"/>
  <c r="H71" i="72" s="1"/>
  <c r="E70" i="72"/>
  <c r="G70" i="72" s="1"/>
  <c r="H70" i="72" s="1"/>
  <c r="E68" i="72"/>
  <c r="G68" i="72" s="1"/>
  <c r="H68" i="72" s="1"/>
  <c r="E86" i="72"/>
  <c r="G86" i="72" s="1"/>
  <c r="H86" i="72" s="1"/>
  <c r="E80" i="72"/>
  <c r="G80" i="72" s="1"/>
  <c r="H80" i="72" s="1"/>
  <c r="E76" i="72"/>
  <c r="G76" i="72" s="1"/>
  <c r="H76" i="72" s="1"/>
  <c r="E72" i="72"/>
  <c r="G72" i="72" s="1"/>
  <c r="H72" i="72" s="1"/>
  <c r="C54" i="72"/>
  <c r="D54" i="72" s="1"/>
  <c r="E73" i="71"/>
  <c r="G73" i="71" s="1"/>
  <c r="H73" i="71" s="1"/>
  <c r="E66" i="71"/>
  <c r="G66" i="71" s="1"/>
  <c r="H66" i="71" s="1"/>
  <c r="E74" i="71"/>
  <c r="G74" i="71" s="1"/>
  <c r="H74" i="71" s="1"/>
  <c r="E75" i="71"/>
  <c r="G75" i="71" s="1"/>
  <c r="H75" i="71" s="1"/>
  <c r="E71" i="71"/>
  <c r="G71" i="71" s="1"/>
  <c r="H71" i="71" s="1"/>
  <c r="E69" i="71"/>
  <c r="G69" i="71" s="1"/>
  <c r="H69" i="71" s="1"/>
  <c r="E67" i="71"/>
  <c r="G67" i="71" s="1"/>
  <c r="H67" i="71" s="1"/>
  <c r="E72" i="71"/>
  <c r="G72" i="71" s="1"/>
  <c r="H72" i="71" s="1"/>
  <c r="E70" i="71"/>
  <c r="G70" i="71" s="1"/>
  <c r="H70" i="71" s="1"/>
  <c r="E68" i="71"/>
  <c r="G68" i="71" s="1"/>
  <c r="H68" i="71" s="1"/>
  <c r="C54" i="71"/>
  <c r="D54" i="71" s="1"/>
  <c r="C53" i="70"/>
  <c r="I55" i="66"/>
  <c r="E82" i="69"/>
  <c r="G82" i="69" s="1"/>
  <c r="H82" i="69" s="1"/>
  <c r="E81" i="69"/>
  <c r="G81" i="69" s="1"/>
  <c r="H81" i="69" s="1"/>
  <c r="E80" i="69"/>
  <c r="G80" i="69" s="1"/>
  <c r="H80" i="69" s="1"/>
  <c r="E79" i="69"/>
  <c r="G79" i="69" s="1"/>
  <c r="H79" i="69" s="1"/>
  <c r="E78" i="69"/>
  <c r="G78" i="69" s="1"/>
  <c r="H78" i="69" s="1"/>
  <c r="E77" i="69"/>
  <c r="G77" i="69" s="1"/>
  <c r="H77" i="69" s="1"/>
  <c r="E76" i="69"/>
  <c r="G76" i="69" s="1"/>
  <c r="H76" i="69" s="1"/>
  <c r="E75" i="69"/>
  <c r="G75" i="69" s="1"/>
  <c r="H75" i="69" s="1"/>
  <c r="E74" i="69"/>
  <c r="G74" i="69" s="1"/>
  <c r="H74" i="69" s="1"/>
  <c r="E73" i="69"/>
  <c r="G73" i="69" s="1"/>
  <c r="H73" i="69" s="1"/>
  <c r="E72" i="69"/>
  <c r="G72" i="69" s="1"/>
  <c r="H72" i="69" s="1"/>
  <c r="E71" i="69"/>
  <c r="G71" i="69" s="1"/>
  <c r="E66" i="69"/>
  <c r="G66" i="69" s="1"/>
  <c r="H66" i="69" s="1"/>
  <c r="E70" i="69"/>
  <c r="G70" i="69" s="1"/>
  <c r="H70" i="69" s="1"/>
  <c r="E67" i="69"/>
  <c r="G67" i="69" s="1"/>
  <c r="H67" i="69" s="1"/>
  <c r="E69" i="69"/>
  <c r="G69" i="69" s="1"/>
  <c r="H69" i="69" s="1"/>
  <c r="E68" i="69"/>
  <c r="G68" i="69" s="1"/>
  <c r="H68" i="69" s="1"/>
  <c r="C54" i="69"/>
  <c r="D54" i="69" s="1"/>
  <c r="D53" i="70" l="1"/>
  <c r="E84" i="70"/>
  <c r="G84" i="70" s="1"/>
  <c r="H84" i="70" s="1"/>
  <c r="AC30" i="49"/>
  <c r="AB30" i="49"/>
  <c r="E87" i="57"/>
  <c r="G87" i="57"/>
  <c r="B142" i="57"/>
  <c r="J56" i="57"/>
  <c r="D54" i="57"/>
  <c r="G79" i="49"/>
  <c r="E79" i="49"/>
  <c r="G83" i="59"/>
  <c r="E83" i="59"/>
  <c r="C82" i="26"/>
  <c r="H82" i="26"/>
  <c r="G79" i="19"/>
  <c r="E79" i="19"/>
  <c r="D54" i="59"/>
  <c r="E104" i="59"/>
  <c r="G104" i="59" s="1"/>
  <c r="H104" i="59" s="1"/>
  <c r="E105" i="59"/>
  <c r="G105" i="59" s="1"/>
  <c r="H105" i="59" s="1"/>
  <c r="E85" i="49"/>
  <c r="G85" i="49" s="1"/>
  <c r="H85" i="49" s="1"/>
  <c r="D54" i="33"/>
  <c r="E114" i="33"/>
  <c r="G114" i="33" s="1"/>
  <c r="H114" i="33" s="1"/>
  <c r="E113" i="33"/>
  <c r="G113" i="33" s="1"/>
  <c r="H113" i="33" s="1"/>
  <c r="D54" i="28"/>
  <c r="E112" i="28"/>
  <c r="G112" i="28" s="1"/>
  <c r="H112" i="28" s="1"/>
  <c r="E111" i="28"/>
  <c r="G111" i="28" s="1"/>
  <c r="H111" i="28" s="1"/>
  <c r="E75" i="37"/>
  <c r="G75" i="37" s="1"/>
  <c r="H75" i="37" s="1"/>
  <c r="E74" i="37"/>
  <c r="G74" i="37" s="1"/>
  <c r="H74" i="37" s="1"/>
  <c r="E76" i="37"/>
  <c r="G76" i="37" s="1"/>
  <c r="H76" i="37" s="1"/>
  <c r="E72" i="37"/>
  <c r="G72" i="37" s="1"/>
  <c r="H72" i="37" s="1"/>
  <c r="E71" i="37"/>
  <c r="G71" i="37" s="1"/>
  <c r="H71" i="37" s="1"/>
  <c r="AF30" i="17"/>
  <c r="AC25" i="17" s="1"/>
  <c r="D53" i="37"/>
  <c r="U35" i="4"/>
  <c r="AA30" i="4"/>
  <c r="AE30" i="4" s="1"/>
  <c r="AC25" i="4" s="1"/>
  <c r="U35" i="67"/>
  <c r="AA30" i="67"/>
  <c r="AE30" i="67" s="1"/>
  <c r="AC25" i="67" s="1"/>
  <c r="H54" i="28"/>
  <c r="E65" i="28"/>
  <c r="G65" i="28" s="1"/>
  <c r="H65" i="28" s="1"/>
  <c r="B120" i="48"/>
  <c r="I55" i="48"/>
  <c r="D55" i="4"/>
  <c r="E111" i="4"/>
  <c r="G111" i="4" s="1"/>
  <c r="H111" i="4" s="1"/>
  <c r="E112" i="4"/>
  <c r="G112" i="4" s="1"/>
  <c r="H112" i="4" s="1"/>
  <c r="E113" i="4"/>
  <c r="G113" i="4" s="1"/>
  <c r="H113" i="4" s="1"/>
  <c r="E114" i="4"/>
  <c r="G114" i="4" s="1"/>
  <c r="H114" i="4" s="1"/>
  <c r="E77" i="71"/>
  <c r="G77" i="71"/>
  <c r="AF30" i="53"/>
  <c r="U35" i="53"/>
  <c r="I55" i="71"/>
  <c r="B112" i="71"/>
  <c r="AF30" i="29"/>
  <c r="AC25" i="29" s="1"/>
  <c r="AF30" i="57"/>
  <c r="AC25" i="57" s="1"/>
  <c r="AA30" i="51"/>
  <c r="AC30" i="51" s="1"/>
  <c r="AC25" i="51" s="1"/>
  <c r="T33" i="51"/>
  <c r="AD30" i="46"/>
  <c r="AC25" i="46" s="1"/>
  <c r="S33" i="40"/>
  <c r="AC25" i="40" s="1"/>
  <c r="AB30" i="48"/>
  <c r="AC30" i="48"/>
  <c r="AC25" i="39"/>
  <c r="T34" i="39"/>
  <c r="AC30" i="37"/>
  <c r="AF30" i="37" s="1"/>
  <c r="AC25" i="37" s="1"/>
  <c r="U35" i="37"/>
  <c r="S34" i="55"/>
  <c r="S35" i="78"/>
  <c r="AC25" i="78" s="1"/>
  <c r="AD30" i="72"/>
  <c r="AC30" i="72"/>
  <c r="U35" i="72"/>
  <c r="AB30" i="72"/>
  <c r="U35" i="71"/>
  <c r="AB30" i="71"/>
  <c r="AF30" i="71" s="1"/>
  <c r="AC25" i="71" s="1"/>
  <c r="AC30" i="70"/>
  <c r="AD30" i="70"/>
  <c r="AB30" i="70"/>
  <c r="U35" i="70"/>
  <c r="U35" i="69"/>
  <c r="AB30" i="69"/>
  <c r="AF30" i="69" s="1"/>
  <c r="AC25" i="69" s="1"/>
  <c r="AA30" i="66"/>
  <c r="AC30" i="66" s="1"/>
  <c r="AC25" i="66" s="1"/>
  <c r="T33" i="66"/>
  <c r="U35" i="61"/>
  <c r="AB30" i="61"/>
  <c r="AE30" i="61" s="1"/>
  <c r="AC25" i="61" s="1"/>
  <c r="S34" i="54"/>
  <c r="AA30" i="48"/>
  <c r="U35" i="48"/>
  <c r="S34" i="38"/>
  <c r="C81" i="27"/>
  <c r="AB30" i="26"/>
  <c r="AE30" i="26" s="1"/>
  <c r="AC25" i="26" s="1"/>
  <c r="U35" i="26"/>
  <c r="AB30" i="25"/>
  <c r="AE30" i="25" s="1"/>
  <c r="AC25" i="25" s="1"/>
  <c r="U35" i="25"/>
  <c r="S31" i="24"/>
  <c r="U35" i="22"/>
  <c r="AC30" i="22"/>
  <c r="AE30" i="22" s="1"/>
  <c r="AC25" i="22" s="1"/>
  <c r="AE30" i="20"/>
  <c r="AC25" i="20" s="1"/>
  <c r="AA31" i="20"/>
  <c r="AC30" i="60"/>
  <c r="S35" i="60"/>
  <c r="AA30" i="19"/>
  <c r="AD30" i="19" s="1"/>
  <c r="AC25" i="19" s="1"/>
  <c r="AA30" i="10"/>
  <c r="AC30" i="10" s="1"/>
  <c r="T33" i="10"/>
  <c r="S31" i="14"/>
  <c r="AD32" i="8"/>
  <c r="AF30" i="8"/>
  <c r="AC25" i="8" s="1"/>
  <c r="S31" i="13"/>
  <c r="AC32" i="3"/>
  <c r="AC32" i="8"/>
  <c r="B112" i="8"/>
  <c r="H89" i="3"/>
  <c r="K5" i="3"/>
  <c r="L5" i="3" s="1"/>
  <c r="S35" i="3" s="1"/>
  <c r="U35" i="3" s="1"/>
  <c r="G87" i="28"/>
  <c r="E87" i="28"/>
  <c r="I55" i="28"/>
  <c r="B142" i="28"/>
  <c r="C85" i="8"/>
  <c r="H85" i="8"/>
  <c r="G110" i="8"/>
  <c r="E110" i="8"/>
  <c r="I55" i="8"/>
  <c r="B135" i="8"/>
  <c r="E120" i="8"/>
  <c r="G120" i="8" s="1"/>
  <c r="H120" i="8" s="1"/>
  <c r="E124" i="8"/>
  <c r="G124" i="8" s="1"/>
  <c r="H124" i="8" s="1"/>
  <c r="E126" i="8"/>
  <c r="G126" i="8" s="1"/>
  <c r="H126" i="8" s="1"/>
  <c r="E129" i="8"/>
  <c r="G129" i="8" s="1"/>
  <c r="H129" i="8" s="1"/>
  <c r="E132" i="8"/>
  <c r="G132" i="8" s="1"/>
  <c r="H132" i="8" s="1"/>
  <c r="E128" i="8"/>
  <c r="G128" i="8" s="1"/>
  <c r="H128" i="8" s="1"/>
  <c r="E131" i="8"/>
  <c r="G131" i="8" s="1"/>
  <c r="H131" i="8" s="1"/>
  <c r="E116" i="8"/>
  <c r="G116" i="8" s="1"/>
  <c r="H116" i="8" s="1"/>
  <c r="E117" i="8"/>
  <c r="G117" i="8" s="1"/>
  <c r="H117" i="8" s="1"/>
  <c r="E118" i="8"/>
  <c r="G118" i="8" s="1"/>
  <c r="H118" i="8" s="1"/>
  <c r="E119" i="8"/>
  <c r="G119" i="8" s="1"/>
  <c r="H119" i="8" s="1"/>
  <c r="E121" i="8"/>
  <c r="G121" i="8" s="1"/>
  <c r="H121" i="8" s="1"/>
  <c r="E122" i="8"/>
  <c r="G122" i="8" s="1"/>
  <c r="H122" i="8" s="1"/>
  <c r="E123" i="8"/>
  <c r="G123" i="8" s="1"/>
  <c r="H123" i="8" s="1"/>
  <c r="E125" i="8"/>
  <c r="G125" i="8" s="1"/>
  <c r="H125" i="8" s="1"/>
  <c r="E127" i="8"/>
  <c r="G127" i="8" s="1"/>
  <c r="H127" i="8" s="1"/>
  <c r="E130" i="8"/>
  <c r="G130" i="8" s="1"/>
  <c r="H130" i="8" s="1"/>
  <c r="E133" i="8"/>
  <c r="G133" i="8" s="1"/>
  <c r="H133" i="8" s="1"/>
  <c r="E80" i="61"/>
  <c r="G80" i="61"/>
  <c r="E79" i="56"/>
  <c r="H79" i="56" s="1"/>
  <c r="G79" i="56"/>
  <c r="G106" i="50"/>
  <c r="E106" i="50"/>
  <c r="E77" i="46"/>
  <c r="H77" i="46" s="1"/>
  <c r="G77" i="46"/>
  <c r="G76" i="41"/>
  <c r="E76" i="41"/>
  <c r="E72" i="73"/>
  <c r="G72" i="73"/>
  <c r="C84" i="3"/>
  <c r="E65" i="60"/>
  <c r="G65" i="60" s="1"/>
  <c r="H65" i="60" s="1"/>
  <c r="H54" i="60"/>
  <c r="G83" i="74"/>
  <c r="E83" i="74"/>
  <c r="E82" i="62"/>
  <c r="G82" i="62"/>
  <c r="D54" i="74"/>
  <c r="E90" i="74"/>
  <c r="G90" i="74" s="1"/>
  <c r="H90" i="74" s="1"/>
  <c r="E89" i="72"/>
  <c r="G89" i="72"/>
  <c r="D55" i="68"/>
  <c r="H54" i="61"/>
  <c r="H55" i="61" s="1"/>
  <c r="E65" i="61"/>
  <c r="G65" i="61" s="1"/>
  <c r="H65" i="61" s="1"/>
  <c r="D53" i="54"/>
  <c r="G65" i="54"/>
  <c r="H65" i="54" s="1"/>
  <c r="D53" i="53"/>
  <c r="E66" i="53"/>
  <c r="B110" i="50"/>
  <c r="E113" i="50"/>
  <c r="G113" i="50" s="1"/>
  <c r="H113" i="50" s="1"/>
  <c r="D53" i="47"/>
  <c r="E66" i="47"/>
  <c r="G66" i="47" s="1"/>
  <c r="H66" i="47" s="1"/>
  <c r="D54" i="42"/>
  <c r="G88" i="42" s="1"/>
  <c r="C88" i="42" s="1"/>
  <c r="E80" i="42"/>
  <c r="E81" i="42"/>
  <c r="E82" i="42"/>
  <c r="E83" i="42"/>
  <c r="E84" i="42"/>
  <c r="E85" i="42"/>
  <c r="E86" i="42"/>
  <c r="E79" i="42"/>
  <c r="B86" i="31"/>
  <c r="E67" i="31"/>
  <c r="G67" i="31" s="1"/>
  <c r="H67" i="31" s="1"/>
  <c r="E70" i="31"/>
  <c r="G70" i="31" s="1"/>
  <c r="H70" i="31" s="1"/>
  <c r="E74" i="31"/>
  <c r="G74" i="31" s="1"/>
  <c r="H74" i="31" s="1"/>
  <c r="E77" i="31"/>
  <c r="G77" i="31" s="1"/>
  <c r="H77" i="31" s="1"/>
  <c r="E83" i="31"/>
  <c r="G83" i="31" s="1"/>
  <c r="H83" i="31" s="1"/>
  <c r="E84" i="31"/>
  <c r="G84" i="31" s="1"/>
  <c r="H84" i="31" s="1"/>
  <c r="E69" i="31"/>
  <c r="G69" i="31" s="1"/>
  <c r="H69" i="31" s="1"/>
  <c r="E75" i="31"/>
  <c r="G75" i="31" s="1"/>
  <c r="H75" i="31" s="1"/>
  <c r="E79" i="31"/>
  <c r="G79" i="31" s="1"/>
  <c r="H79" i="31" s="1"/>
  <c r="E66" i="31"/>
  <c r="G66" i="31" s="1"/>
  <c r="H66" i="31" s="1"/>
  <c r="E72" i="31"/>
  <c r="G72" i="31" s="1"/>
  <c r="H72" i="31" s="1"/>
  <c r="E76" i="31"/>
  <c r="G76" i="31" s="1"/>
  <c r="H76" i="31" s="1"/>
  <c r="E80" i="31"/>
  <c r="G80" i="31" s="1"/>
  <c r="H80" i="31" s="1"/>
  <c r="E82" i="31"/>
  <c r="G82" i="31" s="1"/>
  <c r="H82" i="31" s="1"/>
  <c r="E68" i="31"/>
  <c r="G68" i="31" s="1"/>
  <c r="H68" i="31" s="1"/>
  <c r="E71" i="31"/>
  <c r="G71" i="31" s="1"/>
  <c r="H71" i="31" s="1"/>
  <c r="E73" i="31"/>
  <c r="G73" i="31" s="1"/>
  <c r="H73" i="31" s="1"/>
  <c r="E78" i="31"/>
  <c r="G78" i="31" s="1"/>
  <c r="H78" i="31" s="1"/>
  <c r="E81" i="31"/>
  <c r="G81" i="31" s="1"/>
  <c r="H81" i="31" s="1"/>
  <c r="D53" i="38"/>
  <c r="C54" i="38"/>
  <c r="C81" i="7"/>
  <c r="J56" i="7"/>
  <c r="D55" i="7"/>
  <c r="C56" i="7"/>
  <c r="B86" i="7" s="1"/>
  <c r="H83" i="50"/>
  <c r="G88" i="33"/>
  <c r="E88" i="33"/>
  <c r="H88" i="33" s="1"/>
  <c r="E106" i="4"/>
  <c r="G106" i="4" s="1"/>
  <c r="H106" i="4" s="1"/>
  <c r="E105" i="4"/>
  <c r="G105" i="4" s="1"/>
  <c r="H105" i="4" s="1"/>
  <c r="B109" i="50"/>
  <c r="D55" i="50"/>
  <c r="E120" i="50"/>
  <c r="G120" i="50" s="1"/>
  <c r="H120" i="50" s="1"/>
  <c r="E128" i="50"/>
  <c r="G128" i="50" s="1"/>
  <c r="H128" i="50" s="1"/>
  <c r="E121" i="50"/>
  <c r="G121" i="50" s="1"/>
  <c r="H121" i="50" s="1"/>
  <c r="E114" i="50"/>
  <c r="G114" i="50" s="1"/>
  <c r="H114" i="50" s="1"/>
  <c r="E122" i="50"/>
  <c r="G122" i="50" s="1"/>
  <c r="H122" i="50" s="1"/>
  <c r="E115" i="50"/>
  <c r="G115" i="50" s="1"/>
  <c r="H115" i="50" s="1"/>
  <c r="E123" i="50"/>
  <c r="G123" i="50" s="1"/>
  <c r="H123" i="50" s="1"/>
  <c r="E116" i="50"/>
  <c r="G116" i="50" s="1"/>
  <c r="H116" i="50" s="1"/>
  <c r="E124" i="50"/>
  <c r="G124" i="50" s="1"/>
  <c r="H124" i="50" s="1"/>
  <c r="E125" i="50"/>
  <c r="G125" i="50" s="1"/>
  <c r="H125" i="50" s="1"/>
  <c r="E117" i="50"/>
  <c r="G117" i="50" s="1"/>
  <c r="H117" i="50" s="1"/>
  <c r="E118" i="50"/>
  <c r="G118" i="50" s="1"/>
  <c r="H118" i="50" s="1"/>
  <c r="E126" i="50"/>
  <c r="G126" i="50" s="1"/>
  <c r="H126" i="50" s="1"/>
  <c r="E119" i="50"/>
  <c r="G119" i="50" s="1"/>
  <c r="H119" i="50" s="1"/>
  <c r="E127" i="50"/>
  <c r="G127" i="50" s="1"/>
  <c r="H127" i="50" s="1"/>
  <c r="H117" i="3"/>
  <c r="E110" i="4"/>
  <c r="G110" i="4" s="1"/>
  <c r="H110" i="4" s="1"/>
  <c r="C56" i="4"/>
  <c r="G99" i="49"/>
  <c r="E99" i="49"/>
  <c r="G79" i="48"/>
  <c r="E79" i="48"/>
  <c r="H107" i="45"/>
  <c r="C107" i="45"/>
  <c r="G129" i="45"/>
  <c r="E129" i="45"/>
  <c r="I55" i="45"/>
  <c r="B129" i="45"/>
  <c r="E107" i="44"/>
  <c r="G107" i="44"/>
  <c r="E98" i="43"/>
  <c r="G98" i="43"/>
  <c r="E92" i="41"/>
  <c r="G92" i="41"/>
  <c r="G82" i="32"/>
  <c r="E82" i="32"/>
  <c r="G126" i="29"/>
  <c r="E126" i="29"/>
  <c r="H81" i="16"/>
  <c r="C81" i="16"/>
  <c r="E101" i="16"/>
  <c r="G101" i="16"/>
  <c r="E112" i="7"/>
  <c r="G112" i="7" s="1"/>
  <c r="H112" i="7" s="1"/>
  <c r="G124" i="20"/>
  <c r="E124" i="20"/>
  <c r="G107" i="18"/>
  <c r="E107" i="18"/>
  <c r="E121" i="17"/>
  <c r="G121" i="17"/>
  <c r="G101" i="19"/>
  <c r="E101" i="19"/>
  <c r="G123" i="15"/>
  <c r="E123" i="15"/>
  <c r="E123" i="7"/>
  <c r="G123" i="7" s="1"/>
  <c r="H123" i="7" s="1"/>
  <c r="G86" i="6"/>
  <c r="E86" i="6"/>
  <c r="E107" i="4"/>
  <c r="G107" i="4" s="1"/>
  <c r="H107" i="4" s="1"/>
  <c r="E108" i="4"/>
  <c r="G108" i="4" s="1"/>
  <c r="H108" i="4" s="1"/>
  <c r="E109" i="4"/>
  <c r="G109" i="4" s="1"/>
  <c r="H109" i="4" s="1"/>
  <c r="E104" i="4"/>
  <c r="G104" i="4" s="1"/>
  <c r="H104" i="4" s="1"/>
  <c r="G108" i="3"/>
  <c r="E108" i="3"/>
  <c r="D56" i="83"/>
  <c r="E120" i="7"/>
  <c r="G120" i="7" s="1"/>
  <c r="H120" i="7" s="1"/>
  <c r="E118" i="72"/>
  <c r="G118" i="72"/>
  <c r="E94" i="71"/>
  <c r="G94" i="71"/>
  <c r="I55" i="70"/>
  <c r="G108" i="69"/>
  <c r="E108" i="69"/>
  <c r="D53" i="60"/>
  <c r="C54" i="60"/>
  <c r="E106" i="58"/>
  <c r="G106" i="58"/>
  <c r="I55" i="57"/>
  <c r="E99" i="56"/>
  <c r="G99" i="56"/>
  <c r="H54" i="48"/>
  <c r="E65" i="48"/>
  <c r="G65" i="48" s="1"/>
  <c r="H65" i="48" s="1"/>
  <c r="B86" i="27"/>
  <c r="D55" i="27"/>
  <c r="E85" i="23"/>
  <c r="G85" i="23" s="1"/>
  <c r="H85" i="23" s="1"/>
  <c r="H55" i="23"/>
  <c r="E98" i="23"/>
  <c r="G98" i="23" s="1"/>
  <c r="H98" i="23" s="1"/>
  <c r="E90" i="23"/>
  <c r="G90" i="23" s="1"/>
  <c r="H90" i="23" s="1"/>
  <c r="E92" i="23"/>
  <c r="G92" i="23" s="1"/>
  <c r="H92" i="23" s="1"/>
  <c r="E95" i="23"/>
  <c r="G95" i="23" s="1"/>
  <c r="H95" i="23" s="1"/>
  <c r="E87" i="23"/>
  <c r="G87" i="23" s="1"/>
  <c r="H87" i="23" s="1"/>
  <c r="E97" i="23"/>
  <c r="G97" i="23" s="1"/>
  <c r="H97" i="23" s="1"/>
  <c r="E89" i="23"/>
  <c r="G89" i="23" s="1"/>
  <c r="H89" i="23" s="1"/>
  <c r="E94" i="23"/>
  <c r="G94" i="23" s="1"/>
  <c r="H94" i="23" s="1"/>
  <c r="E86" i="23"/>
  <c r="G86" i="23" s="1"/>
  <c r="H86" i="23" s="1"/>
  <c r="E96" i="23"/>
  <c r="G96" i="23" s="1"/>
  <c r="H96" i="23" s="1"/>
  <c r="E91" i="23"/>
  <c r="G91" i="23" s="1"/>
  <c r="H91" i="23" s="1"/>
  <c r="E88" i="23"/>
  <c r="G88" i="23" s="1"/>
  <c r="H88" i="23" s="1"/>
  <c r="E93" i="23"/>
  <c r="G93" i="23" s="1"/>
  <c r="H93" i="23" s="1"/>
  <c r="B87" i="8"/>
  <c r="D55" i="8"/>
  <c r="E117" i="7"/>
  <c r="G117" i="7" s="1"/>
  <c r="H117" i="7" s="1"/>
  <c r="I56" i="4"/>
  <c r="B135" i="4"/>
  <c r="H55" i="66"/>
  <c r="E83" i="66"/>
  <c r="G83" i="66" s="1"/>
  <c r="H83" i="66" s="1"/>
  <c r="E87" i="66"/>
  <c r="G87" i="66" s="1"/>
  <c r="H87" i="66" s="1"/>
  <c r="E86" i="66"/>
  <c r="G86" i="66" s="1"/>
  <c r="H86" i="66" s="1"/>
  <c r="E85" i="66"/>
  <c r="G85" i="66" s="1"/>
  <c r="H85" i="66" s="1"/>
  <c r="E84" i="66"/>
  <c r="G84" i="66" s="1"/>
  <c r="H84" i="66" s="1"/>
  <c r="E81" i="66"/>
  <c r="G81" i="66" s="1"/>
  <c r="H81" i="66" s="1"/>
  <c r="E82" i="66"/>
  <c r="G82" i="66" s="1"/>
  <c r="H82" i="66" s="1"/>
  <c r="E80" i="66"/>
  <c r="G80" i="66" s="1"/>
  <c r="H80" i="66" s="1"/>
  <c r="E88" i="66"/>
  <c r="G88" i="66" s="1"/>
  <c r="H88" i="66" s="1"/>
  <c r="I56" i="77"/>
  <c r="J58" i="77"/>
  <c r="I58" i="77" s="1"/>
  <c r="I56" i="66"/>
  <c r="B123" i="66"/>
  <c r="H123" i="66" s="1"/>
  <c r="J57" i="66"/>
  <c r="J58" i="66" s="1"/>
  <c r="H83" i="58"/>
  <c r="C83" i="58"/>
  <c r="I56" i="51"/>
  <c r="H82" i="44"/>
  <c r="C82" i="44"/>
  <c r="H79" i="43"/>
  <c r="C79" i="43"/>
  <c r="C55" i="42"/>
  <c r="G78" i="37"/>
  <c r="E78" i="37"/>
  <c r="H103" i="29"/>
  <c r="C103" i="29"/>
  <c r="E116" i="29"/>
  <c r="G116" i="29" s="1"/>
  <c r="H116" i="29" s="1"/>
  <c r="E105" i="28"/>
  <c r="G105" i="28" s="1"/>
  <c r="H105" i="28" s="1"/>
  <c r="H104" i="27"/>
  <c r="C104" i="27"/>
  <c r="H54" i="25"/>
  <c r="G100" i="23"/>
  <c r="E100" i="23"/>
  <c r="H80" i="23"/>
  <c r="C80" i="23"/>
  <c r="J57" i="23"/>
  <c r="B162" i="23" s="1"/>
  <c r="B142" i="23"/>
  <c r="H82" i="21"/>
  <c r="C82" i="21"/>
  <c r="H103" i="20"/>
  <c r="C103" i="20"/>
  <c r="B106" i="20"/>
  <c r="H82" i="18"/>
  <c r="C82" i="18"/>
  <c r="H90" i="17"/>
  <c r="C90" i="17"/>
  <c r="H91" i="15"/>
  <c r="C91" i="15"/>
  <c r="E111" i="7"/>
  <c r="G111" i="7" s="1"/>
  <c r="H111" i="7" s="1"/>
  <c r="E122" i="7"/>
  <c r="G122" i="7" s="1"/>
  <c r="H122" i="7" s="1"/>
  <c r="E119" i="7"/>
  <c r="G119" i="7" s="1"/>
  <c r="H119" i="7" s="1"/>
  <c r="E116" i="7"/>
  <c r="G116" i="7" s="1"/>
  <c r="H116" i="7" s="1"/>
  <c r="E113" i="7"/>
  <c r="G113" i="7" s="1"/>
  <c r="H113" i="7" s="1"/>
  <c r="E114" i="7"/>
  <c r="G114" i="7" s="1"/>
  <c r="H114" i="7" s="1"/>
  <c r="E110" i="7"/>
  <c r="G110" i="7" s="1"/>
  <c r="H110" i="7" s="1"/>
  <c r="E121" i="7"/>
  <c r="G121" i="7" s="1"/>
  <c r="H121" i="7" s="1"/>
  <c r="E115" i="7"/>
  <c r="G115" i="7" s="1"/>
  <c r="H115" i="7" s="1"/>
  <c r="E118" i="7"/>
  <c r="G118" i="7" s="1"/>
  <c r="H118" i="7" s="1"/>
  <c r="H104" i="7"/>
  <c r="C104" i="7"/>
  <c r="H73" i="6"/>
  <c r="C73" i="6"/>
  <c r="E116" i="4"/>
  <c r="G116" i="4"/>
  <c r="H96" i="4"/>
  <c r="C96" i="4"/>
  <c r="I55" i="3"/>
  <c r="H84" i="3"/>
  <c r="C54" i="55"/>
  <c r="C54" i="54"/>
  <c r="C54" i="31"/>
  <c r="D54" i="31" s="1"/>
  <c r="C71" i="10"/>
  <c r="H71" i="10"/>
  <c r="E82" i="10"/>
  <c r="G82" i="10"/>
  <c r="H54" i="19"/>
  <c r="E87" i="19" s="1"/>
  <c r="G87" i="19" s="1"/>
  <c r="H87" i="19" s="1"/>
  <c r="H55" i="4"/>
  <c r="E89" i="3"/>
  <c r="H55" i="3"/>
  <c r="E117" i="3" s="1"/>
  <c r="B63" i="8"/>
  <c r="B62" i="8"/>
  <c r="B88" i="8"/>
  <c r="H65" i="3"/>
  <c r="C55" i="12"/>
  <c r="D55" i="12" s="1"/>
  <c r="C55" i="46"/>
  <c r="D55" i="46" s="1"/>
  <c r="C54" i="40"/>
  <c r="D54" i="40" s="1"/>
  <c r="C55" i="39"/>
  <c r="D55" i="39" s="1"/>
  <c r="C54" i="24"/>
  <c r="D54" i="24" s="1"/>
  <c r="C54" i="14"/>
  <c r="D54" i="14" s="1"/>
  <c r="C54" i="13"/>
  <c r="D54" i="13" s="1"/>
  <c r="C56" i="82"/>
  <c r="E95" i="16"/>
  <c r="G95" i="16" s="1"/>
  <c r="H95" i="16" s="1"/>
  <c r="E98" i="16"/>
  <c r="G98" i="16" s="1"/>
  <c r="H98" i="16" s="1"/>
  <c r="E99" i="16"/>
  <c r="G99" i="16" s="1"/>
  <c r="H99" i="16" s="1"/>
  <c r="E96" i="16"/>
  <c r="G96" i="16" s="1"/>
  <c r="H96" i="16" s="1"/>
  <c r="E97" i="16"/>
  <c r="G97" i="16" s="1"/>
  <c r="H97" i="16" s="1"/>
  <c r="E68" i="48"/>
  <c r="G68" i="48" s="1"/>
  <c r="H68" i="48" s="1"/>
  <c r="E76" i="48"/>
  <c r="G76" i="48" s="1"/>
  <c r="H76" i="48" s="1"/>
  <c r="E65" i="70"/>
  <c r="G65" i="70" s="1"/>
  <c r="H65" i="70" s="1"/>
  <c r="H54" i="70"/>
  <c r="E75" i="48"/>
  <c r="G75" i="48" s="1"/>
  <c r="H75" i="48" s="1"/>
  <c r="E71" i="48"/>
  <c r="G71" i="48" s="1"/>
  <c r="H71" i="48" s="1"/>
  <c r="E72" i="48"/>
  <c r="G72" i="48" s="1"/>
  <c r="H72" i="48" s="1"/>
  <c r="E67" i="48"/>
  <c r="G67" i="48" s="1"/>
  <c r="H67" i="48" s="1"/>
  <c r="E66" i="48"/>
  <c r="G66" i="48" s="1"/>
  <c r="H66" i="48" s="1"/>
  <c r="E69" i="48"/>
  <c r="G69" i="48" s="1"/>
  <c r="H69" i="48" s="1"/>
  <c r="C54" i="48"/>
  <c r="D54" i="48" s="1"/>
  <c r="E77" i="48"/>
  <c r="G77" i="48" s="1"/>
  <c r="H77" i="48" s="1"/>
  <c r="E73" i="48"/>
  <c r="G73" i="48" s="1"/>
  <c r="H73" i="48" s="1"/>
  <c r="E70" i="48"/>
  <c r="G70" i="48" s="1"/>
  <c r="H70" i="48" s="1"/>
  <c r="E74" i="48"/>
  <c r="G74" i="48" s="1"/>
  <c r="H74" i="48" s="1"/>
  <c r="C55" i="62"/>
  <c r="D55" i="62" s="1"/>
  <c r="E67" i="47"/>
  <c r="G67" i="47" s="1"/>
  <c r="H67" i="47" s="1"/>
  <c r="E68" i="47"/>
  <c r="G68" i="47" s="1"/>
  <c r="H68" i="47" s="1"/>
  <c r="E76" i="47"/>
  <c r="G76" i="47" s="1"/>
  <c r="H76" i="47" s="1"/>
  <c r="C54" i="47"/>
  <c r="D54" i="47" s="1"/>
  <c r="E107" i="47" s="1"/>
  <c r="AC25" i="62"/>
  <c r="E93" i="57"/>
  <c r="G93" i="57" s="1"/>
  <c r="H93" i="57" s="1"/>
  <c r="H55" i="57"/>
  <c r="E73" i="47"/>
  <c r="G73" i="47" s="1"/>
  <c r="H73" i="47" s="1"/>
  <c r="E71" i="47"/>
  <c r="G71" i="47" s="1"/>
  <c r="H71" i="47" s="1"/>
  <c r="E77" i="47"/>
  <c r="G77" i="47" s="1"/>
  <c r="H77" i="47" s="1"/>
  <c r="E70" i="47"/>
  <c r="G70" i="47" s="1"/>
  <c r="H70" i="47" s="1"/>
  <c r="E69" i="47"/>
  <c r="G69" i="47" s="1"/>
  <c r="H69" i="47" s="1"/>
  <c r="E72" i="47"/>
  <c r="G72" i="47" s="1"/>
  <c r="H72" i="47" s="1"/>
  <c r="E81" i="47"/>
  <c r="G81" i="47" s="1"/>
  <c r="H81" i="47" s="1"/>
  <c r="E80" i="47"/>
  <c r="G80" i="47" s="1"/>
  <c r="H80" i="47" s="1"/>
  <c r="E78" i="47"/>
  <c r="G78" i="47" s="1"/>
  <c r="H78" i="47" s="1"/>
  <c r="E74" i="47"/>
  <c r="G74" i="47" s="1"/>
  <c r="H74" i="47" s="1"/>
  <c r="E75" i="47"/>
  <c r="G75" i="47" s="1"/>
  <c r="H75" i="47" s="1"/>
  <c r="E79" i="47"/>
  <c r="G79" i="47" s="1"/>
  <c r="H79" i="47" s="1"/>
  <c r="E84" i="41"/>
  <c r="G84" i="41" s="1"/>
  <c r="H84" i="41" s="1"/>
  <c r="E87" i="41"/>
  <c r="G87" i="41" s="1"/>
  <c r="H87" i="41" s="1"/>
  <c r="E82" i="41"/>
  <c r="G82" i="41" s="1"/>
  <c r="H82" i="41" s="1"/>
  <c r="E85" i="41"/>
  <c r="G85" i="41" s="1"/>
  <c r="H85" i="41" s="1"/>
  <c r="E86" i="41"/>
  <c r="G86" i="41" s="1"/>
  <c r="H86" i="41" s="1"/>
  <c r="E88" i="41"/>
  <c r="G88" i="41" s="1"/>
  <c r="H88" i="41" s="1"/>
  <c r="E89" i="41"/>
  <c r="G89" i="41" s="1"/>
  <c r="H89" i="41" s="1"/>
  <c r="E90" i="41"/>
  <c r="G90" i="41" s="1"/>
  <c r="H90" i="41" s="1"/>
  <c r="E83" i="41"/>
  <c r="G83" i="41" s="1"/>
  <c r="H83" i="41" s="1"/>
  <c r="C55" i="41"/>
  <c r="D55" i="41" s="1"/>
  <c r="G67" i="24"/>
  <c r="H67" i="24" s="1"/>
  <c r="G66" i="24"/>
  <c r="H66" i="24" s="1"/>
  <c r="G72" i="24"/>
  <c r="H72" i="24" s="1"/>
  <c r="G71" i="24"/>
  <c r="H71" i="24" s="1"/>
  <c r="G68" i="24"/>
  <c r="H68" i="24" s="1"/>
  <c r="G65" i="24"/>
  <c r="H65" i="24" s="1"/>
  <c r="G69" i="24"/>
  <c r="H69" i="24" s="1"/>
  <c r="G70" i="24"/>
  <c r="H70" i="24" s="1"/>
  <c r="C55" i="61"/>
  <c r="D55" i="61" s="1"/>
  <c r="C55" i="57"/>
  <c r="E108" i="57"/>
  <c r="G108" i="57" s="1"/>
  <c r="H108" i="57" s="1"/>
  <c r="E107" i="57"/>
  <c r="G107" i="57" s="1"/>
  <c r="H107" i="57" s="1"/>
  <c r="E97" i="57"/>
  <c r="G97" i="57" s="1"/>
  <c r="H97" i="57" s="1"/>
  <c r="E101" i="57"/>
  <c r="G101" i="57" s="1"/>
  <c r="H101" i="57" s="1"/>
  <c r="E98" i="57"/>
  <c r="G98" i="57" s="1"/>
  <c r="H98" i="57" s="1"/>
  <c r="E100" i="57"/>
  <c r="G100" i="57" s="1"/>
  <c r="H100" i="57" s="1"/>
  <c r="E103" i="57"/>
  <c r="G103" i="57" s="1"/>
  <c r="H103" i="57" s="1"/>
  <c r="E113" i="57"/>
  <c r="G113" i="57" s="1"/>
  <c r="H113" i="57" s="1"/>
  <c r="E94" i="57"/>
  <c r="G94" i="57" s="1"/>
  <c r="H94" i="57" s="1"/>
  <c r="E105" i="57"/>
  <c r="G105" i="57" s="1"/>
  <c r="H105" i="57" s="1"/>
  <c r="E109" i="57"/>
  <c r="G109" i="57" s="1"/>
  <c r="H109" i="57" s="1"/>
  <c r="E111" i="57"/>
  <c r="G111" i="57" s="1"/>
  <c r="H111" i="57" s="1"/>
  <c r="C54" i="78"/>
  <c r="E106" i="57"/>
  <c r="G106" i="57" s="1"/>
  <c r="H106" i="57" s="1"/>
  <c r="E104" i="57"/>
  <c r="G104" i="57" s="1"/>
  <c r="H104" i="57" s="1"/>
  <c r="E102" i="57"/>
  <c r="G102" i="57" s="1"/>
  <c r="H102" i="57" s="1"/>
  <c r="E96" i="57"/>
  <c r="G96" i="57" s="1"/>
  <c r="H96" i="57" s="1"/>
  <c r="I55" i="20"/>
  <c r="E95" i="57"/>
  <c r="G95" i="57" s="1"/>
  <c r="H95" i="57" s="1"/>
  <c r="E110" i="57"/>
  <c r="G110" i="57" s="1"/>
  <c r="H110" i="57" s="1"/>
  <c r="E112" i="57"/>
  <c r="G112" i="57" s="1"/>
  <c r="H112" i="57" s="1"/>
  <c r="E99" i="57"/>
  <c r="G99" i="57" s="1"/>
  <c r="H99" i="57" s="1"/>
  <c r="E88" i="49"/>
  <c r="G88" i="49" s="1"/>
  <c r="H88" i="49" s="1"/>
  <c r="E97" i="49"/>
  <c r="G97" i="49" s="1"/>
  <c r="H97" i="49" s="1"/>
  <c r="E94" i="49"/>
  <c r="G94" i="49" s="1"/>
  <c r="H94" i="49" s="1"/>
  <c r="E93" i="49"/>
  <c r="G93" i="49" s="1"/>
  <c r="H93" i="49" s="1"/>
  <c r="E92" i="49"/>
  <c r="G92" i="49" s="1"/>
  <c r="H92" i="49" s="1"/>
  <c r="E90" i="49"/>
  <c r="G90" i="49" s="1"/>
  <c r="H90" i="49" s="1"/>
  <c r="E89" i="49"/>
  <c r="G89" i="49" s="1"/>
  <c r="H89" i="49" s="1"/>
  <c r="E96" i="49"/>
  <c r="G96" i="49" s="1"/>
  <c r="H96" i="49" s="1"/>
  <c r="E91" i="49"/>
  <c r="G91" i="49" s="1"/>
  <c r="H91" i="49" s="1"/>
  <c r="H55" i="43"/>
  <c r="H55" i="41"/>
  <c r="B62" i="34"/>
  <c r="H55" i="29"/>
  <c r="E110" i="29" s="1"/>
  <c r="G110" i="29" s="1"/>
  <c r="H110" i="29" s="1"/>
  <c r="E65" i="71"/>
  <c r="G65" i="71" s="1"/>
  <c r="H65" i="71" s="1"/>
  <c r="H54" i="71"/>
  <c r="C55" i="67"/>
  <c r="D55" i="67" s="1"/>
  <c r="E95" i="49"/>
  <c r="G95" i="49" s="1"/>
  <c r="H95" i="49" s="1"/>
  <c r="E86" i="49"/>
  <c r="G86" i="49" s="1"/>
  <c r="H86" i="49" s="1"/>
  <c r="B75" i="34"/>
  <c r="B89" i="34"/>
  <c r="C55" i="17"/>
  <c r="B94" i="17" s="1"/>
  <c r="C55" i="15"/>
  <c r="D55" i="15" s="1"/>
  <c r="E109" i="15"/>
  <c r="G109" i="15" s="1"/>
  <c r="H109" i="15" s="1"/>
  <c r="E116" i="15"/>
  <c r="G116" i="15" s="1"/>
  <c r="H116" i="15" s="1"/>
  <c r="E115" i="15"/>
  <c r="G115" i="15" s="1"/>
  <c r="H115" i="15" s="1"/>
  <c r="E110" i="15"/>
  <c r="G110" i="15" s="1"/>
  <c r="H110" i="15" s="1"/>
  <c r="E105" i="15"/>
  <c r="G105" i="15" s="1"/>
  <c r="H105" i="15" s="1"/>
  <c r="E101" i="15"/>
  <c r="G101" i="15" s="1"/>
  <c r="H101" i="15" s="1"/>
  <c r="E117" i="15"/>
  <c r="G117" i="15" s="1"/>
  <c r="H117" i="15" s="1"/>
  <c r="E104" i="15"/>
  <c r="G104" i="15" s="1"/>
  <c r="H104" i="15" s="1"/>
  <c r="E112" i="15"/>
  <c r="G112" i="15" s="1"/>
  <c r="H112" i="15" s="1"/>
  <c r="E120" i="15"/>
  <c r="G120" i="15" s="1"/>
  <c r="H120" i="15" s="1"/>
  <c r="E108" i="15"/>
  <c r="G108" i="15" s="1"/>
  <c r="H108" i="15" s="1"/>
  <c r="E99" i="15"/>
  <c r="G99" i="15" s="1"/>
  <c r="H99" i="15" s="1"/>
  <c r="E107" i="15"/>
  <c r="G107" i="15" s="1"/>
  <c r="H107" i="15" s="1"/>
  <c r="E102" i="15"/>
  <c r="G102" i="15" s="1"/>
  <c r="H102" i="15" s="1"/>
  <c r="E118" i="15"/>
  <c r="G118" i="15" s="1"/>
  <c r="H118" i="15" s="1"/>
  <c r="E121" i="15"/>
  <c r="G121" i="15" s="1"/>
  <c r="H121" i="15" s="1"/>
  <c r="B62" i="5"/>
  <c r="E93" i="77"/>
  <c r="G93" i="77" s="1"/>
  <c r="H93" i="77" s="1"/>
  <c r="H56" i="77"/>
  <c r="H57" i="77" s="1"/>
  <c r="E97" i="59"/>
  <c r="G97" i="59" s="1"/>
  <c r="H97" i="59" s="1"/>
  <c r="E103" i="59"/>
  <c r="G103" i="59" s="1"/>
  <c r="H103" i="59" s="1"/>
  <c r="E91" i="59"/>
  <c r="G91" i="59" s="1"/>
  <c r="H91" i="59" s="1"/>
  <c r="E92" i="59"/>
  <c r="G92" i="59" s="1"/>
  <c r="H92" i="59" s="1"/>
  <c r="E93" i="59"/>
  <c r="G93" i="59" s="1"/>
  <c r="H93" i="59" s="1"/>
  <c r="E94" i="59"/>
  <c r="G94" i="59" s="1"/>
  <c r="H94" i="59" s="1"/>
  <c r="E95" i="59"/>
  <c r="G95" i="59" s="1"/>
  <c r="H95" i="59" s="1"/>
  <c r="E98" i="59"/>
  <c r="G98" i="59" s="1"/>
  <c r="H98" i="59" s="1"/>
  <c r="E99" i="59"/>
  <c r="G99" i="59" s="1"/>
  <c r="H99" i="59" s="1"/>
  <c r="E100" i="59"/>
  <c r="G100" i="59" s="1"/>
  <c r="H100" i="59" s="1"/>
  <c r="E101" i="59"/>
  <c r="G101" i="59" s="1"/>
  <c r="H101" i="59" s="1"/>
  <c r="E102" i="59"/>
  <c r="G102" i="59" s="1"/>
  <c r="H102" i="59" s="1"/>
  <c r="E90" i="59"/>
  <c r="G90" i="59" s="1"/>
  <c r="H90" i="59" s="1"/>
  <c r="E96" i="59"/>
  <c r="G96" i="59" s="1"/>
  <c r="H96" i="59" s="1"/>
  <c r="C55" i="59"/>
  <c r="D55" i="59" s="1"/>
  <c r="E69" i="53"/>
  <c r="G69" i="53" s="1"/>
  <c r="H69" i="53" s="1"/>
  <c r="E67" i="53"/>
  <c r="G67" i="53" s="1"/>
  <c r="H67" i="53" s="1"/>
  <c r="E68" i="53"/>
  <c r="G68" i="53" s="1"/>
  <c r="H68" i="53" s="1"/>
  <c r="C54" i="53"/>
  <c r="D54" i="53" s="1"/>
  <c r="E87" i="49"/>
  <c r="G87" i="49" s="1"/>
  <c r="H87" i="49" s="1"/>
  <c r="E96" i="34"/>
  <c r="G96" i="34" s="1"/>
  <c r="H96" i="34" s="1"/>
  <c r="E91" i="34"/>
  <c r="G91" i="34" s="1"/>
  <c r="H91" i="34" s="1"/>
  <c r="H56" i="34"/>
  <c r="E95" i="34"/>
  <c r="G95" i="34" s="1"/>
  <c r="H95" i="34" s="1"/>
  <c r="E94" i="34"/>
  <c r="G94" i="34" s="1"/>
  <c r="H94" i="34" s="1"/>
  <c r="B88" i="34"/>
  <c r="B63" i="34"/>
  <c r="E92" i="34"/>
  <c r="G92" i="34" s="1"/>
  <c r="H92" i="34" s="1"/>
  <c r="E93" i="34"/>
  <c r="G93" i="34" s="1"/>
  <c r="H93" i="34" s="1"/>
  <c r="E100" i="18"/>
  <c r="G100" i="18" s="1"/>
  <c r="H100" i="18" s="1"/>
  <c r="E103" i="18"/>
  <c r="G103" i="18" s="1"/>
  <c r="H103" i="18" s="1"/>
  <c r="E92" i="18"/>
  <c r="G92" i="18" s="1"/>
  <c r="H92" i="18" s="1"/>
  <c r="E105" i="18"/>
  <c r="G105" i="18" s="1"/>
  <c r="H105" i="18" s="1"/>
  <c r="E96" i="18"/>
  <c r="G96" i="18" s="1"/>
  <c r="H96" i="18" s="1"/>
  <c r="E99" i="18"/>
  <c r="G99" i="18" s="1"/>
  <c r="H99" i="18" s="1"/>
  <c r="E94" i="18"/>
  <c r="G94" i="18" s="1"/>
  <c r="H94" i="18" s="1"/>
  <c r="E97" i="18"/>
  <c r="G97" i="18" s="1"/>
  <c r="H97" i="18" s="1"/>
  <c r="E101" i="18"/>
  <c r="G101" i="18" s="1"/>
  <c r="H101" i="18" s="1"/>
  <c r="E91" i="18"/>
  <c r="G91" i="18" s="1"/>
  <c r="H91" i="18" s="1"/>
  <c r="E104" i="18"/>
  <c r="G104" i="18" s="1"/>
  <c r="H104" i="18" s="1"/>
  <c r="E93" i="18"/>
  <c r="G93" i="18" s="1"/>
  <c r="H93" i="18" s="1"/>
  <c r="C55" i="18"/>
  <c r="D55" i="18" s="1"/>
  <c r="E100" i="15"/>
  <c r="G100" i="15" s="1"/>
  <c r="H100" i="15" s="1"/>
  <c r="E103" i="15"/>
  <c r="G103" i="15" s="1"/>
  <c r="H103" i="15" s="1"/>
  <c r="E111" i="15"/>
  <c r="G111" i="15" s="1"/>
  <c r="H111" i="15" s="1"/>
  <c r="E119" i="15"/>
  <c r="G119" i="15" s="1"/>
  <c r="H119" i="15" s="1"/>
  <c r="E98" i="15"/>
  <c r="G98" i="15" s="1"/>
  <c r="H98" i="15" s="1"/>
  <c r="E106" i="15"/>
  <c r="G106" i="15" s="1"/>
  <c r="H106" i="15" s="1"/>
  <c r="E114" i="15"/>
  <c r="G114" i="15" s="1"/>
  <c r="H114" i="15" s="1"/>
  <c r="C55" i="69"/>
  <c r="G65" i="72"/>
  <c r="H65" i="72" s="1"/>
  <c r="H54" i="72"/>
  <c r="E94" i="72" s="1"/>
  <c r="G94" i="72" s="1"/>
  <c r="H94" i="72" s="1"/>
  <c r="E91" i="77"/>
  <c r="G91" i="77" s="1"/>
  <c r="H91" i="77" s="1"/>
  <c r="E95" i="77"/>
  <c r="G95" i="77" s="1"/>
  <c r="H95" i="77" s="1"/>
  <c r="E92" i="77"/>
  <c r="G92" i="77" s="1"/>
  <c r="H92" i="77" s="1"/>
  <c r="E96" i="77"/>
  <c r="G96" i="77" s="1"/>
  <c r="H96" i="77" s="1"/>
  <c r="E94" i="77"/>
  <c r="G94" i="77" s="1"/>
  <c r="H94" i="77" s="1"/>
  <c r="E92" i="16"/>
  <c r="G92" i="16" s="1"/>
  <c r="H92" i="16" s="1"/>
  <c r="AC25" i="59"/>
  <c r="C55" i="49"/>
  <c r="D55" i="49" s="1"/>
  <c r="E113" i="17"/>
  <c r="G113" i="17" s="1"/>
  <c r="H113" i="17" s="1"/>
  <c r="E116" i="17"/>
  <c r="G116" i="17" s="1"/>
  <c r="H116" i="17" s="1"/>
  <c r="E111" i="17"/>
  <c r="G111" i="17" s="1"/>
  <c r="H111" i="17" s="1"/>
  <c r="E97" i="17"/>
  <c r="G97" i="17" s="1"/>
  <c r="H97" i="17" s="1"/>
  <c r="G67" i="17"/>
  <c r="H67" i="17" s="1"/>
  <c r="E91" i="16"/>
  <c r="G91" i="16" s="1"/>
  <c r="H91" i="16" s="1"/>
  <c r="E94" i="16"/>
  <c r="G94" i="16" s="1"/>
  <c r="H94" i="16" s="1"/>
  <c r="E113" i="15"/>
  <c r="G113" i="15" s="1"/>
  <c r="H113" i="15" s="1"/>
  <c r="E96" i="56"/>
  <c r="G96" i="56" s="1"/>
  <c r="H96" i="56" s="1"/>
  <c r="E97" i="56"/>
  <c r="G97" i="56" s="1"/>
  <c r="H97" i="56" s="1"/>
  <c r="E88" i="56"/>
  <c r="G88" i="56" s="1"/>
  <c r="H88" i="56" s="1"/>
  <c r="E89" i="56"/>
  <c r="G89" i="56" s="1"/>
  <c r="H89" i="56" s="1"/>
  <c r="E86" i="56"/>
  <c r="G86" i="56" s="1"/>
  <c r="H86" i="56" s="1"/>
  <c r="E91" i="56"/>
  <c r="G91" i="56" s="1"/>
  <c r="H91" i="56" s="1"/>
  <c r="E94" i="56"/>
  <c r="G94" i="56" s="1"/>
  <c r="H94" i="56" s="1"/>
  <c r="E92" i="56"/>
  <c r="G92" i="56" s="1"/>
  <c r="H92" i="56" s="1"/>
  <c r="E87" i="56"/>
  <c r="G87" i="56" s="1"/>
  <c r="H87" i="56" s="1"/>
  <c r="E93" i="56"/>
  <c r="G93" i="56" s="1"/>
  <c r="H93" i="56" s="1"/>
  <c r="C55" i="56"/>
  <c r="D55" i="56" s="1"/>
  <c r="E95" i="56"/>
  <c r="G95" i="56" s="1"/>
  <c r="H95" i="56" s="1"/>
  <c r="E90" i="56"/>
  <c r="G90" i="56" s="1"/>
  <c r="H90" i="56" s="1"/>
  <c r="E100" i="44"/>
  <c r="G100" i="44" s="1"/>
  <c r="H100" i="44" s="1"/>
  <c r="E103" i="44"/>
  <c r="G103" i="44" s="1"/>
  <c r="H103" i="44" s="1"/>
  <c r="E101" i="44"/>
  <c r="G101" i="44" s="1"/>
  <c r="H101" i="44" s="1"/>
  <c r="E93" i="44"/>
  <c r="G93" i="44" s="1"/>
  <c r="H93" i="44" s="1"/>
  <c r="E105" i="44"/>
  <c r="G105" i="44" s="1"/>
  <c r="H105" i="44" s="1"/>
  <c r="E91" i="44"/>
  <c r="G91" i="44" s="1"/>
  <c r="H91" i="44" s="1"/>
  <c r="E99" i="44"/>
  <c r="G99" i="44" s="1"/>
  <c r="H99" i="44" s="1"/>
  <c r="E98" i="44"/>
  <c r="G98" i="44" s="1"/>
  <c r="H98" i="44" s="1"/>
  <c r="C55" i="44"/>
  <c r="D55" i="44" s="1"/>
  <c r="E94" i="44"/>
  <c r="G94" i="44" s="1"/>
  <c r="H94" i="44" s="1"/>
  <c r="E96" i="44"/>
  <c r="G96" i="44" s="1"/>
  <c r="H96" i="44" s="1"/>
  <c r="E92" i="44"/>
  <c r="G92" i="44" s="1"/>
  <c r="H92" i="44" s="1"/>
  <c r="E95" i="44"/>
  <c r="G95" i="44" s="1"/>
  <c r="H95" i="44" s="1"/>
  <c r="E104" i="44"/>
  <c r="G104" i="44" s="1"/>
  <c r="H104" i="44" s="1"/>
  <c r="E97" i="44"/>
  <c r="G97" i="44" s="1"/>
  <c r="H97" i="44" s="1"/>
  <c r="E102" i="44"/>
  <c r="G102" i="44" s="1"/>
  <c r="H102" i="44" s="1"/>
  <c r="G66" i="42"/>
  <c r="H66" i="42" s="1"/>
  <c r="G70" i="42"/>
  <c r="H70" i="42" s="1"/>
  <c r="G68" i="42"/>
  <c r="H68" i="42" s="1"/>
  <c r="G65" i="42"/>
  <c r="H65" i="42" s="1"/>
  <c r="G71" i="42"/>
  <c r="H71" i="42" s="1"/>
  <c r="G69" i="42"/>
  <c r="H69" i="42" s="1"/>
  <c r="G72" i="42"/>
  <c r="H72" i="42" s="1"/>
  <c r="G67" i="42"/>
  <c r="H67" i="42" s="1"/>
  <c r="T34" i="42"/>
  <c r="AC25" i="42" s="1"/>
  <c r="C55" i="28"/>
  <c r="E93" i="28"/>
  <c r="G93" i="28" s="1"/>
  <c r="H93" i="28" s="1"/>
  <c r="E102" i="28"/>
  <c r="G102" i="28" s="1"/>
  <c r="H102" i="28" s="1"/>
  <c r="E106" i="28"/>
  <c r="G106" i="28" s="1"/>
  <c r="H106" i="28" s="1"/>
  <c r="E98" i="28"/>
  <c r="G98" i="28" s="1"/>
  <c r="H98" i="28" s="1"/>
  <c r="E107" i="28"/>
  <c r="G107" i="28" s="1"/>
  <c r="H107" i="28" s="1"/>
  <c r="E99" i="28"/>
  <c r="G99" i="28" s="1"/>
  <c r="H99" i="28" s="1"/>
  <c r="E97" i="28"/>
  <c r="G97" i="28" s="1"/>
  <c r="H97" i="28" s="1"/>
  <c r="E104" i="28"/>
  <c r="G104" i="28" s="1"/>
  <c r="H104" i="28" s="1"/>
  <c r="C55" i="21"/>
  <c r="D55" i="21" s="1"/>
  <c r="E87" i="20"/>
  <c r="G87" i="20" s="1"/>
  <c r="H87" i="20" s="1"/>
  <c r="H55" i="20"/>
  <c r="G90" i="18"/>
  <c r="H90" i="18" s="1"/>
  <c r="H55" i="18"/>
  <c r="E110" i="17"/>
  <c r="G110" i="17" s="1"/>
  <c r="H110" i="17" s="1"/>
  <c r="E100" i="17"/>
  <c r="G100" i="17" s="1"/>
  <c r="H100" i="17" s="1"/>
  <c r="E102" i="17"/>
  <c r="G102" i="17" s="1"/>
  <c r="H102" i="17" s="1"/>
  <c r="C55" i="16"/>
  <c r="D55" i="16" s="1"/>
  <c r="E93" i="16"/>
  <c r="G93" i="16" s="1"/>
  <c r="H93" i="16" s="1"/>
  <c r="E90" i="16"/>
  <c r="G90" i="16" s="1"/>
  <c r="H90" i="16" s="1"/>
  <c r="E87" i="16"/>
  <c r="G87" i="16" s="1"/>
  <c r="H87" i="16" s="1"/>
  <c r="E89" i="16"/>
  <c r="G89" i="16" s="1"/>
  <c r="H89" i="16" s="1"/>
  <c r="E88" i="16"/>
  <c r="G88" i="16" s="1"/>
  <c r="H88" i="16" s="1"/>
  <c r="E77" i="10"/>
  <c r="G77" i="10" s="1"/>
  <c r="H77" i="10" s="1"/>
  <c r="E80" i="10"/>
  <c r="G80" i="10" s="1"/>
  <c r="H80" i="10" s="1"/>
  <c r="E76" i="10"/>
  <c r="G76" i="10" s="1"/>
  <c r="H76" i="10" s="1"/>
  <c r="E78" i="10"/>
  <c r="G78" i="10" s="1"/>
  <c r="H78" i="10" s="1"/>
  <c r="E79" i="10"/>
  <c r="G79" i="10" s="1"/>
  <c r="H79" i="10" s="1"/>
  <c r="H55" i="10"/>
  <c r="G71" i="40"/>
  <c r="H71" i="40" s="1"/>
  <c r="G68" i="40"/>
  <c r="H68" i="40" s="1"/>
  <c r="G69" i="40"/>
  <c r="H69" i="40" s="1"/>
  <c r="G73" i="40"/>
  <c r="H73" i="40" s="1"/>
  <c r="G65" i="40"/>
  <c r="H65" i="40" s="1"/>
  <c r="G66" i="40"/>
  <c r="H66" i="40" s="1"/>
  <c r="G70" i="40"/>
  <c r="H70" i="40" s="1"/>
  <c r="G67" i="40"/>
  <c r="H67" i="40" s="1"/>
  <c r="G72" i="40"/>
  <c r="H72" i="40" s="1"/>
  <c r="I55" i="29"/>
  <c r="E95" i="28"/>
  <c r="G95" i="28" s="1"/>
  <c r="H95" i="28" s="1"/>
  <c r="E110" i="28"/>
  <c r="G110" i="28" s="1"/>
  <c r="H110" i="28" s="1"/>
  <c r="E101" i="28"/>
  <c r="G101" i="28" s="1"/>
  <c r="H101" i="28" s="1"/>
  <c r="E96" i="28"/>
  <c r="G96" i="28" s="1"/>
  <c r="H96" i="28" s="1"/>
  <c r="E109" i="28"/>
  <c r="G109" i="28" s="1"/>
  <c r="H109" i="28" s="1"/>
  <c r="E100" i="28"/>
  <c r="G100" i="28" s="1"/>
  <c r="H100" i="28" s="1"/>
  <c r="E103" i="28"/>
  <c r="G103" i="28" s="1"/>
  <c r="H103" i="28" s="1"/>
  <c r="E108" i="28"/>
  <c r="G108" i="28" s="1"/>
  <c r="H108" i="28" s="1"/>
  <c r="E94" i="28"/>
  <c r="G94" i="28" s="1"/>
  <c r="H94" i="28" s="1"/>
  <c r="B63" i="26"/>
  <c r="B63" i="20"/>
  <c r="B105" i="20"/>
  <c r="B85" i="20"/>
  <c r="B62" i="20"/>
  <c r="E102" i="18"/>
  <c r="G102" i="18" s="1"/>
  <c r="H102" i="18" s="1"/>
  <c r="E98" i="18"/>
  <c r="G98" i="18" s="1"/>
  <c r="H98" i="18" s="1"/>
  <c r="E95" i="18"/>
  <c r="G95" i="18" s="1"/>
  <c r="H95" i="18" s="1"/>
  <c r="E105" i="17"/>
  <c r="G105" i="17" s="1"/>
  <c r="H105" i="17" s="1"/>
  <c r="E107" i="17"/>
  <c r="G107" i="17" s="1"/>
  <c r="H107" i="17" s="1"/>
  <c r="E108" i="17"/>
  <c r="G108" i="17" s="1"/>
  <c r="H108" i="17" s="1"/>
  <c r="E103" i="17"/>
  <c r="G103" i="17" s="1"/>
  <c r="H103" i="17" s="1"/>
  <c r="E98" i="17"/>
  <c r="G98" i="17" s="1"/>
  <c r="H98" i="17" s="1"/>
  <c r="E101" i="17"/>
  <c r="G101" i="17" s="1"/>
  <c r="H101" i="17" s="1"/>
  <c r="E117" i="17"/>
  <c r="G117" i="17" s="1"/>
  <c r="H117" i="17" s="1"/>
  <c r="E112" i="17"/>
  <c r="G112" i="17" s="1"/>
  <c r="H112" i="17" s="1"/>
  <c r="E99" i="17"/>
  <c r="G99" i="17" s="1"/>
  <c r="H99" i="17" s="1"/>
  <c r="E119" i="17"/>
  <c r="G119" i="17" s="1"/>
  <c r="H119" i="17" s="1"/>
  <c r="E106" i="17"/>
  <c r="G106" i="17" s="1"/>
  <c r="H106" i="17" s="1"/>
  <c r="E114" i="17"/>
  <c r="G114" i="17" s="1"/>
  <c r="H114" i="17" s="1"/>
  <c r="E109" i="17"/>
  <c r="G109" i="17" s="1"/>
  <c r="H109" i="17" s="1"/>
  <c r="E104" i="17"/>
  <c r="G104" i="17" s="1"/>
  <c r="H104" i="17" s="1"/>
  <c r="E115" i="17"/>
  <c r="G115" i="17" s="1"/>
  <c r="H115" i="17" s="1"/>
  <c r="E118" i="17"/>
  <c r="G118" i="17" s="1"/>
  <c r="H118" i="17" s="1"/>
  <c r="H55" i="8"/>
  <c r="E115" i="8" s="1"/>
  <c r="G115" i="8" s="1"/>
  <c r="H115" i="8" s="1"/>
  <c r="E113" i="29"/>
  <c r="G113" i="29" s="1"/>
  <c r="H113" i="29" s="1"/>
  <c r="B62" i="27"/>
  <c r="C54" i="37"/>
  <c r="D54" i="37" s="1"/>
  <c r="B62" i="26"/>
  <c r="B85" i="27"/>
  <c r="I56" i="23"/>
  <c r="E114" i="20"/>
  <c r="G114" i="20" s="1"/>
  <c r="H114" i="20" s="1"/>
  <c r="E122" i="20"/>
  <c r="G122" i="20" s="1"/>
  <c r="H122" i="20" s="1"/>
  <c r="E110" i="20"/>
  <c r="G110" i="20" s="1"/>
  <c r="H110" i="20" s="1"/>
  <c r="E113" i="20"/>
  <c r="G113" i="20" s="1"/>
  <c r="H113" i="20" s="1"/>
  <c r="E116" i="20"/>
  <c r="G116" i="20" s="1"/>
  <c r="H116" i="20" s="1"/>
  <c r="E117" i="20"/>
  <c r="G117" i="20" s="1"/>
  <c r="H117" i="20" s="1"/>
  <c r="E109" i="20"/>
  <c r="G109" i="20" s="1"/>
  <c r="H109" i="20" s="1"/>
  <c r="E121" i="20"/>
  <c r="G121" i="20" s="1"/>
  <c r="H121" i="20" s="1"/>
  <c r="B63" i="5"/>
  <c r="H55" i="59"/>
  <c r="E89" i="59"/>
  <c r="G89" i="59" s="1"/>
  <c r="H89" i="59" s="1"/>
  <c r="B63" i="73"/>
  <c r="B62" i="73"/>
  <c r="C55" i="73"/>
  <c r="D55" i="73" s="1"/>
  <c r="E104" i="58"/>
  <c r="G104" i="58" s="1"/>
  <c r="H104" i="58" s="1"/>
  <c r="E89" i="58"/>
  <c r="G89" i="58" s="1"/>
  <c r="H89" i="58" s="1"/>
  <c r="E94" i="58"/>
  <c r="G94" i="58" s="1"/>
  <c r="H94" i="58" s="1"/>
  <c r="E91" i="58"/>
  <c r="G91" i="58" s="1"/>
  <c r="H91" i="58" s="1"/>
  <c r="E96" i="58"/>
  <c r="G96" i="58" s="1"/>
  <c r="H96" i="58" s="1"/>
  <c r="E92" i="58"/>
  <c r="G92" i="58" s="1"/>
  <c r="H92" i="58" s="1"/>
  <c r="E100" i="58"/>
  <c r="G100" i="58" s="1"/>
  <c r="H100" i="58" s="1"/>
  <c r="E93" i="58"/>
  <c r="G93" i="58" s="1"/>
  <c r="H93" i="58" s="1"/>
  <c r="E98" i="58"/>
  <c r="G98" i="58" s="1"/>
  <c r="H98" i="58" s="1"/>
  <c r="E102" i="58"/>
  <c r="G102" i="58" s="1"/>
  <c r="H102" i="58" s="1"/>
  <c r="E99" i="58"/>
  <c r="G99" i="58" s="1"/>
  <c r="H99" i="58" s="1"/>
  <c r="E101" i="58"/>
  <c r="G101" i="58" s="1"/>
  <c r="H101" i="58" s="1"/>
  <c r="E103" i="58"/>
  <c r="G103" i="58" s="1"/>
  <c r="H103" i="58" s="1"/>
  <c r="E97" i="58"/>
  <c r="G97" i="58" s="1"/>
  <c r="H97" i="58" s="1"/>
  <c r="E95" i="58"/>
  <c r="G95" i="58" s="1"/>
  <c r="H95" i="58" s="1"/>
  <c r="E90" i="58"/>
  <c r="G90" i="58" s="1"/>
  <c r="H90" i="58" s="1"/>
  <c r="C55" i="58"/>
  <c r="D55" i="58" s="1"/>
  <c r="E5" i="56"/>
  <c r="G5" i="56" s="1"/>
  <c r="H5" i="56" s="1"/>
  <c r="K5" i="56" s="1"/>
  <c r="L5" i="56" s="1"/>
  <c r="S35" i="56" s="1"/>
  <c r="H53" i="56"/>
  <c r="E65" i="56" s="1"/>
  <c r="G65" i="56" s="1"/>
  <c r="H65" i="56" s="1"/>
  <c r="E5" i="58"/>
  <c r="G5" i="58" s="1"/>
  <c r="H5" i="58" s="1"/>
  <c r="K5" i="58" s="1"/>
  <c r="L5" i="58" s="1"/>
  <c r="S35" i="58" s="1"/>
  <c r="AA30" i="58" s="1"/>
  <c r="AD30" i="58" s="1"/>
  <c r="H53" i="58"/>
  <c r="E65" i="58" s="1"/>
  <c r="G65" i="58" s="1"/>
  <c r="H65" i="58" s="1"/>
  <c r="I55" i="74"/>
  <c r="H53" i="74"/>
  <c r="E65" i="74" s="1"/>
  <c r="G65" i="74" s="1"/>
  <c r="H65" i="74" s="1"/>
  <c r="E5" i="74"/>
  <c r="G5" i="74" s="1"/>
  <c r="H5" i="74" s="1"/>
  <c r="K5" i="74" s="1"/>
  <c r="L5" i="74" s="1"/>
  <c r="S35" i="74" s="1"/>
  <c r="H65" i="73"/>
  <c r="K5" i="73"/>
  <c r="L5" i="73" s="1"/>
  <c r="S35" i="73" s="1"/>
  <c r="C55" i="74"/>
  <c r="D55" i="74" s="1"/>
  <c r="C55" i="71"/>
  <c r="B62" i="71" s="1"/>
  <c r="I54" i="47"/>
  <c r="J55" i="47"/>
  <c r="I55" i="47" s="1"/>
  <c r="E5" i="47"/>
  <c r="G5" i="47" s="1"/>
  <c r="H5" i="47" s="1"/>
  <c r="K5" i="47" s="1"/>
  <c r="L5" i="47" s="1"/>
  <c r="S35" i="47" s="1"/>
  <c r="H53" i="47"/>
  <c r="E65" i="47" s="1"/>
  <c r="B63" i="50"/>
  <c r="B62" i="50"/>
  <c r="B86" i="50"/>
  <c r="C55" i="43"/>
  <c r="D55" i="43" s="1"/>
  <c r="E96" i="43"/>
  <c r="G96" i="43" s="1"/>
  <c r="H96" i="43" s="1"/>
  <c r="E94" i="43"/>
  <c r="G94" i="43" s="1"/>
  <c r="H94" i="43" s="1"/>
  <c r="E92" i="43"/>
  <c r="G92" i="43" s="1"/>
  <c r="H92" i="43" s="1"/>
  <c r="E93" i="43"/>
  <c r="G93" i="43" s="1"/>
  <c r="H93" i="43" s="1"/>
  <c r="E85" i="43"/>
  <c r="G85" i="43" s="1"/>
  <c r="H85" i="43" s="1"/>
  <c r="E86" i="43"/>
  <c r="G86" i="43" s="1"/>
  <c r="H86" i="43" s="1"/>
  <c r="E88" i="43"/>
  <c r="G88" i="43" s="1"/>
  <c r="H88" i="43" s="1"/>
  <c r="E90" i="43"/>
  <c r="G90" i="43" s="1"/>
  <c r="H90" i="43" s="1"/>
  <c r="E95" i="43"/>
  <c r="G95" i="43" s="1"/>
  <c r="H95" i="43" s="1"/>
  <c r="E87" i="43"/>
  <c r="G87" i="43" s="1"/>
  <c r="H87" i="43" s="1"/>
  <c r="E89" i="43"/>
  <c r="G89" i="43" s="1"/>
  <c r="H89" i="43" s="1"/>
  <c r="E91" i="43"/>
  <c r="G91" i="43" s="1"/>
  <c r="H91" i="43" s="1"/>
  <c r="AB30" i="32"/>
  <c r="AD30" i="32" s="1"/>
  <c r="AC25" i="32" s="1"/>
  <c r="H55" i="35"/>
  <c r="B87" i="35" s="1"/>
  <c r="C54" i="32"/>
  <c r="D54" i="32" s="1"/>
  <c r="E80" i="32"/>
  <c r="G80" i="32" s="1"/>
  <c r="H80" i="32" s="1"/>
  <c r="E79" i="32"/>
  <c r="G79" i="32" s="1"/>
  <c r="H79" i="32" s="1"/>
  <c r="E78" i="32"/>
  <c r="G78" i="32" s="1"/>
  <c r="H78" i="32" s="1"/>
  <c r="E77" i="32"/>
  <c r="G77" i="32" s="1"/>
  <c r="H77" i="32" s="1"/>
  <c r="E76" i="32"/>
  <c r="G76" i="32" s="1"/>
  <c r="H76" i="32" s="1"/>
  <c r="E75" i="32"/>
  <c r="G75" i="32" s="1"/>
  <c r="H75" i="32" s="1"/>
  <c r="E74" i="32"/>
  <c r="G74" i="32" s="1"/>
  <c r="H74" i="32" s="1"/>
  <c r="E73" i="32"/>
  <c r="G73" i="32" s="1"/>
  <c r="H73" i="32" s="1"/>
  <c r="E72" i="32"/>
  <c r="G72" i="32" s="1"/>
  <c r="H72" i="32" s="1"/>
  <c r="E71" i="32"/>
  <c r="G71" i="32" s="1"/>
  <c r="H71" i="32" s="1"/>
  <c r="E70" i="32"/>
  <c r="G70" i="32" s="1"/>
  <c r="H70" i="32" s="1"/>
  <c r="E69" i="32"/>
  <c r="G69" i="32" s="1"/>
  <c r="H69" i="32" s="1"/>
  <c r="E68" i="32"/>
  <c r="G68" i="32" s="1"/>
  <c r="H68" i="32" s="1"/>
  <c r="E67" i="32"/>
  <c r="G67" i="32" s="1"/>
  <c r="H67" i="32" s="1"/>
  <c r="B64" i="31"/>
  <c r="B85" i="29"/>
  <c r="B62" i="29"/>
  <c r="B63" i="29"/>
  <c r="B84" i="29"/>
  <c r="B107" i="29"/>
  <c r="E119" i="29"/>
  <c r="G119" i="29" s="1"/>
  <c r="H119" i="29" s="1"/>
  <c r="E112" i="29"/>
  <c r="G112" i="29" s="1"/>
  <c r="H112" i="29" s="1"/>
  <c r="E121" i="29"/>
  <c r="G121" i="29" s="1"/>
  <c r="H121" i="29" s="1"/>
  <c r="E111" i="29"/>
  <c r="G111" i="29" s="1"/>
  <c r="H111" i="29" s="1"/>
  <c r="E118" i="29"/>
  <c r="G118" i="29" s="1"/>
  <c r="H118" i="29" s="1"/>
  <c r="E122" i="29"/>
  <c r="G122" i="29" s="1"/>
  <c r="H122" i="29" s="1"/>
  <c r="E120" i="29"/>
  <c r="G120" i="29" s="1"/>
  <c r="H120" i="29" s="1"/>
  <c r="E123" i="29"/>
  <c r="G123" i="29" s="1"/>
  <c r="H123" i="29" s="1"/>
  <c r="E115" i="29"/>
  <c r="G115" i="29" s="1"/>
  <c r="H115" i="29" s="1"/>
  <c r="E124" i="29"/>
  <c r="G124" i="29" s="1"/>
  <c r="H124" i="29" s="1"/>
  <c r="E117" i="29"/>
  <c r="G117" i="29" s="1"/>
  <c r="H117" i="29" s="1"/>
  <c r="E114" i="29"/>
  <c r="G114" i="29" s="1"/>
  <c r="H114" i="29" s="1"/>
  <c r="B85" i="50"/>
  <c r="B110" i="45"/>
  <c r="B109" i="45"/>
  <c r="B63" i="45"/>
  <c r="E113" i="45"/>
  <c r="G113" i="45" s="1"/>
  <c r="H113" i="45" s="1"/>
  <c r="E114" i="45"/>
  <c r="G114" i="45" s="1"/>
  <c r="H114" i="45" s="1"/>
  <c r="E115" i="45"/>
  <c r="G115" i="45" s="1"/>
  <c r="H115" i="45" s="1"/>
  <c r="E116" i="45"/>
  <c r="G116" i="45" s="1"/>
  <c r="H116" i="45" s="1"/>
  <c r="E117" i="45"/>
  <c r="G117" i="45" s="1"/>
  <c r="H117" i="45" s="1"/>
  <c r="E118" i="45"/>
  <c r="G118" i="45" s="1"/>
  <c r="H118" i="45" s="1"/>
  <c r="E119" i="45"/>
  <c r="G119" i="45" s="1"/>
  <c r="H119" i="45" s="1"/>
  <c r="E120" i="45"/>
  <c r="G120" i="45" s="1"/>
  <c r="H120" i="45" s="1"/>
  <c r="E121" i="45"/>
  <c r="G121" i="45" s="1"/>
  <c r="H121" i="45" s="1"/>
  <c r="E122" i="45"/>
  <c r="G122" i="45" s="1"/>
  <c r="H122" i="45" s="1"/>
  <c r="E123" i="45"/>
  <c r="G123" i="45" s="1"/>
  <c r="H123" i="45" s="1"/>
  <c r="E124" i="45"/>
  <c r="G124" i="45" s="1"/>
  <c r="H124" i="45" s="1"/>
  <c r="E125" i="45"/>
  <c r="G125" i="45" s="1"/>
  <c r="H125" i="45" s="1"/>
  <c r="E126" i="45"/>
  <c r="G126" i="45" s="1"/>
  <c r="H126" i="45" s="1"/>
  <c r="E127" i="45"/>
  <c r="G127" i="45" s="1"/>
  <c r="H127" i="45" s="1"/>
  <c r="E5" i="33"/>
  <c r="G5" i="33" s="1"/>
  <c r="H5" i="33" s="1"/>
  <c r="K5" i="33" s="1"/>
  <c r="L5" i="33" s="1"/>
  <c r="S35" i="33" s="1"/>
  <c r="H53" i="33"/>
  <c r="E65" i="33" s="1"/>
  <c r="G65" i="33" s="1"/>
  <c r="H65" i="33" s="1"/>
  <c r="E106" i="33"/>
  <c r="G106" i="33" s="1"/>
  <c r="H106" i="33" s="1"/>
  <c r="E97" i="33"/>
  <c r="G97" i="33" s="1"/>
  <c r="H97" i="33" s="1"/>
  <c r="E95" i="33"/>
  <c r="G95" i="33" s="1"/>
  <c r="H95" i="33" s="1"/>
  <c r="E103" i="33"/>
  <c r="E107" i="33"/>
  <c r="G107" i="33" s="1"/>
  <c r="H107" i="33" s="1"/>
  <c r="E96" i="33"/>
  <c r="E104" i="33"/>
  <c r="E108" i="33"/>
  <c r="G108" i="33" s="1"/>
  <c r="H108" i="33" s="1"/>
  <c r="E101" i="33"/>
  <c r="G101" i="33" s="1"/>
  <c r="H101" i="33" s="1"/>
  <c r="E105" i="33"/>
  <c r="E100" i="33"/>
  <c r="G100" i="33" s="1"/>
  <c r="H100" i="33" s="1"/>
  <c r="E109" i="33"/>
  <c r="E94" i="33"/>
  <c r="E102" i="33"/>
  <c r="E99" i="33"/>
  <c r="E112" i="33"/>
  <c r="E110" i="33"/>
  <c r="E98" i="33"/>
  <c r="E111" i="33"/>
  <c r="C55" i="33"/>
  <c r="B84" i="20"/>
  <c r="E112" i="20"/>
  <c r="G112" i="20" s="1"/>
  <c r="H112" i="20" s="1"/>
  <c r="E120" i="20"/>
  <c r="G120" i="20" s="1"/>
  <c r="H120" i="20" s="1"/>
  <c r="E111" i="20"/>
  <c r="G111" i="20" s="1"/>
  <c r="H111" i="20" s="1"/>
  <c r="E115" i="20"/>
  <c r="G115" i="20" s="1"/>
  <c r="H115" i="20" s="1"/>
  <c r="E118" i="20"/>
  <c r="G118" i="20" s="1"/>
  <c r="H118" i="20" s="1"/>
  <c r="E119" i="20"/>
  <c r="G119" i="20" s="1"/>
  <c r="H119" i="20" s="1"/>
  <c r="E94" i="19"/>
  <c r="G94" i="19" s="1"/>
  <c r="H94" i="19" s="1"/>
  <c r="E97" i="19"/>
  <c r="G97" i="19" s="1"/>
  <c r="H97" i="19" s="1"/>
  <c r="E92" i="19"/>
  <c r="G92" i="19" s="1"/>
  <c r="H92" i="19" s="1"/>
  <c r="E95" i="19"/>
  <c r="G95" i="19" s="1"/>
  <c r="H95" i="19" s="1"/>
  <c r="E98" i="19"/>
  <c r="G98" i="19" s="1"/>
  <c r="H98" i="19" s="1"/>
  <c r="E93" i="19"/>
  <c r="G93" i="19" s="1"/>
  <c r="H93" i="19" s="1"/>
  <c r="E91" i="19"/>
  <c r="G91" i="19" s="1"/>
  <c r="H91" i="19" s="1"/>
  <c r="E88" i="19"/>
  <c r="G88" i="19" s="1"/>
  <c r="H88" i="19" s="1"/>
  <c r="E96" i="19"/>
  <c r="G96" i="19" s="1"/>
  <c r="H96" i="19" s="1"/>
  <c r="E99" i="19"/>
  <c r="G99" i="19" s="1"/>
  <c r="H99" i="19" s="1"/>
  <c r="E89" i="19"/>
  <c r="G89" i="19" s="1"/>
  <c r="H89" i="19" s="1"/>
  <c r="C55" i="19"/>
  <c r="D55" i="19" s="1"/>
  <c r="E79" i="6"/>
  <c r="G79" i="6" s="1"/>
  <c r="H79" i="6" s="1"/>
  <c r="E81" i="6"/>
  <c r="G81" i="6" s="1"/>
  <c r="H81" i="6" s="1"/>
  <c r="E80" i="6"/>
  <c r="G80" i="6" s="1"/>
  <c r="H80" i="6" s="1"/>
  <c r="E83" i="6"/>
  <c r="G83" i="6" s="1"/>
  <c r="H83" i="6" s="1"/>
  <c r="E82" i="6"/>
  <c r="G82" i="6" s="1"/>
  <c r="H82" i="6" s="1"/>
  <c r="E84" i="6"/>
  <c r="G84" i="6" s="1"/>
  <c r="H84" i="6" s="1"/>
  <c r="E90" i="19"/>
  <c r="G90" i="19" s="1"/>
  <c r="H90" i="19" s="1"/>
  <c r="G65" i="10"/>
  <c r="H65" i="10" s="1"/>
  <c r="H53" i="7"/>
  <c r="E5" i="7"/>
  <c r="G5" i="7" s="1"/>
  <c r="H5" i="7" s="1"/>
  <c r="K5" i="7" s="1"/>
  <c r="L5" i="7" s="1"/>
  <c r="S35" i="7" s="1"/>
  <c r="I55" i="7"/>
  <c r="H54" i="69"/>
  <c r="E89" i="69" s="1"/>
  <c r="G89" i="69" s="1"/>
  <c r="H89" i="69" s="1"/>
  <c r="B87" i="45"/>
  <c r="B88" i="45"/>
  <c r="B62" i="45"/>
  <c r="E85" i="51"/>
  <c r="G85" i="51" s="1"/>
  <c r="H85" i="51" s="1"/>
  <c r="E86" i="51"/>
  <c r="G86" i="51" s="1"/>
  <c r="H86" i="51" s="1"/>
  <c r="E95" i="51"/>
  <c r="G95" i="51" s="1"/>
  <c r="H95" i="51" s="1"/>
  <c r="E92" i="51"/>
  <c r="G92" i="51" s="1"/>
  <c r="H92" i="51" s="1"/>
  <c r="E90" i="51"/>
  <c r="G90" i="51" s="1"/>
  <c r="H90" i="51" s="1"/>
  <c r="E91" i="51"/>
  <c r="G91" i="51" s="1"/>
  <c r="H91" i="51" s="1"/>
  <c r="E87" i="51"/>
  <c r="G87" i="51" s="1"/>
  <c r="H87" i="51" s="1"/>
  <c r="E84" i="51"/>
  <c r="G84" i="51" s="1"/>
  <c r="H84" i="51" s="1"/>
  <c r="E94" i="51"/>
  <c r="G94" i="51" s="1"/>
  <c r="H94" i="51" s="1"/>
  <c r="E96" i="51"/>
  <c r="G96" i="51" s="1"/>
  <c r="H96" i="51" s="1"/>
  <c r="E88" i="51"/>
  <c r="G88" i="51" s="1"/>
  <c r="H88" i="51" s="1"/>
  <c r="E89" i="51"/>
  <c r="G89" i="51" s="1"/>
  <c r="H89" i="51" s="1"/>
  <c r="E93" i="51"/>
  <c r="G93" i="51" s="1"/>
  <c r="H93" i="51" s="1"/>
  <c r="H55" i="51"/>
  <c r="G67" i="60"/>
  <c r="H67" i="60" s="1"/>
  <c r="E69" i="60"/>
  <c r="G69" i="60" s="1"/>
  <c r="H69" i="60" s="1"/>
  <c r="E75" i="60"/>
  <c r="G75" i="60" s="1"/>
  <c r="H75" i="60" s="1"/>
  <c r="E76" i="60"/>
  <c r="G76" i="60" s="1"/>
  <c r="H76" i="60" s="1"/>
  <c r="E70" i="60"/>
  <c r="G70" i="60" s="1"/>
  <c r="H70" i="60" s="1"/>
  <c r="E68" i="60"/>
  <c r="G68" i="60" s="1"/>
  <c r="H68" i="60" s="1"/>
  <c r="E74" i="60"/>
  <c r="G74" i="60" s="1"/>
  <c r="H74" i="60" s="1"/>
  <c r="E77" i="60"/>
  <c r="G77" i="60" s="1"/>
  <c r="H77" i="60" s="1"/>
  <c r="E73" i="60"/>
  <c r="G73" i="60" s="1"/>
  <c r="H73" i="60" s="1"/>
  <c r="E72" i="60"/>
  <c r="G72" i="60" s="1"/>
  <c r="H72" i="60" s="1"/>
  <c r="E71" i="60"/>
  <c r="G71" i="60" s="1"/>
  <c r="H71" i="60" s="1"/>
  <c r="E66" i="60"/>
  <c r="G66" i="60" s="1"/>
  <c r="H66" i="60" s="1"/>
  <c r="AD30" i="60"/>
  <c r="E76" i="35"/>
  <c r="G76" i="35" s="1"/>
  <c r="H76" i="35" s="1"/>
  <c r="E77" i="35"/>
  <c r="G77" i="35" s="1"/>
  <c r="H77" i="35" s="1"/>
  <c r="E79" i="35"/>
  <c r="G79" i="35" s="1"/>
  <c r="H79" i="35" s="1"/>
  <c r="E78" i="35"/>
  <c r="G78" i="35" s="1"/>
  <c r="H78" i="35" s="1"/>
  <c r="B63" i="27"/>
  <c r="G72" i="78"/>
  <c r="H72" i="78" s="1"/>
  <c r="G74" i="78"/>
  <c r="H74" i="78" s="1"/>
  <c r="G73" i="78"/>
  <c r="H73" i="78" s="1"/>
  <c r="G66" i="78"/>
  <c r="H66" i="78" s="1"/>
  <c r="G68" i="78"/>
  <c r="H68" i="78" s="1"/>
  <c r="G70" i="78"/>
  <c r="H70" i="78" s="1"/>
  <c r="G71" i="78"/>
  <c r="H71" i="78" s="1"/>
  <c r="G69" i="78"/>
  <c r="H69" i="78" s="1"/>
  <c r="G67" i="78"/>
  <c r="H67" i="78" s="1"/>
  <c r="G67" i="55"/>
  <c r="H67" i="55" s="1"/>
  <c r="G66" i="55"/>
  <c r="H66" i="55" s="1"/>
  <c r="G71" i="55"/>
  <c r="H71" i="55" s="1"/>
  <c r="G70" i="55"/>
  <c r="H70" i="55" s="1"/>
  <c r="G68" i="55"/>
  <c r="H68" i="55" s="1"/>
  <c r="G73" i="55"/>
  <c r="H73" i="55" s="1"/>
  <c r="G74" i="55"/>
  <c r="H74" i="55" s="1"/>
  <c r="G69" i="55"/>
  <c r="H69" i="55" s="1"/>
  <c r="G72" i="55"/>
  <c r="H72" i="55" s="1"/>
  <c r="G71" i="54"/>
  <c r="H71" i="54" s="1"/>
  <c r="G70" i="54"/>
  <c r="H70" i="54" s="1"/>
  <c r="G69" i="54"/>
  <c r="H69" i="54" s="1"/>
  <c r="G68" i="54"/>
  <c r="H68" i="54" s="1"/>
  <c r="G67" i="54"/>
  <c r="H67" i="54" s="1"/>
  <c r="G66" i="54"/>
  <c r="H66" i="54" s="1"/>
  <c r="G68" i="38"/>
  <c r="H68" i="38" s="1"/>
  <c r="G67" i="38"/>
  <c r="H67" i="38" s="1"/>
  <c r="G66" i="38"/>
  <c r="H66" i="38" s="1"/>
  <c r="G65" i="38"/>
  <c r="H65" i="38" s="1"/>
  <c r="G71" i="38"/>
  <c r="H71" i="38" s="1"/>
  <c r="G70" i="38"/>
  <c r="H70" i="38" s="1"/>
  <c r="G69" i="38"/>
  <c r="H69" i="38" s="1"/>
  <c r="U35" i="31"/>
  <c r="G66" i="14"/>
  <c r="H66" i="14" s="1"/>
  <c r="G68" i="14"/>
  <c r="H68" i="14" s="1"/>
  <c r="G65" i="14"/>
  <c r="H65" i="14" s="1"/>
  <c r="G71" i="14"/>
  <c r="H71" i="14" s="1"/>
  <c r="G67" i="14"/>
  <c r="H67" i="14" s="1"/>
  <c r="G69" i="14"/>
  <c r="H69" i="14" s="1"/>
  <c r="G70" i="14"/>
  <c r="H70" i="14" s="1"/>
  <c r="G69" i="13"/>
  <c r="H69" i="13" s="1"/>
  <c r="G72" i="13"/>
  <c r="H72" i="13" s="1"/>
  <c r="G67" i="13"/>
  <c r="H67" i="13" s="1"/>
  <c r="G65" i="13"/>
  <c r="H65" i="13" s="1"/>
  <c r="G73" i="13"/>
  <c r="H73" i="13" s="1"/>
  <c r="G70" i="13"/>
  <c r="H70" i="13" s="1"/>
  <c r="G71" i="13"/>
  <c r="H71" i="13" s="1"/>
  <c r="G68" i="13"/>
  <c r="H68" i="13" s="1"/>
  <c r="G66" i="13"/>
  <c r="H66" i="13" s="1"/>
  <c r="E66" i="37"/>
  <c r="G66" i="37" s="1"/>
  <c r="H66" i="37" s="1"/>
  <c r="E69" i="37"/>
  <c r="G69" i="37" s="1"/>
  <c r="H69" i="37" s="1"/>
  <c r="E67" i="37"/>
  <c r="G67" i="37" s="1"/>
  <c r="H67" i="37" s="1"/>
  <c r="E70" i="37"/>
  <c r="G70" i="37" s="1"/>
  <c r="H70" i="37" s="1"/>
  <c r="E68" i="37"/>
  <c r="G68" i="37" s="1"/>
  <c r="H68" i="37" s="1"/>
  <c r="G131" i="16"/>
  <c r="H131" i="16" s="1"/>
  <c r="G130" i="16"/>
  <c r="H130" i="16" s="1"/>
  <c r="E92" i="3"/>
  <c r="G92" i="3" s="1"/>
  <c r="H92" i="3" s="1"/>
  <c r="E90" i="3"/>
  <c r="G90" i="3" s="1"/>
  <c r="H90" i="3" s="1"/>
  <c r="E98" i="3"/>
  <c r="G98" i="3" s="1"/>
  <c r="H98" i="3" s="1"/>
  <c r="E102" i="3"/>
  <c r="G102" i="3" s="1"/>
  <c r="H102" i="3" s="1"/>
  <c r="E106" i="3"/>
  <c r="G106" i="3" s="1"/>
  <c r="H106" i="3" s="1"/>
  <c r="E93" i="3"/>
  <c r="G93" i="3" s="1"/>
  <c r="H93" i="3" s="1"/>
  <c r="E96" i="3"/>
  <c r="G96" i="3" s="1"/>
  <c r="H96" i="3" s="1"/>
  <c r="E99" i="3"/>
  <c r="G99" i="3" s="1"/>
  <c r="H99" i="3" s="1"/>
  <c r="E97" i="3"/>
  <c r="G97" i="3" s="1"/>
  <c r="H97" i="3" s="1"/>
  <c r="E104" i="3"/>
  <c r="G104" i="3" s="1"/>
  <c r="H104" i="3" s="1"/>
  <c r="E101" i="3"/>
  <c r="G101" i="3" s="1"/>
  <c r="H101" i="3" s="1"/>
  <c r="E103" i="3"/>
  <c r="G103" i="3" s="1"/>
  <c r="H103" i="3" s="1"/>
  <c r="E95" i="3"/>
  <c r="G95" i="3" s="1"/>
  <c r="H95" i="3" s="1"/>
  <c r="E100" i="3"/>
  <c r="G100" i="3" s="1"/>
  <c r="H100" i="3" s="1"/>
  <c r="E94" i="3"/>
  <c r="G94" i="3" s="1"/>
  <c r="H94" i="3" s="1"/>
  <c r="E105" i="3"/>
  <c r="G105" i="3" s="1"/>
  <c r="H105" i="3" s="1"/>
  <c r="E91" i="3"/>
  <c r="G91" i="3" s="1"/>
  <c r="H91" i="3" s="1"/>
  <c r="C55" i="3"/>
  <c r="D55" i="3" s="1"/>
  <c r="R48" i="3" s="1"/>
  <c r="C55" i="6"/>
  <c r="E89" i="74"/>
  <c r="G89" i="74" s="1"/>
  <c r="H89" i="74" s="1"/>
  <c r="E92" i="74"/>
  <c r="G92" i="74" s="1"/>
  <c r="H92" i="74" s="1"/>
  <c r="E93" i="74"/>
  <c r="G93" i="74" s="1"/>
  <c r="H93" i="74" s="1"/>
  <c r="E94" i="74"/>
  <c r="G94" i="74" s="1"/>
  <c r="H94" i="74" s="1"/>
  <c r="E91" i="74"/>
  <c r="G91" i="74" s="1"/>
  <c r="H91" i="74" s="1"/>
  <c r="E97" i="74"/>
  <c r="G97" i="74" s="1"/>
  <c r="H97" i="74" s="1"/>
  <c r="E99" i="74"/>
  <c r="G99" i="74" s="1"/>
  <c r="H99" i="74" s="1"/>
  <c r="E100" i="74"/>
  <c r="G100" i="74" s="1"/>
  <c r="H100" i="74" s="1"/>
  <c r="E101" i="74"/>
  <c r="G101" i="74" s="1"/>
  <c r="H101" i="74" s="1"/>
  <c r="E95" i="74"/>
  <c r="G95" i="74" s="1"/>
  <c r="H95" i="74" s="1"/>
  <c r="E96" i="74"/>
  <c r="G96" i="74" s="1"/>
  <c r="H96" i="74" s="1"/>
  <c r="E98" i="74"/>
  <c r="G98" i="74" s="1"/>
  <c r="H98" i="74" s="1"/>
  <c r="E102" i="74"/>
  <c r="G102" i="74" s="1"/>
  <c r="H102" i="74" s="1"/>
  <c r="E103" i="74"/>
  <c r="G103" i="74" s="1"/>
  <c r="H103" i="74" s="1"/>
  <c r="E104" i="74"/>
  <c r="G104" i="74" s="1"/>
  <c r="H104" i="74" s="1"/>
  <c r="E101" i="72"/>
  <c r="G101" i="72" s="1"/>
  <c r="H101" i="72" s="1"/>
  <c r="E103" i="72"/>
  <c r="G103" i="72" s="1"/>
  <c r="H103" i="72" s="1"/>
  <c r="E106" i="72"/>
  <c r="G106" i="72" s="1"/>
  <c r="H106" i="72" s="1"/>
  <c r="E109" i="72"/>
  <c r="G109" i="72" s="1"/>
  <c r="H109" i="72" s="1"/>
  <c r="E107" i="72"/>
  <c r="G107" i="72" s="1"/>
  <c r="H107" i="72" s="1"/>
  <c r="E96" i="72"/>
  <c r="G96" i="72" s="1"/>
  <c r="H96" i="72" s="1"/>
  <c r="E116" i="72"/>
  <c r="G116" i="72" s="1"/>
  <c r="H116" i="72" s="1"/>
  <c r="E98" i="72"/>
  <c r="G98" i="72" s="1"/>
  <c r="H98" i="72" s="1"/>
  <c r="E110" i="72"/>
  <c r="G110" i="72" s="1"/>
  <c r="H110" i="72" s="1"/>
  <c r="E97" i="72"/>
  <c r="G97" i="72" s="1"/>
  <c r="H97" i="72" s="1"/>
  <c r="E100" i="72"/>
  <c r="G100" i="72" s="1"/>
  <c r="H100" i="72" s="1"/>
  <c r="E105" i="72"/>
  <c r="G105" i="72" s="1"/>
  <c r="H105" i="72" s="1"/>
  <c r="E111" i="72"/>
  <c r="G111" i="72" s="1"/>
  <c r="H111" i="72" s="1"/>
  <c r="E112" i="72"/>
  <c r="G112" i="72" s="1"/>
  <c r="H112" i="72" s="1"/>
  <c r="E113" i="72"/>
  <c r="G113" i="72" s="1"/>
  <c r="H113" i="72" s="1"/>
  <c r="E115" i="72"/>
  <c r="G115" i="72" s="1"/>
  <c r="H115" i="72" s="1"/>
  <c r="E95" i="72"/>
  <c r="G95" i="72" s="1"/>
  <c r="H95" i="72" s="1"/>
  <c r="E99" i="72"/>
  <c r="G99" i="72" s="1"/>
  <c r="H99" i="72" s="1"/>
  <c r="E102" i="72"/>
  <c r="G102" i="72" s="1"/>
  <c r="H102" i="72" s="1"/>
  <c r="E104" i="72"/>
  <c r="G104" i="72" s="1"/>
  <c r="H104" i="72" s="1"/>
  <c r="E114" i="72"/>
  <c r="G114" i="72" s="1"/>
  <c r="H114" i="72" s="1"/>
  <c r="E108" i="72"/>
  <c r="G108" i="72" s="1"/>
  <c r="H108" i="72" s="1"/>
  <c r="C55" i="72"/>
  <c r="E83" i="71"/>
  <c r="G83" i="71" s="1"/>
  <c r="H83" i="71" s="1"/>
  <c r="E90" i="71"/>
  <c r="G90" i="71" s="1"/>
  <c r="H90" i="71" s="1"/>
  <c r="E92" i="71"/>
  <c r="G92" i="71" s="1"/>
  <c r="H92" i="71" s="1"/>
  <c r="E84" i="71"/>
  <c r="G84" i="71" s="1"/>
  <c r="H84" i="71" s="1"/>
  <c r="E89" i="71"/>
  <c r="G89" i="71" s="1"/>
  <c r="H89" i="71" s="1"/>
  <c r="E87" i="71"/>
  <c r="G87" i="71" s="1"/>
  <c r="H87" i="71" s="1"/>
  <c r="E88" i="71"/>
  <c r="G88" i="71" s="1"/>
  <c r="H88" i="71" s="1"/>
  <c r="E91" i="71"/>
  <c r="G91" i="71" s="1"/>
  <c r="H91" i="71" s="1"/>
  <c r="E85" i="71"/>
  <c r="G85" i="71" s="1"/>
  <c r="H85" i="71" s="1"/>
  <c r="E86" i="71"/>
  <c r="G86" i="71" s="1"/>
  <c r="H86" i="71" s="1"/>
  <c r="E80" i="70"/>
  <c r="G80" i="70" s="1"/>
  <c r="H80" i="70" s="1"/>
  <c r="E79" i="70"/>
  <c r="G79" i="70" s="1"/>
  <c r="H79" i="70" s="1"/>
  <c r="E78" i="70"/>
  <c r="G78" i="70" s="1"/>
  <c r="H78" i="70" s="1"/>
  <c r="E75" i="70"/>
  <c r="G75" i="70" s="1"/>
  <c r="H75" i="70" s="1"/>
  <c r="E74" i="70"/>
  <c r="G74" i="70" s="1"/>
  <c r="H74" i="70" s="1"/>
  <c r="E69" i="70"/>
  <c r="G69" i="70" s="1"/>
  <c r="H69" i="70" s="1"/>
  <c r="E68" i="70"/>
  <c r="G68" i="70" s="1"/>
  <c r="H68" i="70" s="1"/>
  <c r="E67" i="70"/>
  <c r="G67" i="70" s="1"/>
  <c r="H67" i="70" s="1"/>
  <c r="E83" i="70"/>
  <c r="G83" i="70" s="1"/>
  <c r="H83" i="70" s="1"/>
  <c r="E77" i="70"/>
  <c r="G77" i="70" s="1"/>
  <c r="H77" i="70" s="1"/>
  <c r="E76" i="70"/>
  <c r="G76" i="70" s="1"/>
  <c r="H76" i="70" s="1"/>
  <c r="E73" i="70"/>
  <c r="G73" i="70" s="1"/>
  <c r="H73" i="70" s="1"/>
  <c r="E72" i="70"/>
  <c r="G72" i="70" s="1"/>
  <c r="H72" i="70" s="1"/>
  <c r="E71" i="70"/>
  <c r="G71" i="70" s="1"/>
  <c r="H71" i="70" s="1"/>
  <c r="E66" i="70"/>
  <c r="G66" i="70" s="1"/>
  <c r="H66" i="70" s="1"/>
  <c r="E82" i="70"/>
  <c r="G82" i="70" s="1"/>
  <c r="H82" i="70" s="1"/>
  <c r="E81" i="70"/>
  <c r="G81" i="70" s="1"/>
  <c r="H81" i="70" s="1"/>
  <c r="E70" i="70"/>
  <c r="G70" i="70" s="1"/>
  <c r="H70" i="70" s="1"/>
  <c r="C54" i="70"/>
  <c r="E106" i="69"/>
  <c r="G106" i="69" s="1"/>
  <c r="H106" i="69" s="1"/>
  <c r="E105" i="69"/>
  <c r="G105" i="69" s="1"/>
  <c r="H105" i="69" s="1"/>
  <c r="E104" i="69"/>
  <c r="G104" i="69" s="1"/>
  <c r="H104" i="69" s="1"/>
  <c r="E103" i="69"/>
  <c r="G103" i="69" s="1"/>
  <c r="H103" i="69" s="1"/>
  <c r="E102" i="69"/>
  <c r="G102" i="69" s="1"/>
  <c r="H102" i="69" s="1"/>
  <c r="E101" i="69"/>
  <c r="G101" i="69" s="1"/>
  <c r="H101" i="69" s="1"/>
  <c r="E99" i="69"/>
  <c r="G99" i="69" s="1"/>
  <c r="H99" i="69" s="1"/>
  <c r="E98" i="69"/>
  <c r="G98" i="69" s="1"/>
  <c r="H98" i="69" s="1"/>
  <c r="E92" i="69"/>
  <c r="G92" i="69" s="1"/>
  <c r="H92" i="69" s="1"/>
  <c r="E91" i="69"/>
  <c r="G91" i="69" s="1"/>
  <c r="H91" i="69" s="1"/>
  <c r="E90" i="69"/>
  <c r="G90" i="69" s="1"/>
  <c r="H90" i="69" s="1"/>
  <c r="E94" i="69"/>
  <c r="G94" i="69" s="1"/>
  <c r="H94" i="69" s="1"/>
  <c r="E96" i="69"/>
  <c r="G96" i="69" s="1"/>
  <c r="H96" i="69" s="1"/>
  <c r="E95" i="69"/>
  <c r="G95" i="69" s="1"/>
  <c r="E100" i="69"/>
  <c r="G100" i="69" s="1"/>
  <c r="H100" i="69" s="1"/>
  <c r="E97" i="69"/>
  <c r="G97" i="69" s="1"/>
  <c r="H97" i="69" s="1"/>
  <c r="E93" i="69"/>
  <c r="G93" i="69" s="1"/>
  <c r="H93" i="69" s="1"/>
  <c r="E86" i="70" l="1"/>
  <c r="G86" i="70"/>
  <c r="D54" i="70"/>
  <c r="E110" i="70"/>
  <c r="G110" i="70" s="1"/>
  <c r="H110" i="70" s="1"/>
  <c r="AD30" i="49"/>
  <c r="AC25" i="49" s="1"/>
  <c r="H87" i="57"/>
  <c r="C87" i="57"/>
  <c r="E115" i="57"/>
  <c r="G115" i="57"/>
  <c r="C56" i="57"/>
  <c r="E153" i="57" s="1"/>
  <c r="G153" i="57" s="1"/>
  <c r="H153" i="57" s="1"/>
  <c r="B145" i="57"/>
  <c r="B169" i="57"/>
  <c r="I56" i="57"/>
  <c r="E120" i="57"/>
  <c r="G120" i="57" s="1"/>
  <c r="H120" i="57" s="1"/>
  <c r="H56" i="57"/>
  <c r="E147" i="57" s="1"/>
  <c r="G147" i="57" s="1"/>
  <c r="H147" i="57" s="1"/>
  <c r="D55" i="57"/>
  <c r="B144" i="57"/>
  <c r="C79" i="19"/>
  <c r="H79" i="19"/>
  <c r="H83" i="59"/>
  <c r="C83" i="59"/>
  <c r="E107" i="59"/>
  <c r="G107" i="59"/>
  <c r="H79" i="49"/>
  <c r="C79" i="49"/>
  <c r="E116" i="33"/>
  <c r="G116" i="33"/>
  <c r="G114" i="28"/>
  <c r="E114" i="28"/>
  <c r="B83" i="49"/>
  <c r="B63" i="49"/>
  <c r="B82" i="49"/>
  <c r="B62" i="49"/>
  <c r="D55" i="28"/>
  <c r="E140" i="28"/>
  <c r="G140" i="28" s="1"/>
  <c r="H140" i="28" s="1"/>
  <c r="E139" i="28"/>
  <c r="G139" i="28" s="1"/>
  <c r="H139" i="28" s="1"/>
  <c r="B85" i="19"/>
  <c r="B63" i="19"/>
  <c r="B84" i="19"/>
  <c r="B62" i="19"/>
  <c r="B87" i="59"/>
  <c r="B86" i="59"/>
  <c r="B62" i="59"/>
  <c r="B63" i="59"/>
  <c r="AE30" i="48"/>
  <c r="AC25" i="48" s="1"/>
  <c r="H55" i="28"/>
  <c r="E120" i="28" s="1"/>
  <c r="G120" i="28" s="1"/>
  <c r="H120" i="28" s="1"/>
  <c r="E92" i="28"/>
  <c r="G92" i="28" s="1"/>
  <c r="H92" i="28" s="1"/>
  <c r="E133" i="4"/>
  <c r="G133" i="4" s="1"/>
  <c r="H133" i="4" s="1"/>
  <c r="E130" i="4"/>
  <c r="G130" i="4" s="1"/>
  <c r="H130" i="4" s="1"/>
  <c r="E131" i="4"/>
  <c r="G131" i="4" s="1"/>
  <c r="H131" i="4" s="1"/>
  <c r="E132" i="4"/>
  <c r="G132" i="4" s="1"/>
  <c r="H132" i="4" s="1"/>
  <c r="H77" i="71"/>
  <c r="C77" i="71"/>
  <c r="B63" i="71"/>
  <c r="D55" i="71"/>
  <c r="E109" i="71"/>
  <c r="G109" i="71" s="1"/>
  <c r="H109" i="71" s="1"/>
  <c r="E101" i="71"/>
  <c r="G101" i="71" s="1"/>
  <c r="H101" i="71" s="1"/>
  <c r="E108" i="71"/>
  <c r="G108" i="71" s="1"/>
  <c r="H108" i="71" s="1"/>
  <c r="E107" i="71"/>
  <c r="G107" i="71" s="1"/>
  <c r="H107" i="71" s="1"/>
  <c r="E106" i="71"/>
  <c r="G106" i="71" s="1"/>
  <c r="H106" i="71" s="1"/>
  <c r="E105" i="71"/>
  <c r="G105" i="71" s="1"/>
  <c r="H105" i="71" s="1"/>
  <c r="E103" i="71"/>
  <c r="G103" i="71" s="1"/>
  <c r="H103" i="71" s="1"/>
  <c r="E104" i="71"/>
  <c r="G104" i="71" s="1"/>
  <c r="H104" i="71" s="1"/>
  <c r="E110" i="71"/>
  <c r="G110" i="71" s="1"/>
  <c r="H110" i="71" s="1"/>
  <c r="E102" i="71"/>
  <c r="G102" i="71" s="1"/>
  <c r="H102" i="71" s="1"/>
  <c r="B79" i="71"/>
  <c r="B98" i="71"/>
  <c r="B97" i="71"/>
  <c r="B80" i="71"/>
  <c r="T33" i="40"/>
  <c r="AF30" i="72"/>
  <c r="AC25" i="72" s="1"/>
  <c r="T31" i="24"/>
  <c r="AC25" i="24"/>
  <c r="AF30" i="70"/>
  <c r="AC25" i="70" s="1"/>
  <c r="AC25" i="54"/>
  <c r="T34" i="54"/>
  <c r="T34" i="38"/>
  <c r="AC25" i="38"/>
  <c r="AC25" i="55"/>
  <c r="T34" i="55"/>
  <c r="U35" i="74"/>
  <c r="AA30" i="74"/>
  <c r="AD30" i="74" s="1"/>
  <c r="AC25" i="74" s="1"/>
  <c r="U35" i="73"/>
  <c r="AB30" i="73"/>
  <c r="AE30" i="73" s="1"/>
  <c r="AC25" i="73" s="1"/>
  <c r="U35" i="60"/>
  <c r="AB30" i="60"/>
  <c r="AF30" i="60" s="1"/>
  <c r="AC25" i="60" s="1"/>
  <c r="U35" i="58"/>
  <c r="AC25" i="58"/>
  <c r="AB30" i="56"/>
  <c r="AE30" i="56" s="1"/>
  <c r="AC25" i="56" s="1"/>
  <c r="U35" i="56"/>
  <c r="U35" i="47"/>
  <c r="AA30" i="47"/>
  <c r="AD30" i="47" s="1"/>
  <c r="AC25" i="47" s="1"/>
  <c r="AA30" i="33"/>
  <c r="AD30" i="33" s="1"/>
  <c r="AC25" i="33" s="1"/>
  <c r="U35" i="33"/>
  <c r="C77" i="46"/>
  <c r="B63" i="17"/>
  <c r="B62" i="43"/>
  <c r="B62" i="41"/>
  <c r="AC25" i="14"/>
  <c r="T31" i="14"/>
  <c r="AC25" i="13"/>
  <c r="T31" i="13"/>
  <c r="AB30" i="3"/>
  <c r="AF30" i="3" s="1"/>
  <c r="AC25" i="3" s="1"/>
  <c r="AA30" i="7"/>
  <c r="U35" i="7"/>
  <c r="V48" i="3"/>
  <c r="Y48" i="3" s="1"/>
  <c r="W48" i="3"/>
  <c r="AC25" i="53"/>
  <c r="H106" i="50"/>
  <c r="C106" i="50"/>
  <c r="H87" i="28"/>
  <c r="C87" i="28"/>
  <c r="E123" i="28"/>
  <c r="G123" i="28" s="1"/>
  <c r="H123" i="28" s="1"/>
  <c r="E127" i="28"/>
  <c r="G127" i="28" s="1"/>
  <c r="H127" i="28" s="1"/>
  <c r="E130" i="28"/>
  <c r="G130" i="28" s="1"/>
  <c r="H130" i="28" s="1"/>
  <c r="E135" i="28"/>
  <c r="G135" i="28" s="1"/>
  <c r="H135" i="28" s="1"/>
  <c r="E138" i="28"/>
  <c r="G138" i="28" s="1"/>
  <c r="H138" i="28" s="1"/>
  <c r="E124" i="28"/>
  <c r="G124" i="28" s="1"/>
  <c r="H124" i="28" s="1"/>
  <c r="E126" i="28"/>
  <c r="G126" i="28" s="1"/>
  <c r="H126" i="28" s="1"/>
  <c r="E129" i="28"/>
  <c r="G129" i="28" s="1"/>
  <c r="H129" i="28" s="1"/>
  <c r="E132" i="28"/>
  <c r="G132" i="28" s="1"/>
  <c r="H132" i="28" s="1"/>
  <c r="E136" i="28"/>
  <c r="G136" i="28" s="1"/>
  <c r="H136" i="28" s="1"/>
  <c r="E121" i="28"/>
  <c r="G121" i="28" s="1"/>
  <c r="H121" i="28" s="1"/>
  <c r="E128" i="28"/>
  <c r="G128" i="28" s="1"/>
  <c r="H128" i="28" s="1"/>
  <c r="E133" i="28"/>
  <c r="G133" i="28" s="1"/>
  <c r="H133" i="28" s="1"/>
  <c r="E122" i="28"/>
  <c r="G122" i="28" s="1"/>
  <c r="H122" i="28" s="1"/>
  <c r="E125" i="28"/>
  <c r="G125" i="28" s="1"/>
  <c r="H125" i="28" s="1"/>
  <c r="E131" i="28"/>
  <c r="G131" i="28" s="1"/>
  <c r="H131" i="28" s="1"/>
  <c r="E134" i="28"/>
  <c r="G134" i="28" s="1"/>
  <c r="H134" i="28" s="1"/>
  <c r="E137" i="28"/>
  <c r="G137" i="28" s="1"/>
  <c r="H137" i="28" s="1"/>
  <c r="B118" i="28"/>
  <c r="B117" i="28"/>
  <c r="C79" i="56"/>
  <c r="H110" i="8"/>
  <c r="C110" i="8"/>
  <c r="G135" i="8"/>
  <c r="E135" i="8"/>
  <c r="H80" i="61"/>
  <c r="C80" i="61"/>
  <c r="H76" i="41"/>
  <c r="C76" i="41"/>
  <c r="H72" i="73"/>
  <c r="C72" i="73"/>
  <c r="D55" i="69"/>
  <c r="B62" i="69"/>
  <c r="C82" i="62"/>
  <c r="H82" i="62"/>
  <c r="E84" i="60"/>
  <c r="G84" i="60" s="1"/>
  <c r="H84" i="60" s="1"/>
  <c r="H55" i="60"/>
  <c r="C83" i="74"/>
  <c r="H83" i="74"/>
  <c r="E106" i="74"/>
  <c r="G106" i="74"/>
  <c r="H89" i="72"/>
  <c r="C89" i="72"/>
  <c r="D54" i="60"/>
  <c r="E85" i="60"/>
  <c r="G85" i="60" s="1"/>
  <c r="H85" i="60" s="1"/>
  <c r="D54" i="54"/>
  <c r="G73" i="53"/>
  <c r="E73" i="53"/>
  <c r="G83" i="47"/>
  <c r="E83" i="47"/>
  <c r="D55" i="42"/>
  <c r="G103" i="42" s="1"/>
  <c r="C103" i="42" s="1"/>
  <c r="B91" i="42"/>
  <c r="B62" i="42"/>
  <c r="B63" i="42"/>
  <c r="B77" i="42"/>
  <c r="B92" i="42"/>
  <c r="B76" i="42"/>
  <c r="E95" i="42"/>
  <c r="G95" i="42" s="1"/>
  <c r="H95" i="42" s="1"/>
  <c r="E96" i="42"/>
  <c r="G96" i="42" s="1"/>
  <c r="H96" i="42" s="1"/>
  <c r="E97" i="42"/>
  <c r="G97" i="42" s="1"/>
  <c r="H97" i="42" s="1"/>
  <c r="E98" i="42"/>
  <c r="G98" i="42" s="1"/>
  <c r="H98" i="42" s="1"/>
  <c r="E99" i="42"/>
  <c r="G99" i="42" s="1"/>
  <c r="H99" i="42" s="1"/>
  <c r="E100" i="42"/>
  <c r="G100" i="42" s="1"/>
  <c r="H100" i="42" s="1"/>
  <c r="E101" i="42"/>
  <c r="G101" i="42" s="1"/>
  <c r="H101" i="42" s="1"/>
  <c r="E94" i="42"/>
  <c r="G94" i="42" s="1"/>
  <c r="H94" i="42" s="1"/>
  <c r="B111" i="31"/>
  <c r="E93" i="31"/>
  <c r="G93" i="31" s="1"/>
  <c r="H93" i="31" s="1"/>
  <c r="E100" i="31"/>
  <c r="G100" i="31" s="1"/>
  <c r="H100" i="31" s="1"/>
  <c r="E105" i="31"/>
  <c r="G105" i="31" s="1"/>
  <c r="H105" i="31" s="1"/>
  <c r="E106" i="31"/>
  <c r="G106" i="31" s="1"/>
  <c r="H106" i="31" s="1"/>
  <c r="E108" i="31"/>
  <c r="G108" i="31" s="1"/>
  <c r="H108" i="31" s="1"/>
  <c r="E109" i="31"/>
  <c r="G109" i="31" s="1"/>
  <c r="H109" i="31" s="1"/>
  <c r="E92" i="31"/>
  <c r="G92" i="31" s="1"/>
  <c r="H92" i="31" s="1"/>
  <c r="E94" i="31"/>
  <c r="G94" i="31" s="1"/>
  <c r="H94" i="31" s="1"/>
  <c r="E95" i="31"/>
  <c r="G95" i="31" s="1"/>
  <c r="H95" i="31" s="1"/>
  <c r="E96" i="31"/>
  <c r="G96" i="31" s="1"/>
  <c r="H96" i="31" s="1"/>
  <c r="E98" i="31"/>
  <c r="G98" i="31" s="1"/>
  <c r="H98" i="31" s="1"/>
  <c r="E99" i="31"/>
  <c r="G99" i="31" s="1"/>
  <c r="H99" i="31" s="1"/>
  <c r="E102" i="31"/>
  <c r="G102" i="31" s="1"/>
  <c r="H102" i="31" s="1"/>
  <c r="E104" i="31"/>
  <c r="G104" i="31" s="1"/>
  <c r="H104" i="31" s="1"/>
  <c r="E107" i="31"/>
  <c r="G107" i="31" s="1"/>
  <c r="H107" i="31" s="1"/>
  <c r="E91" i="31"/>
  <c r="G91" i="31" s="1"/>
  <c r="H91" i="31" s="1"/>
  <c r="E97" i="31"/>
  <c r="G97" i="31" s="1"/>
  <c r="H97" i="31" s="1"/>
  <c r="E101" i="31"/>
  <c r="G101" i="31" s="1"/>
  <c r="H101" i="31" s="1"/>
  <c r="E103" i="31"/>
  <c r="G103" i="31" s="1"/>
  <c r="H103" i="31" s="1"/>
  <c r="C55" i="55"/>
  <c r="D54" i="55"/>
  <c r="C55" i="38"/>
  <c r="D54" i="38"/>
  <c r="B63" i="4"/>
  <c r="B120" i="4"/>
  <c r="E125" i="7"/>
  <c r="H125" i="7" s="1"/>
  <c r="G125" i="7"/>
  <c r="B87" i="69"/>
  <c r="B86" i="69"/>
  <c r="C88" i="33"/>
  <c r="B129" i="7"/>
  <c r="B106" i="7"/>
  <c r="B63" i="7"/>
  <c r="E138" i="7"/>
  <c r="G138" i="7" s="1"/>
  <c r="H138" i="7" s="1"/>
  <c r="E146" i="7"/>
  <c r="G146" i="7" s="1"/>
  <c r="H146" i="7" s="1"/>
  <c r="E143" i="7"/>
  <c r="G143" i="7" s="1"/>
  <c r="H143" i="7" s="1"/>
  <c r="E137" i="7"/>
  <c r="G137" i="7" s="1"/>
  <c r="H137" i="7" s="1"/>
  <c r="E145" i="7"/>
  <c r="G145" i="7" s="1"/>
  <c r="H145" i="7" s="1"/>
  <c r="E139" i="7"/>
  <c r="G139" i="7" s="1"/>
  <c r="H139" i="7" s="1"/>
  <c r="E133" i="7"/>
  <c r="G133" i="7" s="1"/>
  <c r="H133" i="7" s="1"/>
  <c r="D56" i="7"/>
  <c r="E134" i="7"/>
  <c r="G134" i="7" s="1"/>
  <c r="H134" i="7" s="1"/>
  <c r="E142" i="7"/>
  <c r="G142" i="7" s="1"/>
  <c r="H142" i="7" s="1"/>
  <c r="E140" i="7"/>
  <c r="G140" i="7" s="1"/>
  <c r="H140" i="7" s="1"/>
  <c r="E141" i="7"/>
  <c r="G141" i="7" s="1"/>
  <c r="H141" i="7" s="1"/>
  <c r="E144" i="7"/>
  <c r="G144" i="7" s="1"/>
  <c r="H144" i="7" s="1"/>
  <c r="E135" i="7"/>
  <c r="G135" i="7" s="1"/>
  <c r="H135" i="7" s="1"/>
  <c r="E136" i="7"/>
  <c r="G136" i="7" s="1"/>
  <c r="H136" i="7" s="1"/>
  <c r="I56" i="7"/>
  <c r="B148" i="7"/>
  <c r="B62" i="7"/>
  <c r="B107" i="7"/>
  <c r="B130" i="7"/>
  <c r="B85" i="7"/>
  <c r="E124" i="4"/>
  <c r="G124" i="4" s="1"/>
  <c r="H124" i="4" s="1"/>
  <c r="D56" i="4"/>
  <c r="B100" i="4"/>
  <c r="E135" i="4"/>
  <c r="H135" i="4" s="1"/>
  <c r="E126" i="4"/>
  <c r="G126" i="4" s="1"/>
  <c r="H126" i="4" s="1"/>
  <c r="E127" i="4"/>
  <c r="G127" i="4" s="1"/>
  <c r="H127" i="4" s="1"/>
  <c r="B62" i="4"/>
  <c r="B81" i="4"/>
  <c r="B80" i="4"/>
  <c r="E129" i="4"/>
  <c r="G129" i="4" s="1"/>
  <c r="H129" i="4" s="1"/>
  <c r="B101" i="4"/>
  <c r="E125" i="4"/>
  <c r="G125" i="4" s="1"/>
  <c r="H125" i="4" s="1"/>
  <c r="E123" i="4"/>
  <c r="G123" i="4" s="1"/>
  <c r="H123" i="4" s="1"/>
  <c r="B119" i="4"/>
  <c r="E128" i="4"/>
  <c r="G128" i="4" s="1"/>
  <c r="H128" i="4" s="1"/>
  <c r="G130" i="50"/>
  <c r="E130" i="50"/>
  <c r="B63" i="69"/>
  <c r="C129" i="45"/>
  <c r="H129" i="45"/>
  <c r="G135" i="4"/>
  <c r="G101" i="48"/>
  <c r="E101" i="48"/>
  <c r="E103" i="32"/>
  <c r="G103" i="32"/>
  <c r="H101" i="16"/>
  <c r="C101" i="16"/>
  <c r="E123" i="16"/>
  <c r="G123" i="16"/>
  <c r="G136" i="3"/>
  <c r="E136" i="3"/>
  <c r="E122" i="23"/>
  <c r="G122" i="23"/>
  <c r="E120" i="23"/>
  <c r="G120" i="23" s="1"/>
  <c r="H120" i="23" s="1"/>
  <c r="E108" i="23"/>
  <c r="G108" i="23" s="1"/>
  <c r="H108" i="23" s="1"/>
  <c r="B93" i="17"/>
  <c r="G131" i="74"/>
  <c r="E131" i="74"/>
  <c r="B62" i="72"/>
  <c r="D55" i="72"/>
  <c r="G79" i="60"/>
  <c r="E79" i="60"/>
  <c r="H55" i="48"/>
  <c r="E106" i="48" s="1"/>
  <c r="G106" i="48" s="1"/>
  <c r="H106" i="48" s="1"/>
  <c r="E87" i="48"/>
  <c r="G87" i="48" s="1"/>
  <c r="H87" i="48" s="1"/>
  <c r="G107" i="47"/>
  <c r="B90" i="33"/>
  <c r="D55" i="33"/>
  <c r="E118" i="23"/>
  <c r="G118" i="23" s="1"/>
  <c r="H118" i="23" s="1"/>
  <c r="E111" i="23"/>
  <c r="G111" i="23" s="1"/>
  <c r="H111" i="23" s="1"/>
  <c r="H56" i="23"/>
  <c r="E107" i="23"/>
  <c r="G107" i="23" s="1"/>
  <c r="H107" i="23" s="1"/>
  <c r="E115" i="23"/>
  <c r="G115" i="23" s="1"/>
  <c r="H115" i="23" s="1"/>
  <c r="E113" i="23"/>
  <c r="G113" i="23" s="1"/>
  <c r="H113" i="23" s="1"/>
  <c r="E110" i="23"/>
  <c r="G110" i="23" s="1"/>
  <c r="H110" i="23" s="1"/>
  <c r="E116" i="23"/>
  <c r="G116" i="23" s="1"/>
  <c r="H116" i="23" s="1"/>
  <c r="E119" i="23"/>
  <c r="G119" i="23" s="1"/>
  <c r="H119" i="23" s="1"/>
  <c r="E117" i="23"/>
  <c r="G117" i="23" s="1"/>
  <c r="H117" i="23" s="1"/>
  <c r="E114" i="23"/>
  <c r="G114" i="23" s="1"/>
  <c r="H114" i="23" s="1"/>
  <c r="E109" i="23"/>
  <c r="G109" i="23" s="1"/>
  <c r="H109" i="23" s="1"/>
  <c r="E112" i="23"/>
  <c r="G112" i="23" s="1"/>
  <c r="H112" i="23" s="1"/>
  <c r="I57" i="23"/>
  <c r="B62" i="17"/>
  <c r="D55" i="17"/>
  <c r="B75" i="6"/>
  <c r="D55" i="6"/>
  <c r="D54" i="78"/>
  <c r="E103" i="66"/>
  <c r="G103" i="66" s="1"/>
  <c r="H103" i="66" s="1"/>
  <c r="E97" i="66"/>
  <c r="G97" i="66" s="1"/>
  <c r="H97" i="66" s="1"/>
  <c r="H56" i="66"/>
  <c r="E99" i="66"/>
  <c r="G99" i="66" s="1"/>
  <c r="H99" i="66" s="1"/>
  <c r="E105" i="66"/>
  <c r="G105" i="66" s="1"/>
  <c r="H105" i="66" s="1"/>
  <c r="E102" i="66"/>
  <c r="G102" i="66" s="1"/>
  <c r="H102" i="66" s="1"/>
  <c r="E104" i="66"/>
  <c r="G104" i="66" s="1"/>
  <c r="H104" i="66" s="1"/>
  <c r="E101" i="66"/>
  <c r="G101" i="66" s="1"/>
  <c r="H101" i="66" s="1"/>
  <c r="E100" i="66"/>
  <c r="G100" i="66" s="1"/>
  <c r="H100" i="66" s="1"/>
  <c r="E98" i="66"/>
  <c r="G98" i="66" s="1"/>
  <c r="H98" i="66" s="1"/>
  <c r="B62" i="74"/>
  <c r="H94" i="71"/>
  <c r="C94" i="71"/>
  <c r="H108" i="69"/>
  <c r="C108" i="69"/>
  <c r="B155" i="66"/>
  <c r="H155" i="66" s="1"/>
  <c r="I58" i="66"/>
  <c r="B139" i="66"/>
  <c r="H139" i="66" s="1"/>
  <c r="I57" i="66"/>
  <c r="H106" i="58"/>
  <c r="C106" i="58"/>
  <c r="B62" i="57"/>
  <c r="H99" i="56"/>
  <c r="C99" i="56"/>
  <c r="G66" i="53"/>
  <c r="H66" i="53" s="1"/>
  <c r="H99" i="49"/>
  <c r="C99" i="49"/>
  <c r="H79" i="48"/>
  <c r="C79" i="48"/>
  <c r="H107" i="44"/>
  <c r="C107" i="44"/>
  <c r="H98" i="43"/>
  <c r="C98" i="43"/>
  <c r="H92" i="41"/>
  <c r="C92" i="41"/>
  <c r="H78" i="37"/>
  <c r="C78" i="37"/>
  <c r="H82" i="32"/>
  <c r="C82" i="32"/>
  <c r="H126" i="29"/>
  <c r="C126" i="29"/>
  <c r="B108" i="29" s="1"/>
  <c r="H55" i="25"/>
  <c r="H100" i="23"/>
  <c r="C100" i="23"/>
  <c r="H124" i="20"/>
  <c r="C124" i="20"/>
  <c r="H107" i="18"/>
  <c r="C107" i="18"/>
  <c r="H121" i="17"/>
  <c r="C121" i="17"/>
  <c r="H101" i="19"/>
  <c r="C101" i="19"/>
  <c r="B106" i="16"/>
  <c r="H123" i="15"/>
  <c r="C123" i="15"/>
  <c r="H86" i="6"/>
  <c r="C86" i="6"/>
  <c r="H116" i="4"/>
  <c r="C116" i="4"/>
  <c r="H108" i="3"/>
  <c r="C108" i="3"/>
  <c r="B63" i="3"/>
  <c r="H118" i="72"/>
  <c r="C118" i="72"/>
  <c r="C55" i="54"/>
  <c r="D55" i="54" s="1"/>
  <c r="C55" i="31"/>
  <c r="D55" i="31" s="1"/>
  <c r="H82" i="10"/>
  <c r="C82" i="10"/>
  <c r="E95" i="10"/>
  <c r="G95" i="10"/>
  <c r="H55" i="19"/>
  <c r="H56" i="4"/>
  <c r="E122" i="4" s="1"/>
  <c r="G122" i="4" s="1"/>
  <c r="H122" i="4" s="1"/>
  <c r="E103" i="4"/>
  <c r="G103" i="4" s="1"/>
  <c r="H103" i="4" s="1"/>
  <c r="B62" i="46"/>
  <c r="B63" i="46"/>
  <c r="B105" i="16"/>
  <c r="C55" i="40"/>
  <c r="D55" i="40" s="1"/>
  <c r="C56" i="39"/>
  <c r="D56" i="39" s="1"/>
  <c r="C55" i="24"/>
  <c r="C55" i="14"/>
  <c r="D55" i="14" s="1"/>
  <c r="C55" i="13"/>
  <c r="D55" i="13" s="1"/>
  <c r="D56" i="82"/>
  <c r="E117" i="16"/>
  <c r="G117" i="16" s="1"/>
  <c r="H117" i="16" s="1"/>
  <c r="E118" i="16"/>
  <c r="G118" i="16" s="1"/>
  <c r="H118" i="16" s="1"/>
  <c r="E119" i="16"/>
  <c r="G119" i="16" s="1"/>
  <c r="H119" i="16" s="1"/>
  <c r="E120" i="16"/>
  <c r="G120" i="16" s="1"/>
  <c r="H120" i="16" s="1"/>
  <c r="E121" i="16"/>
  <c r="G121" i="16" s="1"/>
  <c r="H121" i="16" s="1"/>
  <c r="E115" i="16"/>
  <c r="G115" i="16" s="1"/>
  <c r="H115" i="16" s="1"/>
  <c r="E114" i="16"/>
  <c r="G114" i="16" s="1"/>
  <c r="H114" i="16" s="1"/>
  <c r="E116" i="16"/>
  <c r="G116" i="16" s="1"/>
  <c r="H116" i="16" s="1"/>
  <c r="B63" i="16"/>
  <c r="B83" i="16"/>
  <c r="B84" i="16"/>
  <c r="B64" i="16"/>
  <c r="B79" i="41"/>
  <c r="B63" i="41"/>
  <c r="B78" i="41"/>
  <c r="H55" i="70"/>
  <c r="E118" i="70" s="1"/>
  <c r="G118" i="70" s="1"/>
  <c r="H118" i="70" s="1"/>
  <c r="E91" i="70"/>
  <c r="G91" i="70" s="1"/>
  <c r="H91" i="70" s="1"/>
  <c r="B90" i="57"/>
  <c r="E98" i="48"/>
  <c r="G98" i="48" s="1"/>
  <c r="H98" i="48" s="1"/>
  <c r="C55" i="48"/>
  <c r="D55" i="48" s="1"/>
  <c r="E88" i="48"/>
  <c r="G88" i="48" s="1"/>
  <c r="H88" i="48" s="1"/>
  <c r="E93" i="48"/>
  <c r="G93" i="48" s="1"/>
  <c r="H93" i="48" s="1"/>
  <c r="E92" i="48"/>
  <c r="G92" i="48" s="1"/>
  <c r="H92" i="48" s="1"/>
  <c r="E97" i="48"/>
  <c r="G97" i="48" s="1"/>
  <c r="H97" i="48" s="1"/>
  <c r="E90" i="48"/>
  <c r="G90" i="48" s="1"/>
  <c r="H90" i="48" s="1"/>
  <c r="E94" i="48"/>
  <c r="G94" i="48" s="1"/>
  <c r="H94" i="48" s="1"/>
  <c r="E89" i="48"/>
  <c r="G89" i="48" s="1"/>
  <c r="H89" i="48" s="1"/>
  <c r="E99" i="48"/>
  <c r="G99" i="48" s="1"/>
  <c r="H99" i="48" s="1"/>
  <c r="E91" i="48"/>
  <c r="G91" i="48" s="1"/>
  <c r="H91" i="48" s="1"/>
  <c r="E96" i="48"/>
  <c r="G96" i="48" s="1"/>
  <c r="H96" i="48" s="1"/>
  <c r="E95" i="48"/>
  <c r="G95" i="48" s="1"/>
  <c r="H95" i="48" s="1"/>
  <c r="B63" i="62"/>
  <c r="B62" i="62"/>
  <c r="E100" i="47"/>
  <c r="G100" i="47" s="1"/>
  <c r="H100" i="47" s="1"/>
  <c r="E93" i="47"/>
  <c r="G93" i="47" s="1"/>
  <c r="H93" i="47" s="1"/>
  <c r="E91" i="47"/>
  <c r="G91" i="47" s="1"/>
  <c r="H91" i="47" s="1"/>
  <c r="E97" i="47"/>
  <c r="G97" i="47" s="1"/>
  <c r="H97" i="47" s="1"/>
  <c r="E103" i="47"/>
  <c r="G103" i="47" s="1"/>
  <c r="H103" i="47" s="1"/>
  <c r="E99" i="47"/>
  <c r="G99" i="47" s="1"/>
  <c r="H99" i="47" s="1"/>
  <c r="E95" i="47"/>
  <c r="G95" i="47" s="1"/>
  <c r="H95" i="47" s="1"/>
  <c r="E102" i="47"/>
  <c r="G102" i="47" s="1"/>
  <c r="H102" i="47" s="1"/>
  <c r="E96" i="47"/>
  <c r="G96" i="47" s="1"/>
  <c r="H96" i="47" s="1"/>
  <c r="E94" i="47"/>
  <c r="G94" i="47" s="1"/>
  <c r="H94" i="47" s="1"/>
  <c r="E105" i="47"/>
  <c r="G105" i="47" s="1"/>
  <c r="H105" i="47" s="1"/>
  <c r="E98" i="47"/>
  <c r="G98" i="47" s="1"/>
  <c r="H98" i="47" s="1"/>
  <c r="E101" i="47"/>
  <c r="G101" i="47" s="1"/>
  <c r="H101" i="47" s="1"/>
  <c r="E92" i="47"/>
  <c r="G92" i="47" s="1"/>
  <c r="H92" i="47" s="1"/>
  <c r="E90" i="47"/>
  <c r="G90" i="47" s="1"/>
  <c r="H90" i="47" s="1"/>
  <c r="E104" i="47"/>
  <c r="G104" i="47" s="1"/>
  <c r="H104" i="47" s="1"/>
  <c r="C55" i="47"/>
  <c r="D55" i="47" s="1"/>
  <c r="B63" i="28"/>
  <c r="B62" i="28"/>
  <c r="B89" i="28"/>
  <c r="B90" i="28"/>
  <c r="B63" i="61"/>
  <c r="C55" i="78"/>
  <c r="E136" i="57"/>
  <c r="G136" i="57" s="1"/>
  <c r="H136" i="57" s="1"/>
  <c r="E124" i="57"/>
  <c r="G124" i="57" s="1"/>
  <c r="H124" i="57" s="1"/>
  <c r="E123" i="57"/>
  <c r="G123" i="57" s="1"/>
  <c r="H123" i="57" s="1"/>
  <c r="E132" i="57"/>
  <c r="G132" i="57" s="1"/>
  <c r="H132" i="57" s="1"/>
  <c r="B63" i="15"/>
  <c r="B95" i="15"/>
  <c r="B94" i="15"/>
  <c r="B62" i="61"/>
  <c r="B63" i="57"/>
  <c r="B91" i="57"/>
  <c r="B117" i="57"/>
  <c r="B118" i="57"/>
  <c r="E134" i="57"/>
  <c r="G134" i="57" s="1"/>
  <c r="H134" i="57" s="1"/>
  <c r="E138" i="57"/>
  <c r="G138" i="57" s="1"/>
  <c r="H138" i="57" s="1"/>
  <c r="E137" i="57"/>
  <c r="G137" i="57" s="1"/>
  <c r="H137" i="57" s="1"/>
  <c r="E140" i="57"/>
  <c r="G140" i="57" s="1"/>
  <c r="H140" i="57" s="1"/>
  <c r="E122" i="57"/>
  <c r="G122" i="57" s="1"/>
  <c r="H122" i="57" s="1"/>
  <c r="E130" i="57"/>
  <c r="G130" i="57" s="1"/>
  <c r="H130" i="57" s="1"/>
  <c r="E133" i="57"/>
  <c r="G133" i="57" s="1"/>
  <c r="H133" i="57" s="1"/>
  <c r="E127" i="57"/>
  <c r="G127" i="57" s="1"/>
  <c r="H127" i="57" s="1"/>
  <c r="E135" i="57"/>
  <c r="G135" i="57" s="1"/>
  <c r="H135" i="57" s="1"/>
  <c r="E121" i="57"/>
  <c r="G121" i="57" s="1"/>
  <c r="H121" i="57" s="1"/>
  <c r="E125" i="57"/>
  <c r="G125" i="57" s="1"/>
  <c r="H125" i="57" s="1"/>
  <c r="E131" i="57"/>
  <c r="G131" i="57" s="1"/>
  <c r="H131" i="57" s="1"/>
  <c r="E128" i="57"/>
  <c r="G128" i="57" s="1"/>
  <c r="H128" i="57" s="1"/>
  <c r="E129" i="57"/>
  <c r="G129" i="57" s="1"/>
  <c r="H129" i="57" s="1"/>
  <c r="E139" i="57"/>
  <c r="G139" i="57" s="1"/>
  <c r="H139" i="57" s="1"/>
  <c r="E126" i="57"/>
  <c r="G126" i="57" s="1"/>
  <c r="H126" i="57" s="1"/>
  <c r="G81" i="42"/>
  <c r="H81" i="42" s="1"/>
  <c r="G86" i="42"/>
  <c r="H86" i="42" s="1"/>
  <c r="G85" i="42"/>
  <c r="H85" i="42" s="1"/>
  <c r="G79" i="42"/>
  <c r="H79" i="42" s="1"/>
  <c r="G80" i="42"/>
  <c r="H80" i="42" s="1"/>
  <c r="G82" i="42"/>
  <c r="H82" i="42" s="1"/>
  <c r="G83" i="42"/>
  <c r="H83" i="42" s="1"/>
  <c r="G84" i="42"/>
  <c r="H84" i="42" s="1"/>
  <c r="B62" i="15"/>
  <c r="E82" i="71"/>
  <c r="G82" i="71" s="1"/>
  <c r="H82" i="71" s="1"/>
  <c r="H55" i="71"/>
  <c r="E100" i="71" s="1"/>
  <c r="G100" i="71" s="1"/>
  <c r="H100" i="71" s="1"/>
  <c r="B85" i="58"/>
  <c r="B86" i="58"/>
  <c r="B63" i="58"/>
  <c r="H58" i="77"/>
  <c r="B82" i="56"/>
  <c r="C55" i="53"/>
  <c r="B82" i="43"/>
  <c r="B81" i="43"/>
  <c r="B63" i="43"/>
  <c r="B87" i="18"/>
  <c r="B62" i="18"/>
  <c r="B63" i="18"/>
  <c r="B88" i="18"/>
  <c r="H55" i="72"/>
  <c r="B83" i="56"/>
  <c r="B62" i="44"/>
  <c r="B62" i="21"/>
  <c r="B63" i="21"/>
  <c r="E112" i="16"/>
  <c r="G112" i="16" s="1"/>
  <c r="H112" i="16" s="1"/>
  <c r="E109" i="16"/>
  <c r="G109" i="16" s="1"/>
  <c r="H109" i="16" s="1"/>
  <c r="E110" i="16"/>
  <c r="G110" i="16" s="1"/>
  <c r="H110" i="16" s="1"/>
  <c r="E111" i="16"/>
  <c r="G111" i="16" s="1"/>
  <c r="H111" i="16" s="1"/>
  <c r="E113" i="16"/>
  <c r="G113" i="16" s="1"/>
  <c r="H113" i="16" s="1"/>
  <c r="B127" i="16"/>
  <c r="B126" i="16"/>
  <c r="B62" i="56"/>
  <c r="B63" i="56"/>
  <c r="H56" i="51"/>
  <c r="B63" i="44"/>
  <c r="B87" i="44"/>
  <c r="B88" i="44"/>
  <c r="E108" i="20"/>
  <c r="E90" i="10"/>
  <c r="G90" i="10" s="1"/>
  <c r="H90" i="10" s="1"/>
  <c r="E91" i="10"/>
  <c r="G91" i="10" s="1"/>
  <c r="H91" i="10" s="1"/>
  <c r="E92" i="10"/>
  <c r="G92" i="10" s="1"/>
  <c r="H92" i="10" s="1"/>
  <c r="E89" i="10"/>
  <c r="G89" i="10" s="1"/>
  <c r="H89" i="10" s="1"/>
  <c r="E93" i="10"/>
  <c r="G93" i="10" s="1"/>
  <c r="H93" i="10" s="1"/>
  <c r="H56" i="10"/>
  <c r="C55" i="37"/>
  <c r="D55" i="37" s="1"/>
  <c r="B63" i="35"/>
  <c r="E93" i="35"/>
  <c r="G93" i="35" s="1"/>
  <c r="H93" i="35" s="1"/>
  <c r="B73" i="35"/>
  <c r="E92" i="35"/>
  <c r="G92" i="35" s="1"/>
  <c r="H92" i="35" s="1"/>
  <c r="E90" i="35"/>
  <c r="G90" i="35" s="1"/>
  <c r="H90" i="35" s="1"/>
  <c r="B87" i="3"/>
  <c r="E89" i="35"/>
  <c r="G89" i="35" s="1"/>
  <c r="H89" i="35" s="1"/>
  <c r="B62" i="35"/>
  <c r="E91" i="35"/>
  <c r="G91" i="35" s="1"/>
  <c r="H91" i="35" s="1"/>
  <c r="B74" i="35"/>
  <c r="B86" i="35"/>
  <c r="B63" i="33"/>
  <c r="B62" i="33"/>
  <c r="B63" i="31"/>
  <c r="B89" i="31"/>
  <c r="B88" i="31"/>
  <c r="B76" i="6"/>
  <c r="B62" i="3"/>
  <c r="B115" i="3"/>
  <c r="B114" i="3"/>
  <c r="B110" i="74"/>
  <c r="B63" i="74"/>
  <c r="B85" i="74"/>
  <c r="B111" i="74"/>
  <c r="B86" i="74"/>
  <c r="E126" i="74"/>
  <c r="G126" i="74" s="1"/>
  <c r="H126" i="74" s="1"/>
  <c r="E120" i="74"/>
  <c r="G120" i="74" s="1"/>
  <c r="H120" i="74" s="1"/>
  <c r="E124" i="74"/>
  <c r="G124" i="74" s="1"/>
  <c r="H124" i="74" s="1"/>
  <c r="E119" i="74"/>
  <c r="G119" i="74" s="1"/>
  <c r="H119" i="74" s="1"/>
  <c r="E117" i="74"/>
  <c r="G117" i="74" s="1"/>
  <c r="H117" i="74" s="1"/>
  <c r="E122" i="74"/>
  <c r="G122" i="74" s="1"/>
  <c r="H122" i="74" s="1"/>
  <c r="E129" i="74"/>
  <c r="G129" i="74" s="1"/>
  <c r="H129" i="74" s="1"/>
  <c r="E116" i="74"/>
  <c r="G116" i="74" s="1"/>
  <c r="H116" i="74" s="1"/>
  <c r="E114" i="74"/>
  <c r="G114" i="74" s="1"/>
  <c r="H114" i="74" s="1"/>
  <c r="E127" i="74"/>
  <c r="G127" i="74" s="1"/>
  <c r="H127" i="74" s="1"/>
  <c r="E115" i="74"/>
  <c r="G115" i="74" s="1"/>
  <c r="H115" i="74" s="1"/>
  <c r="E128" i="74"/>
  <c r="G128" i="74" s="1"/>
  <c r="H128" i="74" s="1"/>
  <c r="E125" i="74"/>
  <c r="G125" i="74" s="1"/>
  <c r="H125" i="74" s="1"/>
  <c r="E118" i="74"/>
  <c r="G118" i="74" s="1"/>
  <c r="H118" i="74" s="1"/>
  <c r="E121" i="74"/>
  <c r="G121" i="74" s="1"/>
  <c r="H121" i="74" s="1"/>
  <c r="E123" i="74"/>
  <c r="G123" i="74" s="1"/>
  <c r="H123" i="74" s="1"/>
  <c r="B62" i="58"/>
  <c r="H54" i="74"/>
  <c r="E88" i="74" s="1"/>
  <c r="G88" i="74" s="1"/>
  <c r="H88" i="74" s="1"/>
  <c r="H54" i="56"/>
  <c r="E85" i="56" s="1"/>
  <c r="G85" i="56" s="1"/>
  <c r="H85" i="56" s="1"/>
  <c r="H54" i="58"/>
  <c r="E88" i="58" s="1"/>
  <c r="G88" i="58" s="1"/>
  <c r="H88" i="58" s="1"/>
  <c r="G65" i="47"/>
  <c r="H65" i="47" s="1"/>
  <c r="H54" i="47"/>
  <c r="E89" i="47" s="1"/>
  <c r="G89" i="47" s="1"/>
  <c r="H89" i="47" s="1"/>
  <c r="E101" i="32"/>
  <c r="G101" i="32" s="1"/>
  <c r="H101" i="32" s="1"/>
  <c r="E96" i="32"/>
  <c r="G96" i="32" s="1"/>
  <c r="H96" i="32" s="1"/>
  <c r="E95" i="32"/>
  <c r="G95" i="32" s="1"/>
  <c r="H95" i="32" s="1"/>
  <c r="E94" i="32"/>
  <c r="G94" i="32" s="1"/>
  <c r="H94" i="32" s="1"/>
  <c r="E93" i="32"/>
  <c r="G93" i="32" s="1"/>
  <c r="H93" i="32" s="1"/>
  <c r="E92" i="32"/>
  <c r="G92" i="32" s="1"/>
  <c r="H92" i="32" s="1"/>
  <c r="E90" i="32"/>
  <c r="G90" i="32" s="1"/>
  <c r="H90" i="32" s="1"/>
  <c r="E89" i="32"/>
  <c r="G89" i="32" s="1"/>
  <c r="H89" i="32" s="1"/>
  <c r="G87" i="32"/>
  <c r="H87" i="32" s="1"/>
  <c r="E100" i="32"/>
  <c r="G100" i="32" s="1"/>
  <c r="H100" i="32" s="1"/>
  <c r="E91" i="32"/>
  <c r="G91" i="32" s="1"/>
  <c r="H91" i="32" s="1"/>
  <c r="E88" i="32"/>
  <c r="G88" i="32" s="1"/>
  <c r="H88" i="32" s="1"/>
  <c r="E97" i="32"/>
  <c r="G97" i="32" s="1"/>
  <c r="H97" i="32" s="1"/>
  <c r="C55" i="32"/>
  <c r="E99" i="32"/>
  <c r="G99" i="32" s="1"/>
  <c r="H99" i="32" s="1"/>
  <c r="E98" i="32"/>
  <c r="G98" i="32" s="1"/>
  <c r="H98" i="32" s="1"/>
  <c r="H54" i="33"/>
  <c r="E93" i="33" s="1"/>
  <c r="G93" i="33" s="1"/>
  <c r="H93" i="33" s="1"/>
  <c r="B91" i="33"/>
  <c r="G105" i="33"/>
  <c r="H105" i="33" s="1"/>
  <c r="G94" i="33"/>
  <c r="H94" i="33" s="1"/>
  <c r="G104" i="33"/>
  <c r="H104" i="33" s="1"/>
  <c r="G98" i="33"/>
  <c r="H98" i="33" s="1"/>
  <c r="G96" i="33"/>
  <c r="H96" i="33" s="1"/>
  <c r="G99" i="33"/>
  <c r="H99" i="33" s="1"/>
  <c r="G103" i="33"/>
  <c r="H103" i="33" s="1"/>
  <c r="G112" i="33"/>
  <c r="H112" i="33" s="1"/>
  <c r="G102" i="33"/>
  <c r="H102" i="33" s="1"/>
  <c r="G111" i="33"/>
  <c r="H111" i="33" s="1"/>
  <c r="G109" i="33"/>
  <c r="H109" i="33" s="1"/>
  <c r="G110" i="33"/>
  <c r="H110" i="33" s="1"/>
  <c r="E65" i="7"/>
  <c r="D65" i="7"/>
  <c r="H54" i="7"/>
  <c r="H55" i="69"/>
  <c r="E105" i="51"/>
  <c r="G105" i="51" s="1"/>
  <c r="H105" i="51" s="1"/>
  <c r="E113" i="51"/>
  <c r="G113" i="51" s="1"/>
  <c r="H113" i="51" s="1"/>
  <c r="E115" i="51"/>
  <c r="G115" i="51" s="1"/>
  <c r="H115" i="51" s="1"/>
  <c r="E106" i="51"/>
  <c r="G106" i="51" s="1"/>
  <c r="H106" i="51" s="1"/>
  <c r="E114" i="51"/>
  <c r="G114" i="51" s="1"/>
  <c r="H114" i="51" s="1"/>
  <c r="E116" i="51"/>
  <c r="G116" i="51" s="1"/>
  <c r="H116" i="51" s="1"/>
  <c r="E109" i="51"/>
  <c r="G109" i="51" s="1"/>
  <c r="H109" i="51" s="1"/>
  <c r="E117" i="51"/>
  <c r="G117" i="51" s="1"/>
  <c r="H117" i="51" s="1"/>
  <c r="E110" i="51"/>
  <c r="G110" i="51" s="1"/>
  <c r="H110" i="51" s="1"/>
  <c r="E107" i="51"/>
  <c r="G107" i="51" s="1"/>
  <c r="H107" i="51" s="1"/>
  <c r="E111" i="51"/>
  <c r="G111" i="51" s="1"/>
  <c r="H111" i="51" s="1"/>
  <c r="E112" i="51"/>
  <c r="G112" i="51" s="1"/>
  <c r="H112" i="51" s="1"/>
  <c r="E108" i="51"/>
  <c r="G108" i="51" s="1"/>
  <c r="H108" i="51" s="1"/>
  <c r="E94" i="60"/>
  <c r="G94" i="60" s="1"/>
  <c r="H94" i="60" s="1"/>
  <c r="E96" i="60"/>
  <c r="G96" i="60" s="1"/>
  <c r="H96" i="60" s="1"/>
  <c r="E87" i="60"/>
  <c r="G87" i="60" s="1"/>
  <c r="H87" i="60" s="1"/>
  <c r="E86" i="60"/>
  <c r="G86" i="60" s="1"/>
  <c r="H86" i="60" s="1"/>
  <c r="E91" i="60"/>
  <c r="G91" i="60" s="1"/>
  <c r="H91" i="60" s="1"/>
  <c r="E90" i="60"/>
  <c r="G90" i="60" s="1"/>
  <c r="H90" i="60" s="1"/>
  <c r="E92" i="60"/>
  <c r="G92" i="60" s="1"/>
  <c r="H92" i="60" s="1"/>
  <c r="E95" i="60"/>
  <c r="G95" i="60" s="1"/>
  <c r="H95" i="60" s="1"/>
  <c r="E93" i="60"/>
  <c r="G93" i="60" s="1"/>
  <c r="H93" i="60" s="1"/>
  <c r="E88" i="60"/>
  <c r="G88" i="60" s="1"/>
  <c r="H88" i="60" s="1"/>
  <c r="E89" i="60"/>
  <c r="G89" i="60" s="1"/>
  <c r="H89" i="60" s="1"/>
  <c r="C55" i="60"/>
  <c r="D55" i="60" s="1"/>
  <c r="E118" i="3"/>
  <c r="G118" i="3" s="1"/>
  <c r="H118" i="3" s="1"/>
  <c r="E129" i="3"/>
  <c r="G129" i="3" s="1"/>
  <c r="H129" i="3" s="1"/>
  <c r="E127" i="3"/>
  <c r="G127" i="3" s="1"/>
  <c r="H127" i="3" s="1"/>
  <c r="E123" i="3"/>
  <c r="G123" i="3" s="1"/>
  <c r="H123" i="3" s="1"/>
  <c r="E133" i="3"/>
  <c r="G133" i="3" s="1"/>
  <c r="H133" i="3" s="1"/>
  <c r="E120" i="3"/>
  <c r="G120" i="3" s="1"/>
  <c r="H120" i="3" s="1"/>
  <c r="E122" i="3"/>
  <c r="G122" i="3" s="1"/>
  <c r="H122" i="3" s="1"/>
  <c r="E126" i="3"/>
  <c r="G126" i="3" s="1"/>
  <c r="H126" i="3" s="1"/>
  <c r="E121" i="3"/>
  <c r="G121" i="3" s="1"/>
  <c r="H121" i="3" s="1"/>
  <c r="E134" i="3"/>
  <c r="G134" i="3" s="1"/>
  <c r="H134" i="3" s="1"/>
  <c r="E132" i="3"/>
  <c r="G132" i="3" s="1"/>
  <c r="H132" i="3" s="1"/>
  <c r="E125" i="3"/>
  <c r="G125" i="3" s="1"/>
  <c r="H125" i="3" s="1"/>
  <c r="E124" i="3"/>
  <c r="G124" i="3" s="1"/>
  <c r="H124" i="3" s="1"/>
  <c r="E128" i="3"/>
  <c r="G128" i="3" s="1"/>
  <c r="H128" i="3" s="1"/>
  <c r="E131" i="3"/>
  <c r="G131" i="3" s="1"/>
  <c r="H131" i="3" s="1"/>
  <c r="E119" i="3"/>
  <c r="G119" i="3" s="1"/>
  <c r="H119" i="3" s="1"/>
  <c r="E130" i="3"/>
  <c r="G130" i="3" s="1"/>
  <c r="H130" i="3" s="1"/>
  <c r="B86" i="3"/>
  <c r="B63" i="6"/>
  <c r="B62" i="6"/>
  <c r="B91" i="72"/>
  <c r="B92" i="72"/>
  <c r="B63" i="72"/>
  <c r="E96" i="70"/>
  <c r="G96" i="70" s="1"/>
  <c r="H96" i="70" s="1"/>
  <c r="E104" i="70"/>
  <c r="G104" i="70" s="1"/>
  <c r="H104" i="70" s="1"/>
  <c r="E108" i="70"/>
  <c r="G108" i="70" s="1"/>
  <c r="H108" i="70" s="1"/>
  <c r="E109" i="70"/>
  <c r="G109" i="70" s="1"/>
  <c r="H109" i="70" s="1"/>
  <c r="E99" i="70"/>
  <c r="G99" i="70" s="1"/>
  <c r="H99" i="70" s="1"/>
  <c r="E101" i="70"/>
  <c r="G101" i="70" s="1"/>
  <c r="H101" i="70" s="1"/>
  <c r="E93" i="70"/>
  <c r="G93" i="70" s="1"/>
  <c r="H93" i="70" s="1"/>
  <c r="E94" i="70"/>
  <c r="G94" i="70" s="1"/>
  <c r="H94" i="70" s="1"/>
  <c r="E102" i="70"/>
  <c r="G102" i="70" s="1"/>
  <c r="H102" i="70" s="1"/>
  <c r="E105" i="70"/>
  <c r="G105" i="70" s="1"/>
  <c r="H105" i="70" s="1"/>
  <c r="E92" i="70"/>
  <c r="G92" i="70" s="1"/>
  <c r="H92" i="70" s="1"/>
  <c r="E103" i="70"/>
  <c r="G103" i="70" s="1"/>
  <c r="H103" i="70" s="1"/>
  <c r="E98" i="70"/>
  <c r="G98" i="70" s="1"/>
  <c r="H98" i="70" s="1"/>
  <c r="E100" i="70"/>
  <c r="G100" i="70" s="1"/>
  <c r="H100" i="70" s="1"/>
  <c r="E107" i="70"/>
  <c r="G107" i="70" s="1"/>
  <c r="H107" i="70" s="1"/>
  <c r="E95" i="70"/>
  <c r="G95" i="70" s="1"/>
  <c r="H95" i="70" s="1"/>
  <c r="E106" i="70"/>
  <c r="G106" i="70" s="1"/>
  <c r="H106" i="70" s="1"/>
  <c r="E97" i="70"/>
  <c r="G97" i="70" s="1"/>
  <c r="H97" i="70" s="1"/>
  <c r="C55" i="70"/>
  <c r="C86" i="70" l="1"/>
  <c r="H86" i="70"/>
  <c r="E112" i="70"/>
  <c r="G112" i="70"/>
  <c r="D55" i="70"/>
  <c r="E137" i="70"/>
  <c r="G137" i="70" s="1"/>
  <c r="H137" i="70" s="1"/>
  <c r="E152" i="57"/>
  <c r="G152" i="57" s="1"/>
  <c r="H152" i="57" s="1"/>
  <c r="H115" i="57"/>
  <c r="C115" i="57"/>
  <c r="E150" i="57"/>
  <c r="G150" i="57" s="1"/>
  <c r="H150" i="57" s="1"/>
  <c r="E164" i="57"/>
  <c r="G164" i="57" s="1"/>
  <c r="H164" i="57" s="1"/>
  <c r="E167" i="57"/>
  <c r="G167" i="57" s="1"/>
  <c r="H167" i="57" s="1"/>
  <c r="E163" i="57"/>
  <c r="G163" i="57" s="1"/>
  <c r="H163" i="57" s="1"/>
  <c r="E161" i="57"/>
  <c r="G161" i="57" s="1"/>
  <c r="H161" i="57" s="1"/>
  <c r="E158" i="57"/>
  <c r="G158" i="57" s="1"/>
  <c r="H158" i="57" s="1"/>
  <c r="E149" i="57"/>
  <c r="G149" i="57" s="1"/>
  <c r="H149" i="57" s="1"/>
  <c r="D56" i="57"/>
  <c r="E162" i="57"/>
  <c r="G162" i="57" s="1"/>
  <c r="H162" i="57" s="1"/>
  <c r="E151" i="57"/>
  <c r="G151" i="57" s="1"/>
  <c r="H151" i="57" s="1"/>
  <c r="E160" i="57"/>
  <c r="G160" i="57" s="1"/>
  <c r="H160" i="57" s="1"/>
  <c r="E155" i="57"/>
  <c r="G155" i="57" s="1"/>
  <c r="H155" i="57" s="1"/>
  <c r="E156" i="57"/>
  <c r="G156" i="57" s="1"/>
  <c r="H156" i="57" s="1"/>
  <c r="E159" i="57"/>
  <c r="G159" i="57" s="1"/>
  <c r="H159" i="57" s="1"/>
  <c r="E166" i="57"/>
  <c r="G166" i="57" s="1"/>
  <c r="H166" i="57" s="1"/>
  <c r="E154" i="57"/>
  <c r="G154" i="57" s="1"/>
  <c r="H154" i="57" s="1"/>
  <c r="E165" i="57"/>
  <c r="G165" i="57" s="1"/>
  <c r="H165" i="57" s="1"/>
  <c r="E148" i="57"/>
  <c r="G148" i="57" s="1"/>
  <c r="H148" i="57" s="1"/>
  <c r="E157" i="57"/>
  <c r="G157" i="57" s="1"/>
  <c r="H157" i="57" s="1"/>
  <c r="E142" i="57"/>
  <c r="G142" i="57"/>
  <c r="H114" i="28"/>
  <c r="C114" i="28"/>
  <c r="H107" i="59"/>
  <c r="C107" i="59"/>
  <c r="H116" i="33"/>
  <c r="C116" i="33"/>
  <c r="G112" i="71"/>
  <c r="E112" i="71"/>
  <c r="AB31" i="3"/>
  <c r="G142" i="28"/>
  <c r="E142" i="28"/>
  <c r="H142" i="28" s="1"/>
  <c r="H135" i="8"/>
  <c r="C135" i="8"/>
  <c r="H106" i="74"/>
  <c r="C106" i="74"/>
  <c r="E98" i="60"/>
  <c r="G98" i="60"/>
  <c r="C73" i="53"/>
  <c r="H73" i="53"/>
  <c r="D55" i="55"/>
  <c r="H83" i="47"/>
  <c r="C83" i="47"/>
  <c r="C125" i="7"/>
  <c r="D55" i="38"/>
  <c r="C135" i="4"/>
  <c r="G148" i="7"/>
  <c r="E148" i="7"/>
  <c r="C130" i="50"/>
  <c r="H130" i="50"/>
  <c r="H122" i="23"/>
  <c r="G120" i="48"/>
  <c r="E120" i="48"/>
  <c r="C122" i="23"/>
  <c r="E142" i="23"/>
  <c r="G142" i="23"/>
  <c r="E127" i="23"/>
  <c r="G127" i="23" s="1"/>
  <c r="H127" i="23" s="1"/>
  <c r="E140" i="23"/>
  <c r="G140" i="23" s="1"/>
  <c r="H140" i="23" s="1"/>
  <c r="E128" i="23"/>
  <c r="G128" i="23" s="1"/>
  <c r="H128" i="23" s="1"/>
  <c r="E131" i="23"/>
  <c r="G131" i="23" s="1"/>
  <c r="H131" i="23" s="1"/>
  <c r="E132" i="23"/>
  <c r="G132" i="23" s="1"/>
  <c r="H132" i="23" s="1"/>
  <c r="E134" i="23"/>
  <c r="G134" i="23" s="1"/>
  <c r="H134" i="23" s="1"/>
  <c r="E136" i="23"/>
  <c r="G136" i="23" s="1"/>
  <c r="H136" i="23" s="1"/>
  <c r="E137" i="23"/>
  <c r="G137" i="23" s="1"/>
  <c r="H137" i="23" s="1"/>
  <c r="E138" i="23"/>
  <c r="G138" i="23" s="1"/>
  <c r="H138" i="23" s="1"/>
  <c r="E139" i="23"/>
  <c r="G139" i="23" s="1"/>
  <c r="H139" i="23" s="1"/>
  <c r="E129" i="23"/>
  <c r="G129" i="23" s="1"/>
  <c r="H129" i="23" s="1"/>
  <c r="H79" i="60"/>
  <c r="C79" i="60"/>
  <c r="B62" i="53"/>
  <c r="D55" i="53"/>
  <c r="B84" i="32"/>
  <c r="D55" i="32"/>
  <c r="D55" i="24"/>
  <c r="H57" i="23"/>
  <c r="E135" i="23"/>
  <c r="G135" i="23" s="1"/>
  <c r="H135" i="23" s="1"/>
  <c r="E130" i="23"/>
  <c r="G130" i="23" s="1"/>
  <c r="H130" i="23" s="1"/>
  <c r="E133" i="23"/>
  <c r="G133" i="23" s="1"/>
  <c r="H133" i="23" s="1"/>
  <c r="D55" i="78"/>
  <c r="E113" i="66"/>
  <c r="G113" i="66" s="1"/>
  <c r="H113" i="66" s="1"/>
  <c r="E116" i="66"/>
  <c r="G116" i="66" s="1"/>
  <c r="H116" i="66" s="1"/>
  <c r="E114" i="66"/>
  <c r="G114" i="66" s="1"/>
  <c r="H114" i="66" s="1"/>
  <c r="E117" i="66"/>
  <c r="G117" i="66" s="1"/>
  <c r="H117" i="66" s="1"/>
  <c r="E118" i="66"/>
  <c r="G118" i="66" s="1"/>
  <c r="H118" i="66" s="1"/>
  <c r="E119" i="66"/>
  <c r="G119" i="66" s="1"/>
  <c r="H119" i="66" s="1"/>
  <c r="E115" i="66"/>
  <c r="G115" i="66" s="1"/>
  <c r="H115" i="66" s="1"/>
  <c r="E120" i="66"/>
  <c r="G120" i="66" s="1"/>
  <c r="H120" i="66" s="1"/>
  <c r="E121" i="66"/>
  <c r="G121" i="66" s="1"/>
  <c r="H121" i="66" s="1"/>
  <c r="H57" i="66"/>
  <c r="H131" i="74"/>
  <c r="C131" i="74"/>
  <c r="B62" i="48"/>
  <c r="H101" i="48"/>
  <c r="C101" i="48"/>
  <c r="B84" i="48"/>
  <c r="H107" i="47"/>
  <c r="C107" i="47"/>
  <c r="H103" i="32"/>
  <c r="C103" i="32"/>
  <c r="H123" i="16"/>
  <c r="C123" i="16"/>
  <c r="H136" i="3"/>
  <c r="C136" i="3"/>
  <c r="C56" i="54"/>
  <c r="D56" i="54" s="1"/>
  <c r="C95" i="10"/>
  <c r="H95" i="10"/>
  <c r="E106" i="10"/>
  <c r="E102" i="10"/>
  <c r="G102" i="10" s="1"/>
  <c r="H102" i="10" s="1"/>
  <c r="G106" i="10"/>
  <c r="E101" i="10"/>
  <c r="G101" i="10" s="1"/>
  <c r="H101" i="10" s="1"/>
  <c r="E104" i="10"/>
  <c r="G104" i="10" s="1"/>
  <c r="H104" i="10" s="1"/>
  <c r="E103" i="10"/>
  <c r="G103" i="10" s="1"/>
  <c r="H103" i="10" s="1"/>
  <c r="E100" i="10"/>
  <c r="G100" i="10" s="1"/>
  <c r="H100" i="10" s="1"/>
  <c r="B63" i="53"/>
  <c r="B73" i="10"/>
  <c r="B63" i="60"/>
  <c r="B63" i="10"/>
  <c r="B74" i="10"/>
  <c r="B62" i="10"/>
  <c r="C57" i="39"/>
  <c r="D57" i="39" s="1"/>
  <c r="C56" i="38"/>
  <c r="C56" i="14"/>
  <c r="D56" i="14" s="1"/>
  <c r="B115" i="14" s="1"/>
  <c r="B85" i="48"/>
  <c r="B63" i="48"/>
  <c r="B104" i="48"/>
  <c r="E110" i="48"/>
  <c r="G110" i="48" s="1"/>
  <c r="H110" i="48" s="1"/>
  <c r="E114" i="48"/>
  <c r="G114" i="48" s="1"/>
  <c r="H114" i="48" s="1"/>
  <c r="E116" i="48"/>
  <c r="G116" i="48" s="1"/>
  <c r="H116" i="48" s="1"/>
  <c r="E118" i="48"/>
  <c r="G118" i="48" s="1"/>
  <c r="H118" i="48" s="1"/>
  <c r="E113" i="48"/>
  <c r="G113" i="48" s="1"/>
  <c r="H113" i="48" s="1"/>
  <c r="E112" i="48"/>
  <c r="G112" i="48" s="1"/>
  <c r="H112" i="48" s="1"/>
  <c r="E115" i="48"/>
  <c r="G115" i="48" s="1"/>
  <c r="H115" i="48" s="1"/>
  <c r="E108" i="48"/>
  <c r="G108" i="48" s="1"/>
  <c r="H108" i="48" s="1"/>
  <c r="E111" i="48"/>
  <c r="G111" i="48" s="1"/>
  <c r="H111" i="48" s="1"/>
  <c r="E109" i="48"/>
  <c r="G109" i="48" s="1"/>
  <c r="H109" i="48" s="1"/>
  <c r="B103" i="48"/>
  <c r="E117" i="48"/>
  <c r="G117" i="48" s="1"/>
  <c r="H117" i="48" s="1"/>
  <c r="E107" i="48"/>
  <c r="G107" i="48" s="1"/>
  <c r="H107" i="48" s="1"/>
  <c r="B63" i="47"/>
  <c r="B62" i="47"/>
  <c r="B86" i="47"/>
  <c r="B87" i="47"/>
  <c r="B62" i="37"/>
  <c r="B63" i="37"/>
  <c r="B82" i="60"/>
  <c r="B62" i="77"/>
  <c r="B63" i="77"/>
  <c r="B75" i="77"/>
  <c r="B74" i="77"/>
  <c r="B89" i="77"/>
  <c r="B88" i="77"/>
  <c r="B103" i="51"/>
  <c r="B82" i="51"/>
  <c r="B102" i="51"/>
  <c r="B62" i="51"/>
  <c r="B122" i="51"/>
  <c r="B63" i="51"/>
  <c r="B81" i="51"/>
  <c r="B121" i="51"/>
  <c r="B88" i="70"/>
  <c r="B62" i="60"/>
  <c r="B81" i="60"/>
  <c r="B86" i="10"/>
  <c r="B97" i="10"/>
  <c r="B98" i="10"/>
  <c r="E132" i="51"/>
  <c r="G132" i="51" s="1"/>
  <c r="H132" i="51" s="1"/>
  <c r="E136" i="51"/>
  <c r="G136" i="51" s="1"/>
  <c r="H136" i="51" s="1"/>
  <c r="E134" i="51"/>
  <c r="G134" i="51" s="1"/>
  <c r="H134" i="51" s="1"/>
  <c r="E124" i="51"/>
  <c r="G124" i="51" s="1"/>
  <c r="H124" i="51" s="1"/>
  <c r="E135" i="51"/>
  <c r="G135" i="51" s="1"/>
  <c r="H135" i="51" s="1"/>
  <c r="E133" i="51"/>
  <c r="G133" i="51" s="1"/>
  <c r="H133" i="51" s="1"/>
  <c r="E131" i="51"/>
  <c r="G131" i="51" s="1"/>
  <c r="H131" i="51" s="1"/>
  <c r="E130" i="51"/>
  <c r="G130" i="51" s="1"/>
  <c r="H130" i="51" s="1"/>
  <c r="E129" i="51"/>
  <c r="G129" i="51" s="1"/>
  <c r="H129" i="51" s="1"/>
  <c r="E128" i="51"/>
  <c r="G128" i="51" s="1"/>
  <c r="H128" i="51" s="1"/>
  <c r="E127" i="51"/>
  <c r="G127" i="51" s="1"/>
  <c r="H127" i="51" s="1"/>
  <c r="E126" i="51"/>
  <c r="G126" i="51" s="1"/>
  <c r="H126" i="51" s="1"/>
  <c r="E125" i="51"/>
  <c r="G125" i="51" s="1"/>
  <c r="H125" i="51" s="1"/>
  <c r="G108" i="20"/>
  <c r="H108" i="20" s="1"/>
  <c r="B87" i="10"/>
  <c r="B85" i="32"/>
  <c r="B63" i="32"/>
  <c r="B64" i="32"/>
  <c r="H55" i="58"/>
  <c r="H55" i="56"/>
  <c r="B63" i="70"/>
  <c r="B115" i="70"/>
  <c r="B116" i="70"/>
  <c r="H55" i="74"/>
  <c r="E113" i="74" s="1"/>
  <c r="G113" i="74" s="1"/>
  <c r="H113" i="74" s="1"/>
  <c r="B89" i="70"/>
  <c r="B62" i="70"/>
  <c r="H55" i="47"/>
  <c r="H55" i="33"/>
  <c r="G65" i="7"/>
  <c r="H65" i="7" s="1"/>
  <c r="D88" i="7"/>
  <c r="E88" i="7"/>
  <c r="H55" i="7"/>
  <c r="E134" i="70"/>
  <c r="G134" i="70" s="1"/>
  <c r="H134" i="70" s="1"/>
  <c r="E132" i="70"/>
  <c r="G132" i="70" s="1"/>
  <c r="H132" i="70" s="1"/>
  <c r="E131" i="70"/>
  <c r="G131" i="70" s="1"/>
  <c r="H131" i="70" s="1"/>
  <c r="E125" i="70"/>
  <c r="G125" i="70" s="1"/>
  <c r="H125" i="70" s="1"/>
  <c r="E136" i="70"/>
  <c r="G136" i="70" s="1"/>
  <c r="H136" i="70" s="1"/>
  <c r="E128" i="70"/>
  <c r="G128" i="70" s="1"/>
  <c r="H128" i="70" s="1"/>
  <c r="E127" i="70"/>
  <c r="G127" i="70" s="1"/>
  <c r="H127" i="70" s="1"/>
  <c r="E119" i="70"/>
  <c r="G119" i="70" s="1"/>
  <c r="H119" i="70" s="1"/>
  <c r="E133" i="70"/>
  <c r="G133" i="70" s="1"/>
  <c r="H133" i="70" s="1"/>
  <c r="E123" i="70"/>
  <c r="G123" i="70" s="1"/>
  <c r="H123" i="70" s="1"/>
  <c r="E122" i="70"/>
  <c r="G122" i="70" s="1"/>
  <c r="H122" i="70" s="1"/>
  <c r="E130" i="70"/>
  <c r="G130" i="70" s="1"/>
  <c r="H130" i="70" s="1"/>
  <c r="E124" i="70"/>
  <c r="G124" i="70" s="1"/>
  <c r="H124" i="70" s="1"/>
  <c r="E129" i="70"/>
  <c r="G129" i="70" s="1"/>
  <c r="H129" i="70" s="1"/>
  <c r="E121" i="70"/>
  <c r="G121" i="70" s="1"/>
  <c r="H121" i="70" s="1"/>
  <c r="E126" i="70"/>
  <c r="G126" i="70" s="1"/>
  <c r="H126" i="70" s="1"/>
  <c r="E135" i="70"/>
  <c r="G135" i="70" s="1"/>
  <c r="H135" i="70" s="1"/>
  <c r="E120" i="70"/>
  <c r="G120" i="70" s="1"/>
  <c r="H120" i="70" s="1"/>
  <c r="H112" i="70" l="1"/>
  <c r="C112" i="70"/>
  <c r="G139" i="70"/>
  <c r="E139" i="70"/>
  <c r="G169" i="57"/>
  <c r="E169" i="57"/>
  <c r="H142" i="57"/>
  <c r="C142" i="57"/>
  <c r="C112" i="71"/>
  <c r="H112" i="71"/>
  <c r="AF31" i="3"/>
  <c r="C142" i="28"/>
  <c r="C148" i="7"/>
  <c r="H98" i="60"/>
  <c r="C98" i="60"/>
  <c r="C57" i="38"/>
  <c r="D56" i="38"/>
  <c r="H148" i="7"/>
  <c r="E109" i="7"/>
  <c r="G109" i="7" s="1"/>
  <c r="H109" i="7" s="1"/>
  <c r="H56" i="7"/>
  <c r="E132" i="7" s="1"/>
  <c r="G132" i="7" s="1"/>
  <c r="H132" i="7" s="1"/>
  <c r="B82" i="23"/>
  <c r="H142" i="23"/>
  <c r="C142" i="23"/>
  <c r="B145" i="23"/>
  <c r="B63" i="23"/>
  <c r="B125" i="23"/>
  <c r="B62" i="23"/>
  <c r="B104" i="23"/>
  <c r="B144" i="23"/>
  <c r="B105" i="23"/>
  <c r="B83" i="23"/>
  <c r="E147" i="23"/>
  <c r="G147" i="23" s="1"/>
  <c r="H147" i="23" s="1"/>
  <c r="E152" i="23"/>
  <c r="G152" i="23" s="1"/>
  <c r="H152" i="23" s="1"/>
  <c r="E150" i="23"/>
  <c r="G150" i="23" s="1"/>
  <c r="H150" i="23" s="1"/>
  <c r="E151" i="23"/>
  <c r="G151" i="23" s="1"/>
  <c r="H151" i="23" s="1"/>
  <c r="E160" i="23"/>
  <c r="G160" i="23" s="1"/>
  <c r="H160" i="23" s="1"/>
  <c r="B124" i="23"/>
  <c r="G162" i="23"/>
  <c r="E162" i="23"/>
  <c r="E148" i="23"/>
  <c r="G148" i="23" s="1"/>
  <c r="H148" i="23" s="1"/>
  <c r="E154" i="23"/>
  <c r="G154" i="23" s="1"/>
  <c r="H154" i="23" s="1"/>
  <c r="E155" i="23"/>
  <c r="G155" i="23" s="1"/>
  <c r="H155" i="23" s="1"/>
  <c r="E157" i="23"/>
  <c r="G157" i="23" s="1"/>
  <c r="H157" i="23" s="1"/>
  <c r="E159" i="23"/>
  <c r="G159" i="23" s="1"/>
  <c r="H159" i="23" s="1"/>
  <c r="E153" i="23"/>
  <c r="G153" i="23" s="1"/>
  <c r="H153" i="23" s="1"/>
  <c r="E156" i="23"/>
  <c r="G156" i="23" s="1"/>
  <c r="H156" i="23" s="1"/>
  <c r="E158" i="23"/>
  <c r="G158" i="23" s="1"/>
  <c r="H158" i="23" s="1"/>
  <c r="E149" i="23"/>
  <c r="G149" i="23" s="1"/>
  <c r="H149" i="23" s="1"/>
  <c r="E130" i="66"/>
  <c r="G130" i="66" s="1"/>
  <c r="H130" i="66" s="1"/>
  <c r="E137" i="66"/>
  <c r="G137" i="66" s="1"/>
  <c r="H137" i="66" s="1"/>
  <c r="H58" i="66"/>
  <c r="B95" i="66" s="1"/>
  <c r="E131" i="66"/>
  <c r="G131" i="66" s="1"/>
  <c r="H131" i="66" s="1"/>
  <c r="E132" i="66"/>
  <c r="G132" i="66" s="1"/>
  <c r="H132" i="66" s="1"/>
  <c r="E133" i="66"/>
  <c r="G133" i="66" s="1"/>
  <c r="H133" i="66" s="1"/>
  <c r="E134" i="66"/>
  <c r="G134" i="66" s="1"/>
  <c r="H134" i="66" s="1"/>
  <c r="E135" i="66"/>
  <c r="G135" i="66" s="1"/>
  <c r="H135" i="66" s="1"/>
  <c r="E136" i="66"/>
  <c r="G136" i="66" s="1"/>
  <c r="H136" i="66" s="1"/>
  <c r="E129" i="66"/>
  <c r="G129" i="66" s="1"/>
  <c r="H129" i="66" s="1"/>
  <c r="H120" i="48"/>
  <c r="C120" i="48"/>
  <c r="C57" i="54"/>
  <c r="C106" i="10"/>
  <c r="H106" i="10"/>
  <c r="C57" i="14"/>
  <c r="E109" i="14"/>
  <c r="G109" i="14" s="1"/>
  <c r="H109" i="14" s="1"/>
  <c r="E107" i="14"/>
  <c r="G107" i="14" s="1"/>
  <c r="H107" i="14" s="1"/>
  <c r="E112" i="14"/>
  <c r="G112" i="14" s="1"/>
  <c r="H112" i="14" s="1"/>
  <c r="E111" i="14"/>
  <c r="G111" i="14" s="1"/>
  <c r="H111" i="14" s="1"/>
  <c r="E110" i="14"/>
  <c r="G110" i="14" s="1"/>
  <c r="H110" i="14" s="1"/>
  <c r="E113" i="14"/>
  <c r="G113" i="14" s="1"/>
  <c r="H113" i="14" s="1"/>
  <c r="E108" i="14"/>
  <c r="G108" i="14" s="1"/>
  <c r="H108" i="14" s="1"/>
  <c r="G88" i="7"/>
  <c r="H88" i="7" s="1"/>
  <c r="H139" i="70" l="1"/>
  <c r="C139" i="70"/>
  <c r="H169" i="57"/>
  <c r="C169" i="57"/>
  <c r="D57" i="54"/>
  <c r="C58" i="38"/>
  <c r="D57" i="38"/>
  <c r="D57" i="14"/>
  <c r="B128" i="14" s="1"/>
  <c r="B78" i="66"/>
  <c r="B143" i="66"/>
  <c r="B142" i="66"/>
  <c r="B127" i="66"/>
  <c r="B77" i="66"/>
  <c r="B62" i="66"/>
  <c r="B94" i="66"/>
  <c r="B110" i="66"/>
  <c r="B111" i="66"/>
  <c r="H162" i="23"/>
  <c r="C162" i="23"/>
  <c r="B63" i="66"/>
  <c r="B126" i="66"/>
  <c r="E145" i="66"/>
  <c r="G145" i="66" s="1"/>
  <c r="H145" i="66" s="1"/>
  <c r="E149" i="66"/>
  <c r="G149" i="66" s="1"/>
  <c r="H149" i="66" s="1"/>
  <c r="E151" i="66"/>
  <c r="G151" i="66" s="1"/>
  <c r="H151" i="66" s="1"/>
  <c r="E153" i="66"/>
  <c r="G153" i="66" s="1"/>
  <c r="H153" i="66" s="1"/>
  <c r="E146" i="66"/>
  <c r="G146" i="66" s="1"/>
  <c r="H146" i="66" s="1"/>
  <c r="E152" i="66"/>
  <c r="G152" i="66" s="1"/>
  <c r="H152" i="66" s="1"/>
  <c r="E147" i="66"/>
  <c r="G147" i="66" s="1"/>
  <c r="H147" i="66" s="1"/>
  <c r="E150" i="66"/>
  <c r="G150" i="66" s="1"/>
  <c r="H150" i="66" s="1"/>
  <c r="E148" i="66"/>
  <c r="G148" i="66" s="1"/>
  <c r="H148" i="66" s="1"/>
  <c r="E121" i="14"/>
  <c r="G121" i="14" s="1"/>
  <c r="H121" i="14" s="1"/>
  <c r="E124" i="14"/>
  <c r="G124" i="14" s="1"/>
  <c r="H124" i="14" s="1"/>
  <c r="E125" i="14"/>
  <c r="G125" i="14" s="1"/>
  <c r="H125" i="14" s="1"/>
  <c r="E126" i="14"/>
  <c r="G126" i="14" s="1"/>
  <c r="H126" i="14" s="1"/>
  <c r="E122" i="14"/>
  <c r="G122" i="14" s="1"/>
  <c r="H122" i="14" s="1"/>
  <c r="E123" i="14"/>
  <c r="G123" i="14" s="1"/>
  <c r="H123" i="14" s="1"/>
  <c r="E120" i="14"/>
  <c r="G120" i="14" s="1"/>
  <c r="H120" i="14" s="1"/>
  <c r="D65" i="45"/>
  <c r="H52" i="45"/>
  <c r="C59" i="38" l="1"/>
  <c r="D58" i="38"/>
  <c r="G5" i="45"/>
  <c r="H5" i="45" s="1"/>
  <c r="K5" i="45" s="1"/>
  <c r="L5" i="45" s="1"/>
  <c r="S35" i="45" s="1"/>
  <c r="U35" i="45" s="1"/>
  <c r="H53" i="45"/>
  <c r="H54" i="45" l="1"/>
  <c r="E65" i="45"/>
  <c r="G65" i="45" s="1"/>
  <c r="H65" i="45" s="1"/>
  <c r="D59" i="38"/>
  <c r="AA30" i="45"/>
  <c r="D65" i="27"/>
  <c r="E90" i="45" l="1"/>
  <c r="G90" i="45" s="1"/>
  <c r="H90" i="45" s="1"/>
  <c r="H55" i="45"/>
  <c r="E112" i="45" s="1"/>
  <c r="G112" i="45" s="1"/>
  <c r="H112" i="45" s="1"/>
  <c r="H52" i="27"/>
  <c r="H53" i="27" s="1"/>
  <c r="E65" i="27" s="1"/>
  <c r="G65" i="27" s="1"/>
  <c r="H65" i="27" s="1"/>
  <c r="H54" i="27" l="1"/>
  <c r="H52" i="15"/>
  <c r="D65" i="15"/>
  <c r="D97" i="15"/>
  <c r="H55" i="27" l="1"/>
  <c r="E88" i="27"/>
  <c r="G88" i="27" s="1"/>
  <c r="H88" i="27" s="1"/>
  <c r="H53" i="15"/>
  <c r="E5" i="15"/>
  <c r="G5" i="15" s="1"/>
  <c r="H5" i="15" s="1"/>
  <c r="K5" i="15" s="1"/>
  <c r="E65" i="15" l="1"/>
  <c r="H54" i="15"/>
  <c r="E97" i="15" s="1"/>
  <c r="L5" i="15"/>
  <c r="S35" i="15" s="1"/>
  <c r="U35" i="15" s="1"/>
  <c r="G65" i="15" l="1"/>
  <c r="H65" i="15" s="1"/>
  <c r="G97" i="15"/>
  <c r="H97" i="15" s="1"/>
  <c r="H55" i="15"/>
  <c r="AB30" i="15"/>
  <c r="AF30" i="15" s="1"/>
  <c r="AC25" i="15" s="1"/>
  <c r="H51" i="6"/>
  <c r="D78" i="6"/>
  <c r="H52" i="6"/>
  <c r="H53" i="6" s="1"/>
  <c r="D65" i="6"/>
  <c r="H54" i="6" l="1"/>
  <c r="E5" i="6"/>
  <c r="G5" i="6" s="1"/>
  <c r="H5" i="6" s="1"/>
  <c r="K5" i="6" s="1"/>
  <c r="L5" i="6" s="1"/>
  <c r="S35" i="6" s="1"/>
  <c r="E65" i="6"/>
  <c r="G65" i="6" s="1"/>
  <c r="H65" i="6" s="1"/>
  <c r="AB30" i="6" l="1"/>
  <c r="U35" i="6"/>
  <c r="E78" i="6"/>
  <c r="G78" i="6" s="1"/>
  <c r="H78" i="6" s="1"/>
  <c r="H55" i="6"/>
  <c r="AF30" i="6" l="1"/>
  <c r="AC25" i="6" s="1"/>
  <c r="AB31" i="6"/>
  <c r="AC25" i="10"/>
  <c r="AA29" i="16" l="1"/>
  <c r="AC30" i="16" s="1"/>
  <c r="AC25" i="16" s="1"/>
  <c r="AC29" i="16" l="1"/>
  <c r="AE28" i="7"/>
  <c r="AC29" i="7" s="1"/>
  <c r="AB29" i="7" l="1"/>
  <c r="AE29" i="7"/>
  <c r="AA29" i="7"/>
  <c r="T32" i="30"/>
  <c r="E1" i="30" s="1"/>
  <c r="U30" i="30"/>
  <c r="U32" i="30" s="1"/>
  <c r="AE30" i="30" s="1"/>
  <c r="AE30" i="7" l="1"/>
  <c r="AC25" i="7" s="1"/>
  <c r="G1" i="30"/>
  <c r="I1" i="30" s="1"/>
  <c r="C52" i="30" s="1"/>
  <c r="D52" i="30"/>
  <c r="E7" i="30" l="1"/>
  <c r="G7" i="30" s="1"/>
  <c r="H7" i="30" s="1"/>
  <c r="K7" i="30" s="1"/>
  <c r="L7" i="30" s="1"/>
  <c r="E8" i="30"/>
  <c r="G8" i="30" s="1"/>
  <c r="H8" i="30" s="1"/>
  <c r="K8" i="30" s="1"/>
  <c r="L8" i="30" s="1"/>
  <c r="E12" i="30"/>
  <c r="G12" i="30" s="1"/>
  <c r="H12" i="30" s="1"/>
  <c r="K12" i="30" s="1"/>
  <c r="L12" i="30" s="1"/>
  <c r="E13" i="30"/>
  <c r="G13" i="30" s="1"/>
  <c r="H13" i="30" s="1"/>
  <c r="K13" i="30" s="1"/>
  <c r="L13" i="30" s="1"/>
  <c r="E9" i="30"/>
  <c r="G9" i="30" s="1"/>
  <c r="H9" i="30" s="1"/>
  <c r="K9" i="30" s="1"/>
  <c r="L9" i="30" s="1"/>
  <c r="E10" i="30"/>
  <c r="G10" i="30" s="1"/>
  <c r="H10" i="30" s="1"/>
  <c r="K10" i="30" s="1"/>
  <c r="L10" i="30" s="1"/>
  <c r="E11" i="30"/>
  <c r="G11" i="30" s="1"/>
  <c r="H11" i="30" s="1"/>
  <c r="K11" i="30" s="1"/>
  <c r="L11" i="30" s="1"/>
  <c r="E6" i="30"/>
  <c r="G6" i="30" s="1"/>
  <c r="H6" i="30" s="1"/>
  <c r="K6" i="30" s="1"/>
  <c r="L6" i="30" s="1"/>
  <c r="C53" i="30"/>
  <c r="T35" i="30" l="1"/>
  <c r="E70" i="30"/>
  <c r="G70" i="30" s="1"/>
  <c r="H70" i="30" s="1"/>
  <c r="E66" i="30"/>
  <c r="G66" i="30" s="1"/>
  <c r="H66" i="30" s="1"/>
  <c r="E72" i="30"/>
  <c r="G72" i="30" s="1"/>
  <c r="H72" i="30" s="1"/>
  <c r="D53" i="30"/>
  <c r="E69" i="30"/>
  <c r="G69" i="30" s="1"/>
  <c r="H69" i="30" s="1"/>
  <c r="E68" i="30"/>
  <c r="G68" i="30" s="1"/>
  <c r="H68" i="30" s="1"/>
  <c r="E67" i="30"/>
  <c r="G67" i="30" s="1"/>
  <c r="H67" i="30" s="1"/>
  <c r="E71" i="30"/>
  <c r="G71" i="30" s="1"/>
  <c r="H71" i="30" s="1"/>
  <c r="E73" i="30"/>
  <c r="G73" i="30" s="1"/>
  <c r="H73" i="30" s="1"/>
  <c r="C54" i="30"/>
  <c r="AD30" i="30" l="1"/>
  <c r="U35" i="30"/>
  <c r="AC30" i="30"/>
  <c r="E87" i="30"/>
  <c r="G87" i="30" s="1"/>
  <c r="H87" i="30" s="1"/>
  <c r="E86" i="30"/>
  <c r="G86" i="30" s="1"/>
  <c r="H86" i="30" s="1"/>
  <c r="E82" i="30"/>
  <c r="G82" i="30" s="1"/>
  <c r="H82" i="30" s="1"/>
  <c r="E88" i="30"/>
  <c r="G88" i="30" s="1"/>
  <c r="H88" i="30" s="1"/>
  <c r="E84" i="30"/>
  <c r="G84" i="30" s="1"/>
  <c r="H84" i="30" s="1"/>
  <c r="E85" i="30"/>
  <c r="G85" i="30" s="1"/>
  <c r="H85" i="30" s="1"/>
  <c r="E81" i="30"/>
  <c r="G81" i="30" s="1"/>
  <c r="H81" i="30" s="1"/>
  <c r="D54" i="30"/>
  <c r="E83" i="30"/>
  <c r="G83" i="30" s="1"/>
  <c r="H83" i="30" s="1"/>
  <c r="G75" i="30"/>
  <c r="E75" i="30"/>
  <c r="C55" i="30"/>
  <c r="B62" i="30" s="1"/>
  <c r="B78" i="30" l="1"/>
  <c r="B63" i="30"/>
  <c r="B77" i="30"/>
  <c r="AD31" i="30"/>
  <c r="AF30" i="30"/>
  <c r="AC25" i="30" s="1"/>
  <c r="D55" i="30"/>
  <c r="C75" i="30"/>
  <c r="H75" i="30"/>
  <c r="G90" i="30"/>
  <c r="E90" i="30"/>
  <c r="C90" i="30" l="1"/>
  <c r="H90" i="30"/>
  <c r="AC29" i="10"/>
  <c r="AB29" i="27" l="1"/>
  <c r="AC29" i="27"/>
  <c r="AA29" i="27"/>
  <c r="AC30" i="27" l="1"/>
  <c r="AC25" i="27" s="1"/>
  <c r="AC29" i="43"/>
  <c r="AD29" i="43"/>
  <c r="AB29" i="43"/>
  <c r="AF29" i="43"/>
  <c r="AF30" i="43" l="1"/>
  <c r="AC25" i="43" s="1"/>
  <c r="AB29" i="45"/>
  <c r="AA29" i="45"/>
  <c r="AC30" i="45" s="1"/>
  <c r="AC25" i="45" s="1"/>
  <c r="AC29" i="45"/>
  <c r="AC29" i="50"/>
  <c r="AB29" i="50"/>
  <c r="AA29" i="50"/>
  <c r="AC30" i="50" s="1"/>
  <c r="AC25" i="50" s="1"/>
  <c r="S28" i="52"/>
  <c r="S32" i="52" s="1"/>
  <c r="D1" i="52" l="1"/>
  <c r="F1" i="52" s="1"/>
  <c r="H1" i="52" s="1"/>
  <c r="E7" i="52" l="1"/>
  <c r="G7" i="52" s="1"/>
  <c r="H7" i="52" s="1"/>
  <c r="K7" i="52" s="1"/>
  <c r="L7" i="52" s="1"/>
  <c r="E9" i="52"/>
  <c r="G9" i="52" s="1"/>
  <c r="H9" i="52" s="1"/>
  <c r="K9" i="52" s="1"/>
  <c r="L9" i="52" s="1"/>
  <c r="E8" i="52"/>
  <c r="G8" i="52" s="1"/>
  <c r="H8" i="52" s="1"/>
  <c r="K8" i="52" s="1"/>
  <c r="L8" i="52" s="1"/>
  <c r="E6" i="52"/>
  <c r="G6" i="52" s="1"/>
  <c r="H6" i="52" s="1"/>
  <c r="K6" i="52" s="1"/>
  <c r="L6" i="52" s="1"/>
  <c r="S35" i="52" l="1"/>
  <c r="AC29" i="65"/>
  <c r="AA29" i="65"/>
  <c r="AB29" i="65"/>
  <c r="AC25" i="52" l="1"/>
  <c r="U35" i="52"/>
  <c r="S32" i="65" l="1"/>
  <c r="J52" i="65" s="1"/>
  <c r="R20" i="65"/>
  <c r="U32" i="65" l="1"/>
  <c r="J53" i="65"/>
  <c r="T32" i="65"/>
  <c r="U28" i="64"/>
  <c r="I52" i="65"/>
  <c r="H52" i="65" s="1"/>
  <c r="E1" i="65" l="1"/>
  <c r="G1" i="65" s="1"/>
  <c r="D52" i="65"/>
  <c r="H53" i="65"/>
  <c r="E5" i="65"/>
  <c r="G5" i="65" s="1"/>
  <c r="H5" i="65" s="1"/>
  <c r="K5" i="65" s="1"/>
  <c r="L5" i="65" s="1"/>
  <c r="S35" i="65" s="1"/>
  <c r="U34" i="64"/>
  <c r="T22" i="64"/>
  <c r="U32" i="64"/>
  <c r="T28" i="64"/>
  <c r="T32" i="64" s="1"/>
  <c r="E1" i="64" s="1"/>
  <c r="I53" i="65"/>
  <c r="J54" i="65"/>
  <c r="I54" i="65" s="1"/>
  <c r="AA30" i="65" l="1"/>
  <c r="E14" i="65"/>
  <c r="G14" i="65" s="1"/>
  <c r="H14" i="65" s="1"/>
  <c r="K14" i="65" s="1"/>
  <c r="L14" i="65" s="1"/>
  <c r="E11" i="65"/>
  <c r="G11" i="65" s="1"/>
  <c r="H11" i="65" s="1"/>
  <c r="K11" i="65" s="1"/>
  <c r="L11" i="65" s="1"/>
  <c r="E18" i="65"/>
  <c r="G18" i="65" s="1"/>
  <c r="H18" i="65" s="1"/>
  <c r="K18" i="65" s="1"/>
  <c r="L18" i="65" s="1"/>
  <c r="E8" i="65"/>
  <c r="G8" i="65" s="1"/>
  <c r="H8" i="65" s="1"/>
  <c r="K8" i="65" s="1"/>
  <c r="L8" i="65" s="1"/>
  <c r="E16" i="65"/>
  <c r="G16" i="65" s="1"/>
  <c r="H16" i="65" s="1"/>
  <c r="K16" i="65" s="1"/>
  <c r="L16" i="65" s="1"/>
  <c r="E6" i="65"/>
  <c r="G6" i="65" s="1"/>
  <c r="H6" i="65" s="1"/>
  <c r="K6" i="65" s="1"/>
  <c r="L6" i="65" s="1"/>
  <c r="E12" i="65"/>
  <c r="G12" i="65" s="1"/>
  <c r="H12" i="65" s="1"/>
  <c r="K12" i="65" s="1"/>
  <c r="L12" i="65" s="1"/>
  <c r="E17" i="65"/>
  <c r="G17" i="65" s="1"/>
  <c r="H17" i="65" s="1"/>
  <c r="K17" i="65" s="1"/>
  <c r="L17" i="65" s="1"/>
  <c r="E9" i="65"/>
  <c r="G9" i="65" s="1"/>
  <c r="H9" i="65" s="1"/>
  <c r="K9" i="65" s="1"/>
  <c r="L9" i="65" s="1"/>
  <c r="E7" i="65"/>
  <c r="G7" i="65" s="1"/>
  <c r="H7" i="65" s="1"/>
  <c r="K7" i="65" s="1"/>
  <c r="L7" i="65" s="1"/>
  <c r="E15" i="65"/>
  <c r="G15" i="65" s="1"/>
  <c r="H15" i="65" s="1"/>
  <c r="K15" i="65" s="1"/>
  <c r="L15" i="65" s="1"/>
  <c r="E19" i="65"/>
  <c r="G19" i="65" s="1"/>
  <c r="H19" i="65" s="1"/>
  <c r="K19" i="65" s="1"/>
  <c r="L19" i="65" s="1"/>
  <c r="I1" i="65"/>
  <c r="C52" i="65" s="1"/>
  <c r="E10" i="65"/>
  <c r="G10" i="65" s="1"/>
  <c r="H10" i="65" s="1"/>
  <c r="K10" i="65" s="1"/>
  <c r="L10" i="65" s="1"/>
  <c r="E13" i="65"/>
  <c r="G13" i="65" s="1"/>
  <c r="H13" i="65" s="1"/>
  <c r="K13" i="65" s="1"/>
  <c r="L13" i="65" s="1"/>
  <c r="G1" i="64"/>
  <c r="D52" i="64"/>
  <c r="H54" i="65"/>
  <c r="H55" i="65" s="1"/>
  <c r="J55" i="65"/>
  <c r="I55" i="65" s="1"/>
  <c r="E9" i="64" l="1"/>
  <c r="G9" i="64" s="1"/>
  <c r="H9" i="64" s="1"/>
  <c r="K9" i="64" s="1"/>
  <c r="L9" i="64" s="1"/>
  <c r="E5" i="64"/>
  <c r="G5" i="64" s="1"/>
  <c r="H5" i="64" s="1"/>
  <c r="K5" i="64" s="1"/>
  <c r="L5" i="64" s="1"/>
  <c r="E11" i="64"/>
  <c r="G11" i="64" s="1"/>
  <c r="H11" i="64" s="1"/>
  <c r="K11" i="64" s="1"/>
  <c r="L11" i="64" s="1"/>
  <c r="I1" i="64"/>
  <c r="C52" i="64" s="1"/>
  <c r="E7" i="64"/>
  <c r="G7" i="64" s="1"/>
  <c r="H7" i="64" s="1"/>
  <c r="K7" i="64" s="1"/>
  <c r="L7" i="64" s="1"/>
  <c r="E8" i="64"/>
  <c r="G8" i="64" s="1"/>
  <c r="H8" i="64" s="1"/>
  <c r="K8" i="64" s="1"/>
  <c r="L8" i="64" s="1"/>
  <c r="E13" i="64"/>
  <c r="G13" i="64" s="1"/>
  <c r="H13" i="64" s="1"/>
  <c r="K13" i="64" s="1"/>
  <c r="L13" i="64" s="1"/>
  <c r="E6" i="64"/>
  <c r="G6" i="64" s="1"/>
  <c r="H6" i="64" s="1"/>
  <c r="K6" i="64" s="1"/>
  <c r="L6" i="64" s="1"/>
  <c r="E12" i="64"/>
  <c r="G12" i="64" s="1"/>
  <c r="H12" i="64" s="1"/>
  <c r="K12" i="64" s="1"/>
  <c r="L12" i="64" s="1"/>
  <c r="E10" i="64"/>
  <c r="G10" i="64" s="1"/>
  <c r="H10" i="64" s="1"/>
  <c r="K10" i="64" s="1"/>
  <c r="L10" i="64" s="1"/>
  <c r="J56" i="65"/>
  <c r="H56" i="65"/>
  <c r="H57" i="65" s="1"/>
  <c r="T35" i="65"/>
  <c r="C53" i="65"/>
  <c r="D53" i="65" s="1"/>
  <c r="I56" i="65" l="1"/>
  <c r="J57" i="65"/>
  <c r="I57" i="65" s="1"/>
  <c r="C54" i="65"/>
  <c r="C53" i="64"/>
  <c r="D53" i="64" s="1"/>
  <c r="T35" i="64"/>
  <c r="AB30" i="65"/>
  <c r="AC30" i="65" s="1"/>
  <c r="AC25" i="65" s="1"/>
  <c r="U35" i="65"/>
  <c r="D54" i="65" l="1"/>
  <c r="C55" i="65"/>
  <c r="C54" i="64"/>
  <c r="D54" i="64" s="1"/>
  <c r="U35" i="64"/>
  <c r="AC25" i="64"/>
  <c r="D55" i="65" l="1"/>
  <c r="C56" i="65"/>
  <c r="D56" i="65" s="1"/>
  <c r="C55" i="64"/>
  <c r="D55" i="64" s="1"/>
  <c r="C56" i="64" l="1"/>
  <c r="D56" i="64" l="1"/>
  <c r="C57" i="64"/>
  <c r="D57" i="64" l="1"/>
  <c r="C58" i="64"/>
  <c r="D58" i="64" l="1"/>
  <c r="C59" i="64"/>
  <c r="D59" i="64" s="1"/>
  <c r="AE30" i="28" s="1"/>
  <c r="AF30" i="28" s="1"/>
  <c r="AC25" i="28" s="1"/>
  <c r="U35" i="2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tc={1DC842B1-13E5-4C73-8113-AF5C0DA1D93B}</author>
    <author>tc={44D9B5F2-A946-4132-B746-CFB757F18171}</author>
    <author>tc={3011D849-562F-4B14-BFB9-F1AD0C7CEDA5}</author>
  </authors>
  <commentList>
    <comment ref="K1" authorId="0" shapeId="0" xr:uid="{00000000-0006-0000-0200-000001000000}">
      <text>
        <r>
          <rPr>
            <sz val="11"/>
            <color theme="1"/>
            <rFont val="Arial"/>
            <family val="2"/>
          </rPr>
          <t>[Threaded comment]
Your version of Excel allows you to read this threaded comment; however, any edits to it will get removed if the file is opened in a newer version of Excel. Learn more: https://go.microsoft.com/fwlink/?linkid=870924
Comment:
    Bilal will check conv. Factor this week when he weighs it ( 2/1/2026)</t>
        </r>
      </text>
    </comment>
    <comment ref="AC25" authorId="1" shapeId="0" xr:uid="{1DC842B1-13E5-4C73-8113-AF5C0DA1D93B}">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0" shapeId="0" xr:uid="{00000000-0006-0000-0200-000002000000}">
      <text>
        <r>
          <rPr>
            <sz val="11"/>
            <color theme="1"/>
            <rFont val="Arial"/>
            <family val="2"/>
          </rPr>
          <t>HP:
thr Protine is total / 1.3</t>
        </r>
      </text>
    </comment>
    <comment ref="AF28" authorId="2" shapeId="0" xr:uid="{44D9B5F2-A946-4132-B746-CFB757F18171}">
      <text>
        <t>[Threaded comment]
Your version of Excel allows you to read this threaded comment; however, any edits to it will get removed if the file is opened in a newer version of Excel. Learn more: https://go.microsoft.com/fwlink/?linkid=870924
Comment:
    If the Equation is correct, you will have the total of Protein + Mix + Topping = to the total in the Blue Table</t>
      </text>
    </comment>
    <comment ref="T29" authorId="0" shapeId="0" xr:uid="{00000000-0006-0000-0200-000003000000}">
      <text>
        <r>
          <rPr>
            <sz val="11"/>
            <color theme="1"/>
            <rFont val="Arial"/>
            <family val="2"/>
          </rPr>
          <t xml:space="preserve">0.15 of total quantity, 25gm for the 150gm plate
</t>
        </r>
      </text>
    </comment>
    <comment ref="AA30" authorId="3" shapeId="0" xr:uid="{3011D849-562F-4B14-BFB9-F1AD0C7CEDA5}">
      <text>
        <t>[Threaded comment]
Your version of Excel allows you to read this threaded comment; however, any edits to it will get removed if the file is opened in a newer version of Excel. Learn more: https://go.microsoft.com/fwlink/?linkid=870924
Comment:
    Keep the Rates linked to the Blue Table so it get updated as prices in the ordering sheet changes, if you changed the quantity in the blue table or the costing table, the rate must stay the same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0300-000001000000}">
      <text>
        <r>
          <rPr>
            <sz val="11"/>
            <color theme="1"/>
            <rFont val="Arial"/>
            <family val="2"/>
          </rPr>
          <t>HP:
thr Protine is total / 1.3</t>
        </r>
      </text>
    </comment>
    <comment ref="T29" authorId="0" shapeId="0" xr:uid="{00000000-0006-0000-0300-000002000000}">
      <text>
        <r>
          <rPr>
            <sz val="11"/>
            <color theme="1"/>
            <rFont val="Arial"/>
            <family val="2"/>
          </rPr>
          <t>HP:1/3 of total quantity, 50gm for the 150gm plate
+ 
buffer as some Sauce will Stick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Unknown Author</author>
    <author>tc={081DAECB-E080-489B-8A34-165D790BF053}</author>
  </authors>
  <commentList>
    <comment ref="R17" authorId="0" shapeId="0" xr:uid="{00000000-0006-0000-0500-000001000000}">
      <text>
        <r>
          <rPr>
            <sz val="11"/>
            <color theme="1"/>
            <rFont val="Arial"/>
            <family val="2"/>
          </rPr>
          <t>[Threaded comment]
Your version of Excel allows you to read this threaded comment; however, any edits to it will get removed if the file is opened in a newer version of Excel. Learn more: https://go.microsoft.com/fwlink/?linkid=870924
Comment:
    Mohammed says he uses 1/3</t>
        </r>
      </text>
    </comment>
    <comment ref="AA30" authorId="1" shapeId="0" xr:uid="{081DAECB-E080-489B-8A34-165D790BF053}">
      <text>
        <t>[Threaded comment]
Your version of Excel allows you to read this threaded comment; however, any edits to it will get removed if the file is opened in a newer version of Excel. Learn more: https://go.microsoft.com/fwlink/?linkid=870924
Comment:
    Keep the Rates linked to the Blue Table so it get updated as prices in the ordering sheet changes, if you changed the quantity in the blue table or the costing table, the rate must stay the same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0400-000001000000}">
      <text>
        <r>
          <rPr>
            <sz val="11"/>
            <color theme="1"/>
            <rFont val="Arial"/>
            <family val="2"/>
          </rPr>
          <t>HP:
thr Protine is total / 1.3</t>
        </r>
      </text>
    </comment>
    <comment ref="T28" authorId="0" shapeId="0" xr:uid="{00000000-0006-0000-0400-000002000000}">
      <text>
        <r>
          <rPr>
            <sz val="11"/>
            <color theme="1"/>
            <rFont val="Arial"/>
            <family val="2"/>
          </rPr>
          <t>HP:
we want to allow the chicken to be self saturated after it absorb the Saucr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K1" authorId="0" shapeId="0" xr:uid="{00000000-0006-0000-0700-000001000000}">
      <text>
        <r>
          <rPr>
            <sz val="11"/>
            <color theme="1"/>
            <rFont val="Arial"/>
            <family val="2"/>
          </rPr>
          <t xml:space="preserve">[Threaded comment]
Your version of Excel allows you to read this threaded comment; however, any edits to it will get removed if the file is opened in a newer version of Excel. Learn more: https://go.microsoft.com/fwlink/?linkid=870924
Comment:
    Bilal will check conv. Factor this week when he weighs it ( 2/1/2026)
</t>
        </r>
      </text>
    </comment>
    <comment ref="R23" authorId="0" shapeId="0" xr:uid="{00000000-0006-0000-0700-000002000000}">
      <text>
        <r>
          <rPr>
            <sz val="11"/>
            <color theme="1"/>
            <rFont val="Arial"/>
            <family val="2"/>
          </rPr>
          <t>[Threaded comment]
Your version of Excel allows you to read this threaded comment; however, any edits to it will get removed if the file is opened in a newer version of Excel. Learn more: https://go.microsoft.com/fwlink/?linkid=870924
Comment:
    Mohammed says he uses 1/3</t>
        </r>
      </text>
    </comment>
    <comment ref="S28" authorId="0" shapeId="0" xr:uid="{00000000-0006-0000-0700-000003000000}">
      <text>
        <r>
          <rPr>
            <sz val="11"/>
            <color theme="1"/>
            <rFont val="Arial"/>
            <family val="2"/>
          </rPr>
          <t>HP:
thr Protine is total / 1.3</t>
        </r>
      </text>
    </comment>
    <comment ref="T29" authorId="0" shapeId="0" xr:uid="{00000000-0006-0000-0700-000004000000}">
      <text>
        <r>
          <rPr>
            <sz val="11"/>
            <color theme="1"/>
            <rFont val="Arial"/>
            <family val="2"/>
          </rPr>
          <t>we will treat it as Rich Meal (30% Topping + 10% Buffer)
buffer as some Sauce will Stick</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0800-000001000000}">
      <text>
        <r>
          <rPr>
            <sz val="11"/>
            <color theme="1"/>
            <rFont val="Arial"/>
            <family val="2"/>
          </rPr>
          <t>HP:
This is a pure Protine Play</t>
        </r>
      </text>
    </comment>
    <comment ref="T29" authorId="0" shapeId="0" xr:uid="{00000000-0006-0000-0800-000002000000}">
      <text>
        <r>
          <rPr>
            <sz val="11"/>
            <color theme="1"/>
            <rFont val="Arial"/>
            <family val="2"/>
          </rPr>
          <t>HP:1/3 of total quantity, 50gm for the 150gm plate
+ 
buffer as some Sauce will Stick</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T29" authorId="0" shapeId="0" xr:uid="{00000000-0006-0000-0A00-000001000000}">
      <text>
        <r>
          <rPr>
            <sz val="11"/>
            <color theme="1"/>
            <rFont val="Arial"/>
            <family val="2"/>
          </rPr>
          <t>HP:1/3 of total quantity, 50gm for the 150gm plate
+ 
buffer as some Sauce will Stick</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0900-000001000000}">
      <text>
        <r>
          <rPr>
            <sz val="11"/>
            <color theme="1"/>
            <rFont val="Arial"/>
            <family val="2"/>
          </rPr>
          <t xml:space="preserve">HP:
total in the update is Protine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0E00-000001000000}">
      <text>
        <r>
          <rPr>
            <sz val="11"/>
            <color theme="1"/>
            <rFont val="Arial"/>
            <family val="2"/>
          </rPr>
          <t>HP:
thr Protine is total / 1.3</t>
        </r>
      </text>
    </comment>
    <comment ref="T29" authorId="0" shapeId="0" xr:uid="{00000000-0006-0000-0E00-000002000000}">
      <text>
        <r>
          <rPr>
            <sz val="11"/>
            <color theme="1"/>
            <rFont val="Arial"/>
            <family val="2"/>
          </rPr>
          <t>HP:1/3 of total quantity, 50gm for the 150gm plate
+ 
buffer as some Sauce will Stick</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BB62E42E-93FE-4609-8091-18A67A9DF972}">
      <text>
        <r>
          <rPr>
            <sz val="11"/>
            <color theme="1"/>
            <rFont val="Arial"/>
            <family val="2"/>
          </rPr>
          <t>HP:
thr Protine is total / 1.3</t>
        </r>
      </text>
    </comment>
    <comment ref="S30" authorId="0" shapeId="0" xr:uid="{5A4ACB2E-1972-4D28-9F49-3B46FA8EB138}">
      <text>
        <r>
          <rPr>
            <sz val="11"/>
            <color theme="1"/>
            <rFont val="Arial"/>
            <family val="2"/>
          </rPr>
          <t>HP:
thr Protine is total / 1.3</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C2EC025F-199C-47E9-81AB-BAE83119F327}">
      <text>
        <r>
          <rPr>
            <sz val="11"/>
            <color theme="1"/>
            <rFont val="Arial"/>
            <family val="2"/>
          </rPr>
          <t xml:space="preserve">HP:
total in the update is Protine </t>
        </r>
      </text>
    </comment>
    <comment ref="T28" authorId="0" shapeId="0" xr:uid="{E22EB556-9B01-4677-9EF9-9B9A16B29222}">
      <text>
        <r>
          <rPr>
            <sz val="11"/>
            <color theme="1"/>
            <rFont val="Arial"/>
            <family val="2"/>
          </rPr>
          <t>for every 1 KG protine we will create 100 gm Sauce (10%)</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tc={04D417F9-FD80-4CA6-9AC1-BA13ED0B4C6D}</author>
    <author>Unknown Author</author>
  </authors>
  <commentList>
    <comment ref="AC25" authorId="0" shapeId="0" xr:uid="{04D417F9-FD80-4CA6-9AC1-BA13ED0B4C6D}">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00000000-0006-0000-1000-000001000000}">
      <text>
        <r>
          <rPr>
            <sz val="11"/>
            <color theme="1"/>
            <rFont val="Arial"/>
            <family val="2"/>
          </rPr>
          <t>HP:
thr Protine is total / 1.3</t>
        </r>
      </text>
    </comment>
    <comment ref="T29" authorId="1" shapeId="0" xr:uid="{00000000-0006-0000-1000-000002000000}">
      <text>
        <r>
          <rPr>
            <sz val="11"/>
            <color theme="1"/>
            <rFont val="Arial"/>
            <family val="2"/>
          </rPr>
          <t>HP:1/3 of total quantity, 50gm for the 150gm plate
+ 
buffer as some Sauce will Stick</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1100-000001000000}">
      <text>
        <r>
          <rPr>
            <sz val="11"/>
            <color theme="1"/>
            <rFont val="Arial"/>
            <family val="2"/>
          </rPr>
          <t>HP:
thr Protine is total / 1.3</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1400-000001000000}">
      <text>
        <r>
          <rPr>
            <sz val="11"/>
            <color theme="1"/>
            <rFont val="Arial"/>
            <family val="2"/>
          </rPr>
          <t>HP:
thr Protine is total / 1.3</t>
        </r>
      </text>
    </comment>
    <comment ref="T29" authorId="0" shapeId="0" xr:uid="{00000000-0006-0000-1400-000002000000}">
      <text>
        <r>
          <rPr>
            <sz val="11"/>
            <color theme="1"/>
            <rFont val="Arial"/>
            <family val="2"/>
          </rPr>
          <t>HP:1/3 of total quantity, 50gm for the 150gm plate
+ 
buffer as some Sauce will Stick</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T29" authorId="0" shapeId="0" xr:uid="{00000000-0006-0000-1500-000001000000}">
      <text>
        <r>
          <rPr>
            <sz val="11"/>
            <color theme="1"/>
            <rFont val="Arial"/>
            <family val="2"/>
          </rPr>
          <t>HP:1/3 of total quantity, 50gm for the 150gm plate
+ 
buffer as some Sauce will Stick</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1600-000001000000}">
      <text>
        <r>
          <rPr>
            <sz val="11"/>
            <color theme="1"/>
            <rFont val="Arial"/>
            <family val="2"/>
          </rPr>
          <t xml:space="preserve">HP:
total in the update is Protine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tc={D1EFD38B-F35F-4F53-829B-6B853CA5068A}</author>
    <author>tc={DFDC8677-3B46-4597-A78A-89DFD78B19A4}</author>
    <author>tc={AFA68A81-CD12-4647-8026-78AC98878D42}</author>
  </authors>
  <commentList>
    <comment ref="I1" authorId="0" shapeId="0" xr:uid="{D1EFD38B-F35F-4F53-829B-6B853CA5068A}">
      <text>
        <t xml:space="preserve">[Threaded comment]
Your version of Excel allows you to read this threaded comment; however, any edits to it will get removed if the file is opened in a newer version of Excel. Learn more: https://go.microsoft.com/fwlink/?linkid=870924
Comment:
    There is no weight correction. For coating as it doesn’t lose weight
</t>
      </text>
    </comment>
    <comment ref="K1" authorId="1" shapeId="0" xr:uid="{DFDC8677-3B46-4597-A78A-89DFD78B19A4}">
      <text>
        <t>[Threaded comment]
Your version of Excel allows you to read this threaded comment; however, any edits to it will get removed if the file is opened in a newer version of Excel. Learn more: https://go.microsoft.com/fwlink/?linkid=870924
Comment:
    The coating will never lose weight during cooking; however there will be loses as it will not stick to the chicken , get burned, and 75% is high efficiency coating</t>
      </text>
    </comment>
    <comment ref="AC25" authorId="2" shapeId="0" xr:uid="{AFA68A81-CD12-4647-8026-78AC98878D42}">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tc={ADAC1321-0D8E-452C-AD0E-7D9D38F2ED51}</author>
    <author>Unknown Author</author>
  </authors>
  <commentList>
    <comment ref="AC25" authorId="0" shapeId="0" xr:uid="{ADAC1321-0D8E-452C-AD0E-7D9D38F2ED51}">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00000000-0006-0000-1900-000001000000}">
      <text>
        <r>
          <rPr>
            <sz val="11"/>
            <color theme="1"/>
            <rFont val="Arial"/>
            <family val="2"/>
          </rPr>
          <t>HP:
thr Protine is total / 1.3</t>
        </r>
      </text>
    </comment>
    <comment ref="T29" authorId="1" shapeId="0" xr:uid="{00000000-0006-0000-1900-000002000000}">
      <text>
        <r>
          <rPr>
            <sz val="11"/>
            <color theme="1"/>
            <rFont val="Arial"/>
            <family val="2"/>
          </rPr>
          <t>HP:1/3 of total quantity, 50gm for the 150gm plate
+ 
buffer as some Sauce will Stick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3D84EAD8-7983-4FD4-9054-0C9850C20D11}">
      <text>
        <r>
          <rPr>
            <sz val="11"/>
            <color theme="1"/>
            <rFont val="Arial"/>
            <family val="2"/>
          </rPr>
          <t>HP:
thr Protine is total / 1.3</t>
        </r>
      </text>
    </comment>
    <comment ref="T29" authorId="0" shapeId="0" xr:uid="{00000000-0006-0000-1A00-000002000000}">
      <text>
        <r>
          <rPr>
            <sz val="11"/>
            <color theme="1"/>
            <rFont val="Arial"/>
            <family val="2"/>
          </rPr>
          <t>HP:1/3 of total quantity, 50gm for the 150gm plate
+ 
buffer as some Sauce will Stick</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1B00-000001000000}">
      <text>
        <r>
          <rPr>
            <sz val="11"/>
            <color theme="1"/>
            <rFont val="Arial"/>
            <family val="2"/>
          </rPr>
          <t>HP:
thr Protine is total / 1.3</t>
        </r>
      </text>
    </comment>
    <comment ref="T29" authorId="0" shapeId="0" xr:uid="{00000000-0006-0000-1B00-000002000000}">
      <text>
        <r>
          <rPr>
            <sz val="11"/>
            <color theme="1"/>
            <rFont val="Arial"/>
            <family val="2"/>
          </rPr>
          <t>HP:1/3 of total quantity, 50gm for the 150gm plate
+ 
buffer as some Sauce will Stick</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tc={003E98E4-44CF-43F4-8018-2B4370DD5EF7}</author>
    <author>Unknown Author</author>
  </authors>
  <commentList>
    <comment ref="AC25" authorId="0" shapeId="0" xr:uid="{003E98E4-44CF-43F4-8018-2B4370DD5EF7}">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00000000-0006-0000-1C00-000001000000}">
      <text>
        <r>
          <rPr>
            <sz val="11"/>
            <color theme="1"/>
            <rFont val="Arial"/>
            <family val="2"/>
          </rPr>
          <t xml:space="preserve">HP:
total in the update is Protine </t>
        </r>
      </text>
    </comment>
    <comment ref="T28" authorId="1" shapeId="0" xr:uid="{00000000-0006-0000-1C00-000002000000}">
      <text>
        <r>
          <rPr>
            <sz val="11"/>
            <color theme="1"/>
            <rFont val="Arial"/>
            <family val="2"/>
          </rPr>
          <t xml:space="preserve">HP:There is no Mixing Sauce
</t>
        </r>
      </text>
    </comment>
    <comment ref="T29" authorId="1" shapeId="0" xr:uid="{00000000-0006-0000-1C00-000003000000}">
      <text>
        <r>
          <rPr>
            <sz val="11"/>
            <color theme="1"/>
            <rFont val="Arial"/>
            <family val="2"/>
          </rPr>
          <t xml:space="preserve">HP:
Sauce is 50% of pure protein and we buffer 10%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R19" authorId="0" shapeId="0" xr:uid="{00000000-0006-0000-1D00-000001000000}">
      <text>
        <r>
          <rPr>
            <sz val="11"/>
            <color theme="1"/>
            <rFont val="Arial"/>
            <family val="2"/>
          </rPr>
          <t>[Threaded comment]
Your version of Excel allows you to read this threaded comment; however, any edits to it will get removed if the file is opened in a newer version of Excel. Learn more: https://go.microsoft.com/fwlink/?linkid=870924
Comment:
    Mohammed says he uses 1/3</t>
        </r>
      </text>
    </comment>
    <comment ref="S28" authorId="0" shapeId="0" xr:uid="{00000000-0006-0000-1D00-000002000000}">
      <text>
        <r>
          <rPr>
            <sz val="11"/>
            <color theme="1"/>
            <rFont val="Arial"/>
            <family val="2"/>
          </rPr>
          <t xml:space="preserve">HP:
total in the update is Protine </t>
        </r>
      </text>
    </comment>
    <comment ref="T28" authorId="0" shapeId="0" xr:uid="{00000000-0006-0000-1D00-000003000000}">
      <text>
        <r>
          <rPr>
            <sz val="11"/>
            <color theme="1"/>
            <rFont val="Arial"/>
            <family val="2"/>
          </rPr>
          <t xml:space="preserve">HP:There is no Mixing Sauce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1E00-000001000000}">
      <text>
        <r>
          <rPr>
            <sz val="11"/>
            <color theme="1"/>
            <rFont val="Arial"/>
            <family val="2"/>
          </rPr>
          <t>HP:
thr Protine is total / 1.3</t>
        </r>
      </text>
    </comment>
    <comment ref="T29" authorId="0" shapeId="0" xr:uid="{00000000-0006-0000-1E00-000002000000}">
      <text>
        <r>
          <rPr>
            <sz val="11"/>
            <color theme="1"/>
            <rFont val="Arial"/>
            <family val="2"/>
          </rPr>
          <t>HP:1/3 of total quantity, 50gm for the 150gm plate
+ 
buffer as some Sauce will Stick</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1F00-000001000000}">
      <text>
        <r>
          <rPr>
            <sz val="11"/>
            <color theme="1"/>
            <rFont val="Arial"/>
            <family val="2"/>
          </rPr>
          <t>HP:
thr Protine is total / 1.3</t>
        </r>
      </text>
    </comment>
    <comment ref="T29" authorId="0" shapeId="0" xr:uid="{00000000-0006-0000-1F00-000003000000}">
      <text>
        <r>
          <rPr>
            <sz val="11"/>
            <color theme="1"/>
            <rFont val="Arial"/>
            <family val="2"/>
          </rPr>
          <t>HP:1/3 of total quantity, 50gm for the 150gm plate
+ 
buffer as some Sauce will Stick</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2000-000001000000}">
      <text>
        <r>
          <rPr>
            <sz val="11"/>
            <color theme="1"/>
            <rFont val="Arial"/>
            <family val="2"/>
          </rPr>
          <t>HP:
thr Protine is total / 1.3</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2100-000001000000}">
      <text>
        <r>
          <rPr>
            <sz val="11"/>
            <color theme="1"/>
            <rFont val="Arial"/>
            <family val="2"/>
          </rPr>
          <t xml:space="preserve">HP:
total in the update is Protine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2200-000001000000}">
      <text>
        <r>
          <rPr>
            <sz val="11"/>
            <color theme="1"/>
            <rFont val="Arial"/>
            <family val="2"/>
          </rPr>
          <t xml:space="preserve">HP:
total in the update is Protine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T29" authorId="0" shapeId="0" xr:uid="{00000000-0006-0000-2300-000001000000}">
      <text>
        <r>
          <rPr>
            <sz val="11"/>
            <color theme="1"/>
            <rFont val="Arial"/>
            <family val="2"/>
          </rPr>
          <t>HP:1/3 of total quantity, 50gm for the 150gm plate
+ 
buffer as some Sauce will Stick</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2400-000001000000}">
      <text>
        <r>
          <rPr>
            <sz val="11"/>
            <color theme="1"/>
            <rFont val="Arial"/>
            <family val="2"/>
          </rPr>
          <t>HP:
thr Protine is total / 1.3</t>
        </r>
      </text>
    </comment>
    <comment ref="T29" authorId="0" shapeId="0" xr:uid="{00000000-0006-0000-2400-000002000000}">
      <text>
        <r>
          <rPr>
            <sz val="11"/>
            <color theme="1"/>
            <rFont val="Arial"/>
            <family val="2"/>
          </rPr>
          <t>HP:1/3 of total quantity, 50gm for the 150gm plate
+ 
buffer as some Sauce will Stick</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19" authorId="0" shapeId="0" xr:uid="{00000000-0006-0000-2800-000001000000}">
      <text>
        <r>
          <rPr>
            <sz val="11"/>
            <color theme="1"/>
            <rFont val="Arial"/>
            <family val="2"/>
          </rPr>
          <t>[Threaded comment]
Your version of Excel allows you to read this threaded comment; however, any edits to it will get removed if the file is opened in a newer version of Excel. Learn more: https://go.microsoft.com/fwlink/?linkid=870924
Comment:
    Mohammed says he uses 1/3</t>
        </r>
      </text>
    </comment>
    <comment ref="S28" authorId="0" shapeId="0" xr:uid="{00000000-0006-0000-2800-000002000000}">
      <text>
        <r>
          <rPr>
            <sz val="11"/>
            <color theme="1"/>
            <rFont val="Arial"/>
            <family val="2"/>
          </rPr>
          <t xml:space="preserve">HP:
total in the update is Protine </t>
        </r>
      </text>
    </comment>
    <comment ref="T28" authorId="0" shapeId="0" xr:uid="{00000000-0006-0000-2800-000003000000}">
      <text>
        <r>
          <rPr>
            <sz val="11"/>
            <color theme="1"/>
            <rFont val="Arial"/>
            <family val="2"/>
          </rPr>
          <t xml:space="preserve">HP:There is no Mixing Sauce
</t>
        </r>
      </text>
    </comment>
    <comment ref="T29" authorId="0" shapeId="0" xr:uid="{00000000-0006-0000-2800-000004000000}">
      <text>
        <r>
          <rPr>
            <sz val="11"/>
            <color theme="1"/>
            <rFont val="Arial"/>
            <family val="2"/>
          </rPr>
          <t xml:space="preserve">HP:
Sauce is 50% of pure protein and we buffer 10%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19" authorId="0" shapeId="0" xr:uid="{00000000-0006-0000-2900-000001000000}">
      <text>
        <r>
          <rPr>
            <sz val="11"/>
            <color theme="1"/>
            <rFont val="Arial"/>
            <family val="2"/>
          </rPr>
          <t>[Threaded comment]
Your version of Excel allows you to read this threaded comment; however, any edits to it will get removed if the file is opened in a newer version of Excel. Learn more: https://go.microsoft.com/fwlink/?linkid=870924
Comment:
    Mohammed says he uses 1/3</t>
        </r>
      </text>
    </comment>
    <comment ref="S28" authorId="0" shapeId="0" xr:uid="{00000000-0006-0000-2900-000002000000}">
      <text>
        <r>
          <rPr>
            <sz val="11"/>
            <color theme="1"/>
            <rFont val="Arial"/>
            <family val="2"/>
          </rPr>
          <t xml:space="preserve">HP:There is no Mixing Sauce
</t>
        </r>
      </text>
    </comment>
    <comment ref="S29" authorId="0" shapeId="0" xr:uid="{00000000-0006-0000-2900-000003000000}">
      <text>
        <r>
          <rPr>
            <sz val="11"/>
            <color theme="1"/>
            <rFont val="Arial"/>
            <family val="2"/>
          </rPr>
          <t xml:space="preserve">HP:
Sauce is 50% of pure protein and we buffer 10%
</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Unknown Author</author>
    <author>tc={2ECC9FD7-3B29-4CC2-9BE8-C4E5CF01D92F}</author>
  </authors>
  <commentList>
    <comment ref="R23" authorId="0" shapeId="0" xr:uid="{00000000-0006-0000-2A00-000001000000}">
      <text>
        <r>
          <rPr>
            <sz val="11"/>
            <color theme="1"/>
            <rFont val="Arial"/>
            <family val="2"/>
          </rPr>
          <t>[Threaded comment]
Your version of Excel allows you to read this threaded comment; however, any edits to it will get removed if the file is opened in a newer version of Excel. Learn more: https://go.microsoft.com/fwlink/?linkid=870924
Comment:
    Mohammed says he uses 1/3</t>
        </r>
      </text>
    </comment>
    <comment ref="AC25" authorId="1" shapeId="0" xr:uid="{2ECC9FD7-3B29-4CC2-9BE8-C4E5CF01D92F}">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0" shapeId="0" xr:uid="{00000000-0006-0000-2A00-000002000000}">
      <text>
        <r>
          <rPr>
            <sz val="11"/>
            <color theme="1"/>
            <rFont val="Arial"/>
            <family val="2"/>
          </rPr>
          <t xml:space="preserve">HP:
total in the update is Protine </t>
        </r>
      </text>
    </comment>
    <comment ref="T28" authorId="0" shapeId="0" xr:uid="{00000000-0006-0000-2A00-000003000000}">
      <text>
        <r>
          <rPr>
            <sz val="11"/>
            <color theme="1"/>
            <rFont val="Arial"/>
            <family val="2"/>
          </rPr>
          <t>HP:
No Mixing Sauce</t>
        </r>
      </text>
    </comment>
    <comment ref="T29" authorId="0" shapeId="0" xr:uid="{00000000-0006-0000-2A00-000004000000}">
      <text>
        <r>
          <rPr>
            <sz val="11"/>
            <color theme="1"/>
            <rFont val="Arial"/>
            <family val="2"/>
          </rPr>
          <t xml:space="preserve">HP:
Sauce is 50% of pure protein and we buffer 10%
</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2B00-000001000000}">
      <text>
        <r>
          <rPr>
            <sz val="11"/>
            <color theme="1"/>
            <rFont val="Arial"/>
            <family val="2"/>
          </rPr>
          <t>HP:
thr Protine is total / 1.3</t>
        </r>
      </text>
    </comment>
    <comment ref="T29" authorId="0" shapeId="0" xr:uid="{00000000-0006-0000-2B00-000002000000}">
      <text>
        <r>
          <rPr>
            <sz val="11"/>
            <color theme="1"/>
            <rFont val="Arial"/>
            <family val="2"/>
          </rPr>
          <t>HP:1/3 of total quantity, 50gm for the 150gm plate
+ 
buffer as some Sauce will Stick</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2C00-000001000000}">
      <text>
        <r>
          <rPr>
            <sz val="11"/>
            <color theme="1"/>
            <rFont val="Arial"/>
            <family val="2"/>
          </rPr>
          <t>HP:
thr Protine is total / 1.3</t>
        </r>
      </text>
    </comment>
    <comment ref="T29" authorId="0" shapeId="0" xr:uid="{00000000-0006-0000-2C00-000002000000}">
      <text>
        <r>
          <rPr>
            <sz val="11"/>
            <color theme="1"/>
            <rFont val="Arial"/>
            <family val="2"/>
          </rPr>
          <t>HP:1/3 of total quantity, 50gm for the 150gm plate
+ 
buffer as some Sauce will Stick</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2D00-000001000000}">
      <text>
        <r>
          <rPr>
            <sz val="11"/>
            <color theme="1"/>
            <rFont val="Arial"/>
            <family val="2"/>
          </rPr>
          <t>HP:
thr Protine is total / 1.3</t>
        </r>
      </text>
    </comment>
    <comment ref="T29" authorId="0" shapeId="0" xr:uid="{00000000-0006-0000-2D00-000002000000}">
      <text>
        <r>
          <rPr>
            <sz val="11"/>
            <color theme="1"/>
            <rFont val="Arial"/>
            <family val="2"/>
          </rPr>
          <t>HP:1/3 of total quantity, 50gm for the 150gm plate
+ 
buffer as some Sauce will Stick</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tc={80258C01-47E0-4C6A-B5D0-A8F68454EA8E}</author>
    <author>Unknown Author</author>
  </authors>
  <commentList>
    <comment ref="AC25" authorId="0" shapeId="0" xr:uid="{80258C01-47E0-4C6A-B5D0-A8F68454EA8E}">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00000000-0006-0000-2E00-000001000000}">
      <text>
        <r>
          <rPr>
            <sz val="11"/>
            <color theme="1"/>
            <rFont val="Arial"/>
            <family val="2"/>
          </rPr>
          <t>HP:
thr Protein is total / 1.3</t>
        </r>
      </text>
    </comment>
    <comment ref="T29" authorId="1" shapeId="0" xr:uid="{00000000-0006-0000-2E00-000002000000}">
      <text>
        <r>
          <rPr>
            <sz val="11"/>
            <color theme="1"/>
            <rFont val="Arial"/>
            <family val="2"/>
          </rPr>
          <t>HP:1/3 of total quantity, 50gm for the 150gm plate
+ 
buffer as some Sauce will Stick</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2F00-000001000000}">
      <text>
        <r>
          <rPr>
            <sz val="11"/>
            <color theme="1"/>
            <rFont val="Arial"/>
            <family val="2"/>
          </rPr>
          <t xml:space="preserve">HP:
total in the update is Protine </t>
        </r>
      </text>
    </comment>
    <comment ref="U28" authorId="0" shapeId="0" xr:uid="{00000000-0006-0000-2F00-000002000000}">
      <text>
        <r>
          <rPr>
            <sz val="11"/>
            <color theme="1"/>
            <rFont val="Arial"/>
            <family val="2"/>
          </rPr>
          <t xml:space="preserve">HP:
total in the update is Protine </t>
        </r>
      </text>
    </comment>
    <comment ref="T29" authorId="0" shapeId="0" xr:uid="{00000000-0006-0000-2F00-000003000000}">
      <text>
        <r>
          <rPr>
            <sz val="11"/>
            <color theme="1"/>
            <rFont val="Arial"/>
            <family val="2"/>
          </rPr>
          <t xml:space="preserve">HP:
Sauce is 50% of pure protein and we buffer 10%
</t>
        </r>
      </text>
    </comment>
    <comment ref="U29" authorId="0" shapeId="0" xr:uid="{00000000-0006-0000-2F00-000004000000}">
      <text>
        <r>
          <rPr>
            <sz val="11"/>
            <color theme="1"/>
            <rFont val="Arial"/>
            <family val="2"/>
          </rPr>
          <t xml:space="preserve">HP:
Sauce is 50% of pure protein and we buffer 10%
</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6FA4815B-1BF3-41E3-A2F5-974CADD08420}">
      <text>
        <r>
          <rPr>
            <sz val="11"/>
            <color theme="1"/>
            <rFont val="Arial"/>
            <family val="2"/>
          </rPr>
          <t xml:space="preserve">HP:
total in the update is Protine </t>
        </r>
      </text>
    </comment>
    <comment ref="T28" authorId="0" shapeId="0" xr:uid="{27F99018-8D0D-41E8-8C13-9C1377E73370}">
      <text>
        <r>
          <rPr>
            <sz val="11"/>
            <color theme="1"/>
            <rFont val="Arial"/>
            <family val="2"/>
          </rPr>
          <t>for every 1 KG protine we will create 100 gm Sauce (10%)</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tc={15FBDEDA-BE01-4524-AC62-958B07B425D9}</author>
    <author>Unknown Author</author>
  </authors>
  <commentList>
    <comment ref="AC25" authorId="0" shapeId="0" xr:uid="{15FBDEDA-BE01-4524-AC62-958B07B425D9}">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C84A9BC4-1D33-4348-ADFC-F9A92CBC2463}">
      <text>
        <r>
          <rPr>
            <sz val="11"/>
            <color theme="1"/>
            <rFont val="Arial"/>
            <family val="2"/>
          </rPr>
          <t>HP:
thr Protine is total / 1.3</t>
        </r>
      </text>
    </comment>
    <comment ref="T29" authorId="1" shapeId="0" xr:uid="{57D006D7-57B0-4BF1-B862-8EE97074B3D0}">
      <text>
        <r>
          <rPr>
            <sz val="11"/>
            <color theme="1"/>
            <rFont val="Arial"/>
            <family val="2"/>
          </rPr>
          <t>HP:1/3 of total quantity, 50gm for the 150gm plate
+ 
buffer as some Sauce will Stick</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3200-000001000000}">
      <text>
        <r>
          <rPr>
            <sz val="11"/>
            <color theme="1"/>
            <rFont val="Arial"/>
            <family val="2"/>
          </rPr>
          <t xml:space="preserve">HP:
total in the update is Protine </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3300-000001000000}">
      <text>
        <r>
          <rPr>
            <sz val="11"/>
            <color theme="1"/>
            <rFont val="Arial"/>
            <family val="2"/>
          </rPr>
          <t xml:space="preserve">HP:
total in the update is Protine </t>
        </r>
      </text>
    </comment>
    <comment ref="T28" authorId="0" shapeId="0" xr:uid="{00000000-0006-0000-3300-000002000000}">
      <text>
        <r>
          <rPr>
            <sz val="11"/>
            <color theme="1"/>
            <rFont val="Arial"/>
            <family val="2"/>
          </rPr>
          <t>HP:
Sauce is 50% of Chicken Quantity, we buffered 10%</t>
        </r>
      </text>
    </comment>
    <comment ref="U28" authorId="0" shapeId="0" xr:uid="{00000000-0006-0000-3300-000003000000}">
      <text>
        <r>
          <rPr>
            <sz val="11"/>
            <color theme="1"/>
            <rFont val="Arial"/>
            <family val="2"/>
          </rPr>
          <t xml:space="preserve">HP:
total in the update is Protine </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3400-000001000000}">
      <text>
        <r>
          <rPr>
            <sz val="11"/>
            <color theme="1"/>
            <rFont val="Arial"/>
            <family val="2"/>
          </rPr>
          <t>HP:
thr Protine is total / 1.3</t>
        </r>
      </text>
    </comment>
    <comment ref="T29" authorId="0" shapeId="0" xr:uid="{00000000-0006-0000-3400-000002000000}">
      <text>
        <r>
          <rPr>
            <sz val="11"/>
            <color theme="1"/>
            <rFont val="Arial"/>
            <family val="2"/>
          </rPr>
          <t>HP:1/3 of total quantity, 50gm for the 150gm plate
+ 
buffer as some Sauce will Stick</t>
        </r>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tc={2A66C493-8FD3-43DA-9452-DAC88E320BF7}</author>
    <author>Unknown Author</author>
  </authors>
  <commentList>
    <comment ref="AC25" authorId="0" shapeId="0" xr:uid="{2A66C493-8FD3-43DA-9452-DAC88E320BF7}">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00000000-0006-0000-3700-000001000000}">
      <text>
        <r>
          <rPr>
            <sz val="11"/>
            <color theme="1"/>
            <rFont val="Arial"/>
            <family val="2"/>
          </rPr>
          <t>HP:
thr Protine is total / 1.3</t>
        </r>
      </text>
    </comment>
    <comment ref="T28" authorId="1" shapeId="0" xr:uid="{00000000-0006-0000-3700-000002000000}">
      <text>
        <r>
          <rPr>
            <sz val="11"/>
            <color theme="1"/>
            <rFont val="Arial"/>
            <family val="2"/>
          </rPr>
          <t>HP:
we want to allow the chicken to be self saturated after it absorb the Saucr</t>
        </r>
      </text>
    </comment>
    <comment ref="T29" authorId="1" shapeId="0" xr:uid="{00000000-0006-0000-3700-000003000000}">
      <text>
        <r>
          <rPr>
            <sz val="11"/>
            <color theme="1"/>
            <rFont val="Arial"/>
            <family val="2"/>
          </rPr>
          <t>HP:1/3 of total quantity, 50gm for the 150gm plate
+ 
buffer as some Sauce will Stick</t>
        </r>
      </text>
    </comment>
  </commentList>
</comments>
</file>

<file path=xl/comments44.xml><?xml version="1.0" encoding="utf-8"?>
<comments xmlns="http://schemas.openxmlformats.org/spreadsheetml/2006/main" xmlns:mc="http://schemas.openxmlformats.org/markup-compatibility/2006" xmlns:xr="http://schemas.microsoft.com/office/spreadsheetml/2014/revision" mc:Ignorable="xr">
  <authors>
    <author>tc={3359F034-9006-4058-909C-6311A4116AA2}</author>
    <author>Unknown Author</author>
  </authors>
  <commentList>
    <comment ref="AC25" authorId="0" shapeId="0" xr:uid="{3359F034-9006-4058-909C-6311A4116AA2}">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T29" authorId="1" shapeId="0" xr:uid="{00000000-0006-0000-3800-000001000000}">
      <text>
        <r>
          <rPr>
            <sz val="11"/>
            <color theme="1"/>
            <rFont val="Arial"/>
            <family val="2"/>
          </rPr>
          <t>HP:1/3 of total quantity, 50gm for the 150gm plate
+ 
buffer as some Sauce will Stick</t>
        </r>
      </text>
    </comment>
  </commentList>
</comments>
</file>

<file path=xl/comments45.xml><?xml version="1.0" encoding="utf-8"?>
<comments xmlns="http://schemas.openxmlformats.org/spreadsheetml/2006/main" xmlns:mc="http://schemas.openxmlformats.org/markup-compatibility/2006" xmlns:xr="http://schemas.microsoft.com/office/spreadsheetml/2014/revision" mc:Ignorable="xr">
  <authors>
    <author>tc={608F1BEB-2EAE-4E5E-8748-AE7646B10B4F}</author>
    <author>Unknown Author</author>
  </authors>
  <commentList>
    <comment ref="AC25" authorId="0" shapeId="0" xr:uid="{608F1BEB-2EAE-4E5E-8748-AE7646B10B4F}">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00000000-0006-0000-3900-000001000000}">
      <text>
        <r>
          <rPr>
            <sz val="11"/>
            <color theme="1"/>
            <rFont val="Arial"/>
            <family val="2"/>
          </rPr>
          <t xml:space="preserve">HP:
total in the update is Protine </t>
        </r>
      </text>
    </comment>
    <comment ref="T29" authorId="1" shapeId="0" xr:uid="{00000000-0006-0000-3900-000002000000}">
      <text>
        <r>
          <rPr>
            <sz val="11"/>
            <color theme="1"/>
            <rFont val="Arial"/>
            <family val="2"/>
          </rPr>
          <t>HP:
buttom Sauce is 40% of Quantity, and topping Sauce is 5%</t>
        </r>
      </text>
    </comment>
  </commentList>
</comments>
</file>

<file path=xl/comments46.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7591983B-544B-4908-A35C-D31B2A3A7B81}">
      <text>
        <r>
          <rPr>
            <sz val="11"/>
            <color theme="1"/>
            <rFont val="Arial"/>
            <family val="2"/>
          </rPr>
          <t xml:space="preserve">HP:
total in the update is Protine </t>
        </r>
      </text>
    </comment>
    <comment ref="T28" authorId="0" shapeId="0" xr:uid="{C03E687A-EA17-4602-8067-E5E0C0A1DA60}">
      <text>
        <r>
          <rPr>
            <sz val="11"/>
            <color theme="1"/>
            <rFont val="Arial"/>
            <family val="2"/>
          </rPr>
          <t>for every 1 KG protine we will create 100 gm Sauce (10%)</t>
        </r>
      </text>
    </comment>
  </commentList>
</comments>
</file>

<file path=xl/comments47.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3B00-000001000000}">
      <text>
        <r>
          <rPr>
            <sz val="11"/>
            <color theme="1"/>
            <rFont val="Arial"/>
            <family val="2"/>
          </rPr>
          <t xml:space="preserve">HP:
total in the update is Protine </t>
        </r>
      </text>
    </comment>
    <comment ref="T28" authorId="0" shapeId="0" xr:uid="{00000000-0006-0000-3B00-000002000000}">
      <text>
        <r>
          <rPr>
            <sz val="11"/>
            <color theme="1"/>
            <rFont val="Arial"/>
            <family val="2"/>
          </rPr>
          <t xml:space="preserve">HP:There is no Mixing Sauce
</t>
        </r>
      </text>
    </comment>
    <comment ref="T29" authorId="0" shapeId="0" xr:uid="{00000000-0006-0000-3B00-000003000000}">
      <text>
        <r>
          <rPr>
            <sz val="11"/>
            <color theme="1"/>
            <rFont val="Arial"/>
            <family val="2"/>
          </rPr>
          <t xml:space="preserve">HP:
Sauce is 50% of pure protein and we buffer 10%
</t>
        </r>
      </text>
    </comment>
  </commentList>
</comments>
</file>

<file path=xl/comments48.xml><?xml version="1.0" encoding="utf-8"?>
<comments xmlns="http://schemas.openxmlformats.org/spreadsheetml/2006/main" xmlns:mc="http://schemas.openxmlformats.org/markup-compatibility/2006" xmlns:xr="http://schemas.microsoft.com/office/spreadsheetml/2014/revision" mc:Ignorable="xr">
  <authors>
    <author>tc={9BD9F61B-E342-45B6-BB85-2CCCD1168FA6}</author>
    <author>Unknown Author</author>
  </authors>
  <commentList>
    <comment ref="AC25" authorId="0" shapeId="0" xr:uid="{9BD9F61B-E342-45B6-BB85-2CCCD1168FA6}">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00000000-0006-0000-3C00-000001000000}">
      <text>
        <r>
          <rPr>
            <sz val="11"/>
            <color theme="1"/>
            <rFont val="Arial"/>
            <family val="2"/>
          </rPr>
          <t>HP:
thr Protine is total / 1.3</t>
        </r>
      </text>
    </comment>
  </commentList>
</comments>
</file>

<file path=xl/comments49.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3D00-000001000000}">
      <text>
        <r>
          <rPr>
            <sz val="11"/>
            <color theme="1"/>
            <rFont val="Arial"/>
            <family val="2"/>
          </rPr>
          <t>HP:
thr Protine is total / 1.3</t>
        </r>
      </text>
    </comment>
    <comment ref="U28" authorId="0" shapeId="0" xr:uid="{00000000-0006-0000-3D00-000002000000}">
      <text>
        <r>
          <rPr>
            <sz val="11"/>
            <color theme="1"/>
            <rFont val="Arial"/>
            <family val="2"/>
          </rPr>
          <t xml:space="preserve">[Threaded comment]
Your version of Excel allows you to read this threaded comment; however, any edits to it will get removed if the file is opened in a newer version of Excel. Learn more: https://go.microsoft.com/fwlink/?linkid=870924
Comment:
    In this meal, the sauce is cooked with the protein and the final weight will be both mixed and not each separated then mixed  </t>
        </r>
      </text>
    </comment>
    <comment ref="T29" authorId="0" shapeId="0" xr:uid="{00000000-0006-0000-3D00-000003000000}">
      <text>
        <r>
          <rPr>
            <sz val="11"/>
            <color theme="1"/>
            <rFont val="Arial"/>
            <family val="2"/>
          </rPr>
          <t>HP:1/3 of total quantity, 50gm for the 150gm plate
+ 
buffer as some Sauce will Stick</t>
        </r>
      </text>
    </comment>
  </commentList>
</comments>
</file>

<file path=xl/comments50.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3F00-000001000000}">
      <text>
        <r>
          <rPr>
            <sz val="11"/>
            <color theme="1"/>
            <rFont val="Arial"/>
            <family val="2"/>
          </rPr>
          <t>HP:
thr Protine is total / 1.3</t>
        </r>
      </text>
    </comment>
    <comment ref="T29" authorId="0" shapeId="0" xr:uid="{00000000-0006-0000-3F00-000002000000}">
      <text>
        <r>
          <rPr>
            <sz val="11"/>
            <color theme="1"/>
            <rFont val="Arial"/>
            <family val="2"/>
          </rPr>
          <t>HP:1/3 of total quantity, 50gm for the 150gm plate
+ 
buffer as some Sauce will Stick</t>
        </r>
      </text>
    </comment>
  </commentList>
</comments>
</file>

<file path=xl/comments5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4000-000001000000}">
      <text>
        <r>
          <rPr>
            <sz val="11"/>
            <color theme="1"/>
            <rFont val="Arial"/>
            <family val="2"/>
          </rPr>
          <t>HP:
thr Protine is total / 1.3</t>
        </r>
      </text>
    </comment>
    <comment ref="T29" authorId="0" shapeId="0" xr:uid="{00000000-0006-0000-4000-000002000000}">
      <text>
        <r>
          <rPr>
            <sz val="11"/>
            <color theme="1"/>
            <rFont val="Arial"/>
            <family val="2"/>
          </rPr>
          <t>HP:1/3 of total quantity, 50gm for the 150gm plate
+ 
buffer as some Sauce will Stick</t>
        </r>
      </text>
    </comment>
    <comment ref="S30" authorId="0" shapeId="0" xr:uid="{00000000-0006-0000-4000-000003000000}">
      <text>
        <r>
          <rPr>
            <sz val="11"/>
            <color theme="1"/>
            <rFont val="Arial"/>
            <family val="2"/>
          </rPr>
          <t>HP:
thr Protine is total / 1.3</t>
        </r>
      </text>
    </comment>
  </commentList>
</comments>
</file>

<file path=xl/comments5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4100-000001000000}">
      <text>
        <r>
          <rPr>
            <sz val="11"/>
            <color theme="1"/>
            <rFont val="Arial"/>
            <family val="2"/>
          </rPr>
          <t xml:space="preserve">HP:
total in the update is Protine </t>
        </r>
      </text>
    </comment>
  </commentList>
</comments>
</file>

<file path=xl/comments5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4200-000001000000}">
      <text>
        <r>
          <rPr>
            <sz val="11"/>
            <color theme="1"/>
            <rFont val="Arial"/>
            <family val="2"/>
          </rPr>
          <t>HP:
thr Protine is total / 1.3</t>
        </r>
      </text>
    </comment>
    <comment ref="T29" authorId="0" shapeId="0" xr:uid="{00000000-0006-0000-4200-000002000000}">
      <text>
        <r>
          <rPr>
            <sz val="11"/>
            <color theme="1"/>
            <rFont val="Arial"/>
            <family val="2"/>
          </rPr>
          <t>HP:1/3 of total quantity, 50gm for the 150gm plate
+ 
buffer as some Sauce will Stick</t>
        </r>
      </text>
    </comment>
  </commentList>
</comments>
</file>

<file path=xl/comments54.xml><?xml version="1.0" encoding="utf-8"?>
<comments xmlns="http://schemas.openxmlformats.org/spreadsheetml/2006/main" xmlns:mc="http://schemas.openxmlformats.org/markup-compatibility/2006" xmlns:xr="http://schemas.microsoft.com/office/spreadsheetml/2014/revision" mc:Ignorable="xr">
  <authors>
    <author>tc={986678C2-DF96-4A70-B0ED-C8D57D89417A}</author>
    <author>Unknown Author</author>
  </authors>
  <commentList>
    <comment ref="AC25" authorId="0" shapeId="0" xr:uid="{986678C2-DF96-4A70-B0ED-C8D57D89417A}">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00000000-0006-0000-4400-000001000000}">
      <text>
        <r>
          <rPr>
            <sz val="11"/>
            <color theme="1"/>
            <rFont val="Arial"/>
            <family val="2"/>
          </rPr>
          <t>HP:
thr Protine is total / 1.3</t>
        </r>
      </text>
    </comment>
    <comment ref="T29" authorId="1" shapeId="0" xr:uid="{00000000-0006-0000-4400-000002000000}">
      <text>
        <r>
          <rPr>
            <sz val="11"/>
            <color theme="1"/>
            <rFont val="Arial"/>
            <family val="2"/>
          </rPr>
          <t>HP:1/3 of total quantity, 50gm for the 150gm plate
+ 
buffer as some Sauce will Stick</t>
        </r>
      </text>
    </comment>
  </commentList>
</comments>
</file>

<file path=xl/comments55.xml><?xml version="1.0" encoding="utf-8"?>
<comments xmlns="http://schemas.openxmlformats.org/spreadsheetml/2006/main" xmlns:mc="http://schemas.openxmlformats.org/markup-compatibility/2006" xmlns:xr="http://schemas.microsoft.com/office/spreadsheetml/2014/revision" mc:Ignorable="xr">
  <authors>
    <author>tc={5FBD50BE-A056-49D3-90B4-CFD6B8C9DAA9}</author>
    <author>Unknown Author</author>
  </authors>
  <commentList>
    <comment ref="AC25" authorId="0" shapeId="0" xr:uid="{5FBD50BE-A056-49D3-90B4-CFD6B8C9DAA9}">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00000000-0006-0000-4500-000001000000}">
      <text>
        <r>
          <rPr>
            <sz val="11"/>
            <color theme="1"/>
            <rFont val="Arial"/>
            <family val="2"/>
          </rPr>
          <t>HP:
thr Protine is total / 1.3</t>
        </r>
      </text>
    </comment>
  </commentList>
</comments>
</file>

<file path=xl/comments56.xml><?xml version="1.0" encoding="utf-8"?>
<comments xmlns="http://schemas.openxmlformats.org/spreadsheetml/2006/main" xmlns:mc="http://schemas.openxmlformats.org/markup-compatibility/2006" xmlns:xr="http://schemas.microsoft.com/office/spreadsheetml/2014/revision" mc:Ignorable="xr">
  <authors>
    <author>Unknown Author</author>
    <author>tc={C99A64D0-C276-47B6-B243-058ABFFF7156}</author>
  </authors>
  <commentList>
    <comment ref="K1" authorId="0" shapeId="0" xr:uid="{00000000-0006-0000-4600-000001000000}">
      <text>
        <r>
          <rPr>
            <sz val="11"/>
            <color theme="1"/>
            <rFont val="Arial"/>
            <family val="2"/>
          </rPr>
          <t xml:space="preserve">[Threaded comment]
Your version of Excel allows you to read this threaded comment; however, any edits to it will get removed if the file is opened in a newer version of Excel. Learn more: https://go.microsoft.com/fwlink/?linkid=870924
Comment:
    The 4.6 batch came as 4.2 with given a factor of 0.91. let’s keep a healthy Safety Factor till we verify
Reply:
    Bilal said make it 0.95 and will check next when cooked
Reply:
    Actuals weighted to be 0.99
</t>
        </r>
      </text>
    </comment>
    <comment ref="AC25" authorId="1" shapeId="0" xr:uid="{C99A64D0-C276-47B6-B243-058ABFFF7156}">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0" shapeId="0" xr:uid="{00000000-0006-0000-4600-000002000000}">
      <text>
        <r>
          <rPr>
            <sz val="11"/>
            <color theme="1"/>
            <rFont val="Arial"/>
            <family val="2"/>
          </rPr>
          <t xml:space="preserve">HP:
total in the update is Protine </t>
        </r>
      </text>
    </comment>
    <comment ref="U28" authorId="0" shapeId="0" xr:uid="{00000000-0006-0000-4600-000003000000}">
      <text>
        <r>
          <rPr>
            <sz val="11"/>
            <color theme="1"/>
            <rFont val="Arial"/>
            <family val="2"/>
          </rPr>
          <t xml:space="preserve">HP:
total in the update is Protine </t>
        </r>
      </text>
    </comment>
  </commentList>
</comments>
</file>

<file path=xl/comments57.xml><?xml version="1.0" encoding="utf-8"?>
<comments xmlns="http://schemas.openxmlformats.org/spreadsheetml/2006/main" xmlns:mc="http://schemas.openxmlformats.org/markup-compatibility/2006" xmlns:xr="http://schemas.microsoft.com/office/spreadsheetml/2014/revision" mc:Ignorable="xr">
  <authors>
    <author>tc={F7330BC2-B6D5-4EE6-B0F1-5EEF6AA573F3}</author>
    <author>Unknown Author</author>
  </authors>
  <commentList>
    <comment ref="AC25" authorId="0" shapeId="0" xr:uid="{F7330BC2-B6D5-4EE6-B0F1-5EEF6AA573F3}">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00000000-0006-0000-4700-000001000000}">
      <text>
        <r>
          <rPr>
            <sz val="11"/>
            <color theme="1"/>
            <rFont val="Arial"/>
            <family val="2"/>
          </rPr>
          <t>HP:
thr Protine is total / 1.3</t>
        </r>
      </text>
    </comment>
    <comment ref="T29" authorId="1" shapeId="0" xr:uid="{00000000-0006-0000-4700-000002000000}">
      <text>
        <r>
          <rPr>
            <sz val="11"/>
            <color theme="1"/>
            <rFont val="Arial"/>
            <family val="2"/>
          </rPr>
          <t>HP:1/3 of total quantity, 50gm for the 150gm plate
+ 
buffer as some Sauce will Stick</t>
        </r>
      </text>
    </comment>
  </commentList>
</comments>
</file>

<file path=xl/comments58.xml><?xml version="1.0" encoding="utf-8"?>
<comments xmlns="http://schemas.openxmlformats.org/spreadsheetml/2006/main" xmlns:mc="http://schemas.openxmlformats.org/markup-compatibility/2006" xmlns:xr="http://schemas.microsoft.com/office/spreadsheetml/2014/revision" mc:Ignorable="xr">
  <authors>
    <author>Unknown Author</author>
    <author>tc={859BAB83-522B-4D04-86F2-48A8B0CF67C0}</author>
  </authors>
  <commentList>
    <comment ref="W16" authorId="0" shapeId="0" xr:uid="{00000000-0006-0000-4800-000001000000}">
      <text>
        <r>
          <rPr>
            <sz val="11"/>
            <color theme="1"/>
            <rFont val="Arial"/>
            <family val="2"/>
          </rPr>
          <t xml:space="preserve">[Threaded comment]
Your version of Excel allows you to read this threaded comment; however, any edits to it will get removed if the file is opened in a newer version of Excel. Learn more: https://go.microsoft.com/fwlink/?linkid=870924
Comment:
    Ask Mohammed how much he uses
Reply:
    Done
</t>
        </r>
      </text>
    </comment>
    <comment ref="AC25" authorId="1" shapeId="0" xr:uid="{859BAB83-522B-4D04-86F2-48A8B0CF67C0}">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0" shapeId="0" xr:uid="{00000000-0006-0000-4800-000002000000}">
      <text>
        <r>
          <rPr>
            <sz val="11"/>
            <color theme="1"/>
            <rFont val="Arial"/>
            <family val="2"/>
          </rPr>
          <t xml:space="preserve">HP:
total in the update is Protine </t>
        </r>
      </text>
    </comment>
    <comment ref="T28" authorId="0" shapeId="0" xr:uid="{00000000-0006-0000-4800-000003000000}">
      <text>
        <r>
          <rPr>
            <sz val="11"/>
            <color theme="1"/>
            <rFont val="Arial"/>
            <family val="2"/>
          </rPr>
          <t>for every 1 KG protine we will create 100 gm Sauce (10%)</t>
        </r>
      </text>
    </comment>
  </commentList>
</comments>
</file>

<file path=xl/comments59.xml><?xml version="1.0" encoding="utf-8"?>
<comments xmlns="http://schemas.openxmlformats.org/spreadsheetml/2006/main" xmlns:mc="http://schemas.openxmlformats.org/markup-compatibility/2006" xmlns:xr="http://schemas.microsoft.com/office/spreadsheetml/2014/revision" mc:Ignorable="xr">
  <authors>
    <author>tc={B8446BE2-DBC8-49D1-887F-EF8DC7239748}</author>
    <author>Unknown Author</author>
  </authors>
  <commentList>
    <comment ref="AC25" authorId="0" shapeId="0" xr:uid="{B8446BE2-DBC8-49D1-887F-EF8DC7239748}">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00000000-0006-0000-4900-000001000000}">
      <text>
        <r>
          <rPr>
            <sz val="11"/>
            <color theme="1"/>
            <rFont val="Arial"/>
            <family val="2"/>
          </rPr>
          <t xml:space="preserve">HP:
total in the update is Protine </t>
        </r>
      </text>
    </comment>
    <comment ref="T28" authorId="1" shapeId="0" xr:uid="{00000000-0006-0000-4900-000002000000}">
      <text>
        <r>
          <rPr>
            <sz val="11"/>
            <color theme="1"/>
            <rFont val="Arial"/>
            <family val="2"/>
          </rPr>
          <t>HP:
Sauce is 50% of Chicken Quantity, we buffered 10%</t>
        </r>
      </text>
    </comment>
  </commentList>
</comments>
</file>

<file path=xl/comments60.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D5" authorId="0" shapeId="0" xr:uid="{00000000-0006-0000-4A00-000001000000}">
      <text>
        <r>
          <rPr>
            <sz val="11"/>
            <color theme="1"/>
            <rFont val="Arial"/>
            <family val="2"/>
          </rPr>
          <t>[Threaded comment]
Your version of Excel allows you to read this threaded comment; however, any edits to it will get removed if the file is opened in a newer version of Excel. Learn more: https://go.microsoft.com/fwlink/?linkid=870924
Comment:
    This sandwich is 80% pure beef ad 20% Fat</t>
        </r>
      </text>
    </comment>
  </commentList>
</comments>
</file>

<file path=xl/comments6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4C00-000001000000}">
      <text>
        <r>
          <rPr>
            <sz val="11"/>
            <color theme="1"/>
            <rFont val="Arial"/>
            <family val="2"/>
          </rPr>
          <t xml:space="preserve">HP:
total in the update is Protine </t>
        </r>
      </text>
    </comment>
  </commentList>
</comments>
</file>

<file path=xl/comments6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B00BCBB1-ED0B-4B1F-951D-56347F656AC5}">
      <text>
        <r>
          <rPr>
            <sz val="11"/>
            <color theme="1"/>
            <rFont val="Arial"/>
            <family val="2"/>
          </rPr>
          <t xml:space="preserve">HP:
total in the update is Protine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<sst xmlns="http://schemas.openxmlformats.org/spreadsheetml/2006/main" count="15946" uniqueCount="884">
  <si>
    <t>ITEMS</t>
  </si>
  <si>
    <t>Category</t>
  </si>
  <si>
    <t>Unit</t>
  </si>
  <si>
    <t>Daily Weight</t>
  </si>
  <si>
    <t>Day</t>
  </si>
  <si>
    <t>Weekly Weight</t>
  </si>
  <si>
    <t>Yield</t>
  </si>
  <si>
    <t>Order Unit</t>
  </si>
  <si>
    <t>Weekly Order</t>
  </si>
  <si>
    <t>Daily Order</t>
  </si>
  <si>
    <t>Weekly Price</t>
  </si>
  <si>
    <t>Daily Price</t>
  </si>
  <si>
    <t>Onion - بصل</t>
  </si>
  <si>
    <t>خضروات</t>
  </si>
  <si>
    <t>gm</t>
  </si>
  <si>
    <t>kg</t>
  </si>
  <si>
    <t>Curry Chicken</t>
  </si>
  <si>
    <t>Tomato - طماطم</t>
  </si>
  <si>
    <t>Kabsa Lahm</t>
  </si>
  <si>
    <t>Carrot - جزر</t>
  </si>
  <si>
    <t>Beef Chilli Dry</t>
  </si>
  <si>
    <t>Potato - بطاطس</t>
  </si>
  <si>
    <t>Pan Fried Fish</t>
  </si>
  <si>
    <t>Eggplant - باذنجان</t>
  </si>
  <si>
    <t>Meat with Bamiya</t>
  </si>
  <si>
    <t>8 Kg / Carton</t>
  </si>
  <si>
    <t>Carton</t>
  </si>
  <si>
    <t>Chinese Chicken</t>
  </si>
  <si>
    <t xml:space="preserve">Red Bell Pepper - فلفل أحمر </t>
  </si>
  <si>
    <t>Herbal Chicken</t>
  </si>
  <si>
    <t xml:space="preserve">Yellow Bell Pepper - فلفل أصفر </t>
  </si>
  <si>
    <t>Chicken Mandi (1)</t>
  </si>
  <si>
    <t>Green Bell Pepper - فلفل أخضر رومى</t>
  </si>
  <si>
    <t>Asian Chicken Sandwich</t>
  </si>
  <si>
    <t>Green Chilli Pepper - فلفل أخضر حار</t>
  </si>
  <si>
    <t>Herbal Potato Wedges</t>
  </si>
  <si>
    <t>250 g / Box</t>
  </si>
  <si>
    <t>Box</t>
  </si>
  <si>
    <t>Sautee Vegetables (1)</t>
  </si>
  <si>
    <t>Mached Potato(1)</t>
  </si>
  <si>
    <t>Green Onion - بصل أخضر</t>
  </si>
  <si>
    <t>1350 g / Pack</t>
  </si>
  <si>
    <t>Pack</t>
  </si>
  <si>
    <t>Chicken Alfredo</t>
  </si>
  <si>
    <t>Fettuccine Pasta Sauce</t>
  </si>
  <si>
    <t>Kg</t>
  </si>
  <si>
    <t>Coconut Chicken</t>
  </si>
  <si>
    <t>Zucchini - كوسة</t>
  </si>
  <si>
    <t>Chicken 65</t>
  </si>
  <si>
    <t>Orange - برتقال</t>
  </si>
  <si>
    <t>Chinese Cabbage - ملفوف صيني</t>
  </si>
  <si>
    <t>Mkhtoum Lahm</t>
  </si>
  <si>
    <t>135 g / Box</t>
  </si>
  <si>
    <t>BBQ Chicken Skewers</t>
  </si>
  <si>
    <t>Beef Burger</t>
  </si>
  <si>
    <t>Ginger - زنجبيل</t>
  </si>
  <si>
    <t>منكهات</t>
  </si>
  <si>
    <t>Beef Zurbian</t>
  </si>
  <si>
    <t>Grilled Vegetables(2)</t>
  </si>
  <si>
    <t>Almond Chicken</t>
  </si>
  <si>
    <t>Chicken Pasta with Vegetable</t>
  </si>
  <si>
    <t>Coriander Leaves - كزبرة خضراء</t>
  </si>
  <si>
    <t>أعشاب طازجة</t>
  </si>
  <si>
    <t>825 g / Pack</t>
  </si>
  <si>
    <t>Pasta with Vegetable(Pasta)</t>
  </si>
  <si>
    <t>Parsley - بقدونس</t>
  </si>
  <si>
    <t>Changezi Chicken</t>
  </si>
  <si>
    <t>100 g/Pack</t>
  </si>
  <si>
    <t>Daoud Basha</t>
  </si>
  <si>
    <t>Mint Leaves - نعناع طازج</t>
  </si>
  <si>
    <t>900 g / Pack</t>
  </si>
  <si>
    <t>Dill Leaves - شبت</t>
  </si>
  <si>
    <t>1000 g /Pack</t>
  </si>
  <si>
    <t>Moussaka Vegi</t>
  </si>
  <si>
    <t>Moussaka Meat</t>
  </si>
  <si>
    <t>Laham Oriental</t>
  </si>
  <si>
    <t>Curry Leaves - أوراق الكاري</t>
  </si>
  <si>
    <t>Chicken Saleeq (3)</t>
  </si>
  <si>
    <t>Chicken Mandi (3)</t>
  </si>
  <si>
    <t>Chicken Caesar Salad</t>
  </si>
  <si>
    <t>Dry Thyme - زعتر مجفف</t>
  </si>
  <si>
    <t>أعشاب مجففة</t>
  </si>
  <si>
    <t>Chicken Fajita</t>
  </si>
  <si>
    <t>Dry Oregano - أوريجانو مجفف</t>
  </si>
  <si>
    <t>Mached Potato(3)</t>
  </si>
  <si>
    <t>Dry Basil - ريحان مجفف</t>
  </si>
  <si>
    <t>142 g / Pack</t>
  </si>
  <si>
    <t>Potato Wedges</t>
  </si>
  <si>
    <t>Dried Mint Leaves - نعناع مجفف</t>
  </si>
  <si>
    <t>200 g / Pack</t>
  </si>
  <si>
    <t>Oven Vegetables (3)</t>
  </si>
  <si>
    <t>Bay Leaf - ورق غار</t>
  </si>
  <si>
    <t>Chicken Steak Sauce</t>
  </si>
  <si>
    <t>Chicken Steak Topping</t>
  </si>
  <si>
    <t>Salt - ملح</t>
  </si>
  <si>
    <t>توابل</t>
  </si>
  <si>
    <t>50 Kg</t>
  </si>
  <si>
    <t>Chicken Mushroom</t>
  </si>
  <si>
    <t>Black Pepper Whole - فلفل أسود حب</t>
  </si>
  <si>
    <t>Stroganoff Beef</t>
  </si>
  <si>
    <t>Black Pepper Powder - فلفل أسود مطحون</t>
  </si>
  <si>
    <t>Stroganoff pasta</t>
  </si>
  <si>
    <t>White Pepper - فلفل أبيض</t>
  </si>
  <si>
    <t>Beef Amansi</t>
  </si>
  <si>
    <t>Cumin Whole - كمون حب</t>
  </si>
  <si>
    <t>Chicken Tikka</t>
  </si>
  <si>
    <t>Cumin Powder - كمون مطحون</t>
  </si>
  <si>
    <t>Lahm Fasooliya</t>
  </si>
  <si>
    <t>Coriander Powder - كزبرة مطحونة</t>
  </si>
  <si>
    <t>Curry Powder - كاري بودرة</t>
  </si>
  <si>
    <t>Orzo Pasta</t>
  </si>
  <si>
    <t>Paprika Powder - بابريكا مطحون</t>
  </si>
  <si>
    <t>2724 gram/Carton</t>
  </si>
  <si>
    <t>Chicken Makloba</t>
  </si>
  <si>
    <t>Red Chilli Powder - شطة حمراء مطحونة</t>
  </si>
  <si>
    <t>Makloba Veggi</t>
  </si>
  <si>
    <t>Kashmiri Red Chilli Whole - فلفل كشميري أحمر كامل</t>
  </si>
  <si>
    <t>10 Kg / Carton</t>
  </si>
  <si>
    <t>BBQ Chicken</t>
  </si>
  <si>
    <t>Turmeric - كركم</t>
  </si>
  <si>
    <t>Mached Potato(4)</t>
  </si>
  <si>
    <t>Cinnamon Whole - قرفة أعواد</t>
  </si>
  <si>
    <t>Sautee Vegetables (4)</t>
  </si>
  <si>
    <t>Cinnamon Powder - قرفة مطحونة</t>
  </si>
  <si>
    <t>Sriracha Chicken</t>
  </si>
  <si>
    <t>Cloves Whole - قرنفل حب</t>
  </si>
  <si>
    <t>Butter Chicken</t>
  </si>
  <si>
    <t>Cardamom Whole - هيل حب</t>
  </si>
  <si>
    <t>Meat Kebab</t>
  </si>
  <si>
    <t>Cardamom Powder - هيل مطحون</t>
  </si>
  <si>
    <t>Star Anise - ينسون نجمي</t>
  </si>
  <si>
    <t>Kebab Hindi</t>
  </si>
  <si>
    <t>Fennel Seeds - شمر حب</t>
  </si>
  <si>
    <t>Pizziola Chicken</t>
  </si>
  <si>
    <t>50 gram</t>
  </si>
  <si>
    <t>Lahm Bolognese</t>
  </si>
  <si>
    <t>Biryani Masala - بهارات برياني</t>
  </si>
  <si>
    <t>Kabsa Spices Powder - توابل كبسة بودر</t>
  </si>
  <si>
    <t>200 gram</t>
  </si>
  <si>
    <t>Lasagne Bachamel</t>
  </si>
  <si>
    <t>Maggi Cubes - مكعبات ماجي</t>
  </si>
  <si>
    <t>Beef Lasagne Sauce</t>
  </si>
  <si>
    <t>Italian Seasoning - توابل إيطالية</t>
  </si>
  <si>
    <t>34 g</t>
  </si>
  <si>
    <t>Beef Bokhary</t>
  </si>
  <si>
    <t>Ginger Powder - زنجبيل مطحون</t>
  </si>
  <si>
    <t>Beef philly cheese steak</t>
  </si>
  <si>
    <t>Onion Powder - بصل بودرة</t>
  </si>
  <si>
    <t>Grilled Vegetables(5)</t>
  </si>
  <si>
    <t>Pink Chicken</t>
  </si>
  <si>
    <t>Garlic Powder - ثوم بودرة</t>
  </si>
  <si>
    <t>Ginger Chicken</t>
  </si>
  <si>
    <t>French Meatball</t>
  </si>
  <si>
    <t>Butter - زبدة</t>
  </si>
  <si>
    <t>منتجات ألبان</t>
  </si>
  <si>
    <t>25 Kg</t>
  </si>
  <si>
    <t>Singapore Chicken</t>
  </si>
  <si>
    <t>Ghee - سمن</t>
  </si>
  <si>
    <t>9.6 Kg / Carton</t>
  </si>
  <si>
    <t>Fish with Shabat and Lemon</t>
  </si>
  <si>
    <t>Milk - حليب</t>
  </si>
  <si>
    <t>ml</t>
  </si>
  <si>
    <t>12 L / Carton</t>
  </si>
  <si>
    <t>Chicken Molokeya</t>
  </si>
  <si>
    <t>Yogurt - زبادي</t>
  </si>
  <si>
    <t>10 Kg</t>
  </si>
  <si>
    <t>Beef Kebab Sandwich</t>
  </si>
  <si>
    <t>Cooking Cream - كريمة طبخ</t>
  </si>
  <si>
    <t>Beef Kabli</t>
  </si>
  <si>
    <t>Labneh - لبنة</t>
  </si>
  <si>
    <t>11 Kg / Carton</t>
  </si>
  <si>
    <t>Chicken Saleeq (6)</t>
  </si>
  <si>
    <t>Cheddar Cheese - جبنة شيدر</t>
  </si>
  <si>
    <t>Oven Vegetables (6)</t>
  </si>
  <si>
    <t>Mozzarella Cheese - جبنة موتزاريلا</t>
  </si>
  <si>
    <t>9.2 Kg / Carton</t>
  </si>
  <si>
    <t>Coconut Milk - حليب جوز الهند</t>
  </si>
  <si>
    <t>9.6 Kg/Carton</t>
  </si>
  <si>
    <t>Almond Whole - لوز كامل</t>
  </si>
  <si>
    <t>مكسرات</t>
  </si>
  <si>
    <t>Cashew Nut - كاجو</t>
  </si>
  <si>
    <t>Sugar - سكر</t>
  </si>
  <si>
    <t>محليات</t>
  </si>
  <si>
    <t>Brown Sugar - سكر بني</t>
  </si>
  <si>
    <t>20 Kg</t>
  </si>
  <si>
    <t>Honey - عسل</t>
  </si>
  <si>
    <t>Raisin - زبيب</t>
  </si>
  <si>
    <t>Flour - دقيق</t>
  </si>
  <si>
    <t>حبوب ودقيق</t>
  </si>
  <si>
    <t>Corn Starch - نشا ذرة</t>
  </si>
  <si>
    <t>Bread Crumbs - فتات الخبز (بقسماط)</t>
  </si>
  <si>
    <t>BBQ Sauce - صوص باربيكيو</t>
  </si>
  <si>
    <t>صوصات ومنكهات</t>
  </si>
  <si>
    <t>15.16 L / Carton</t>
  </si>
  <si>
    <t>Sriracha Sauce - صوص سريراتشا</t>
  </si>
  <si>
    <t>Light Soy Sauce - صويا صوص خفيف</t>
  </si>
  <si>
    <t>Sweet Soy Sauce - صويا صوص حلو</t>
  </si>
  <si>
    <t>7.5 L / Carton</t>
  </si>
  <si>
    <t>Oyster Sauce - صوص محار</t>
  </si>
  <si>
    <t>7.2 L / Carton</t>
  </si>
  <si>
    <t>Tomato Ketchup - كاتشب طماطم</t>
  </si>
  <si>
    <t>20 Kg / Carton</t>
  </si>
  <si>
    <t>Demi Glaze Sauce - صوص ديمي غلاز</t>
  </si>
  <si>
    <t>4.5 Kg / Carton</t>
  </si>
  <si>
    <t>Mustard - خردل</t>
  </si>
  <si>
    <t>Water - ماء</t>
  </si>
  <si>
    <t>سوائل ومرق</t>
  </si>
  <si>
    <t>L</t>
  </si>
  <si>
    <t>Rose Water - ماء الورد</t>
  </si>
  <si>
    <t>Beef Stock - مرق لحم بقري</t>
  </si>
  <si>
    <t>Vinegar - خل</t>
  </si>
  <si>
    <t>Balsamic Vinegar - خل بلسميك</t>
  </si>
  <si>
    <t>6 L / Carton</t>
  </si>
  <si>
    <t>Olive Oil - زيت زيتون</t>
  </si>
  <si>
    <t>Lemon Juice - عصير ليمون</t>
  </si>
  <si>
    <t>ألوان وإضافات</t>
  </si>
  <si>
    <t>Orange Color - لون برتقالي</t>
  </si>
  <si>
    <t>Brown Color - لون بني</t>
  </si>
  <si>
    <t>Soda Bi Carb - بيكربونات الصوديوم</t>
  </si>
  <si>
    <t>Charcoal - فحم</t>
  </si>
  <si>
    <t>معلبات</t>
  </si>
  <si>
    <t>12.75 Kg / Carton</t>
  </si>
  <si>
    <t>White Beans - فاصوليا بيضاء</t>
  </si>
  <si>
    <t>بقوليات</t>
  </si>
  <si>
    <t>Chicken - دجاج</t>
  </si>
  <si>
    <t>بروتين</t>
  </si>
  <si>
    <t>Meat Fat - دهن لحم</t>
  </si>
  <si>
    <t>Indian Meat Alana  - لحم هندى ألانا</t>
  </si>
  <si>
    <t>18 Kg / Carton</t>
  </si>
  <si>
    <t>Fillet Fish - سمك فيليه</t>
  </si>
  <si>
    <t>Indian Meat Tammam Mafroom - مفروم هندى</t>
  </si>
  <si>
    <t>KG</t>
  </si>
  <si>
    <t>Sheet Name</t>
  </si>
  <si>
    <t>Egg - بيضة</t>
  </si>
  <si>
    <t>Piece</t>
  </si>
  <si>
    <t>Base Recipe (1kg Yield)</t>
  </si>
  <si>
    <t xml:space="preserve">Required Quantity </t>
  </si>
  <si>
    <t>Conversion Factor</t>
  </si>
  <si>
    <t>Corrected Conversion Factor</t>
  </si>
  <si>
    <t>Weight Correction</t>
  </si>
  <si>
    <t>Protine Cooking Method</t>
  </si>
  <si>
    <t>Grill &amp; Oven</t>
  </si>
  <si>
    <t>Protine Cooking Yield</t>
  </si>
  <si>
    <t>Marination Factor</t>
  </si>
  <si>
    <t xml:space="preserve">Curry Chicken </t>
  </si>
  <si>
    <t>Ingredient</t>
  </si>
  <si>
    <t xml:space="preserve">Unit </t>
  </si>
  <si>
    <t>Scaling Factor 
(1-10KG)</t>
  </si>
  <si>
    <t xml:space="preserve">Linear Scaled Amount </t>
  </si>
  <si>
    <t>Scaled Amount Post Conversion Factor 
كميات التحضير من فريق طوكيو</t>
  </si>
  <si>
    <t>PreCooking Yield</t>
  </si>
  <si>
    <t>Price Per KG or L</t>
  </si>
  <si>
    <t>Ordering quantity (KG or L)</t>
  </si>
  <si>
    <t>Cost</t>
  </si>
  <si>
    <t>Base Recipe (10kg Yield)</t>
  </si>
  <si>
    <t>Curry chicken دجاج بالكارى</t>
  </si>
  <si>
    <t>Size</t>
  </si>
  <si>
    <t>Rich Meal</t>
  </si>
  <si>
    <t xml:space="preserve">Actuals </t>
  </si>
  <si>
    <t xml:space="preserve">Chicken </t>
  </si>
  <si>
    <t>Sauce</t>
  </si>
  <si>
    <t xml:space="preserve">Total </t>
  </si>
  <si>
    <t>Meal Mix</t>
  </si>
  <si>
    <t>Pure Protine</t>
  </si>
  <si>
    <t>Mixing Sauce</t>
  </si>
  <si>
    <t>Topping Sauce</t>
  </si>
  <si>
    <t>Total</t>
  </si>
  <si>
    <t>Mixed</t>
  </si>
  <si>
    <t>Topping</t>
  </si>
  <si>
    <t xml:space="preserve">Safty </t>
  </si>
  <si>
    <t>Cost/gram</t>
  </si>
  <si>
    <t>Total Without Safty Factor</t>
  </si>
  <si>
    <t>Actuals (To be Filled automatically)</t>
  </si>
  <si>
    <t>Extra Quantity vs Actuals</t>
  </si>
  <si>
    <t>Protine Out of (Protine + Mixing Sauce)</t>
  </si>
  <si>
    <t>Mixing Sauce Out of (Protine + Mixing Sauce)</t>
  </si>
  <si>
    <t>Total Batch</t>
  </si>
  <si>
    <t>Total Sauce</t>
  </si>
  <si>
    <t xml:space="preserve">Mixing % </t>
  </si>
  <si>
    <t>Topping %</t>
  </si>
  <si>
    <t xml:space="preserve">Mixing KG </t>
  </si>
  <si>
    <t>Topping KG</t>
  </si>
  <si>
    <t>Protine Cooked for 10 KG Sauce Batch</t>
  </si>
  <si>
    <t>Final KG</t>
  </si>
  <si>
    <t>Protine Batches</t>
  </si>
  <si>
    <t>Un Cooked Protine</t>
  </si>
  <si>
    <t>Cooked Protine</t>
  </si>
  <si>
    <t>For 10KG Sauce output</t>
  </si>
  <si>
    <t>Batch 1</t>
  </si>
  <si>
    <t>Batch 2</t>
  </si>
  <si>
    <t>Batch 3</t>
  </si>
  <si>
    <t>Protein</t>
  </si>
  <si>
    <t>Mix</t>
  </si>
  <si>
    <t>Boil</t>
  </si>
  <si>
    <t xml:space="preserve">Kabsah Laham </t>
  </si>
  <si>
    <t>Dry Meal</t>
  </si>
  <si>
    <t>Laham</t>
  </si>
  <si>
    <t>Batch 4</t>
  </si>
  <si>
    <t>Multiplication Factor</t>
  </si>
  <si>
    <t>Beef Chili Dry</t>
  </si>
  <si>
    <t>بيف شيلى دراى  Beef Chilli Dry</t>
  </si>
  <si>
    <t>Self Saturated Meal</t>
  </si>
  <si>
    <t>Beef</t>
  </si>
  <si>
    <t>Oven</t>
  </si>
  <si>
    <t xml:space="preserve">This Meal is Pure Protine with no Mixxing, only Topping </t>
  </si>
  <si>
    <t>For Every 150 gm we Add on top ???</t>
  </si>
  <si>
    <t>بان فرايد فيش  Pan Fried Fish</t>
  </si>
  <si>
    <t xml:space="preserve">Fish </t>
  </si>
  <si>
    <t>Bamiah Laham</t>
  </si>
  <si>
    <t>Edam Meal</t>
  </si>
  <si>
    <t xml:space="preserve">Laham </t>
  </si>
  <si>
    <t>Protine Uncooked For 10 KG Sauce Batch</t>
  </si>
  <si>
    <t>for every 1 scaling factor you get 0.85KG</t>
  </si>
  <si>
    <t xml:space="preserve">For Every 150 gm we Add on top 50gm </t>
  </si>
  <si>
    <t xml:space="preserve"> </t>
  </si>
  <si>
    <t>دجاج بالأعشاب  Herbal Chicken</t>
  </si>
  <si>
    <t xml:space="preserve">Marination </t>
  </si>
  <si>
    <t>Requirered P</t>
  </si>
  <si>
    <t>Zurbian</t>
  </si>
  <si>
    <t>Totavl Conversion Factor</t>
  </si>
  <si>
    <t>Chicken Mandi - مندي دجاج</t>
  </si>
  <si>
    <t>Unit  الوحدة</t>
  </si>
  <si>
    <t>Base Recipe (1 kg Yield) — الوصفة الأساسية (إنتاج 1 كجم)</t>
  </si>
  <si>
    <t>Corrected Conversion Factor — معامل التحويل المصحح</t>
  </si>
  <si>
    <t>Scaling Factor — معامل القياس</t>
  </si>
  <si>
    <t>Linear Scaled Amount — الكمية المعدلة حسابياً</t>
  </si>
  <si>
    <t>Scaled Amount Post Conversion Factor — الكمية المعدلة بعد معامل التحويل</t>
  </si>
  <si>
    <t>For 15KG Protine output</t>
  </si>
  <si>
    <t>Saudi Cuisine</t>
  </si>
  <si>
    <t xml:space="preserve"> الوزن المطلوب</t>
  </si>
  <si>
    <t>Safty - كمية للأمان</t>
  </si>
  <si>
    <t>Total - الوزن النهائي</t>
  </si>
  <si>
    <t>Protine Out of Total</t>
  </si>
  <si>
    <t>Protine Cooked for 15 KG Sauce Batch</t>
  </si>
  <si>
    <t>Scaling Factor 
(1-15KG)</t>
  </si>
  <si>
    <t>Base Recipe (1 Portion )</t>
  </si>
  <si>
    <t>Charcol &amp; Oven</t>
  </si>
  <si>
    <t>Filling</t>
  </si>
  <si>
    <t>Asian Chicken Sandwich - ساندوتش الدجاج الاسيوي</t>
  </si>
  <si>
    <t>Scaled Amount Post Conversion Factor</t>
  </si>
  <si>
    <t>Veggi &amp; Cheese</t>
  </si>
  <si>
    <t xml:space="preserve">Potato Wedges - بطاطس ويدجز </t>
  </si>
  <si>
    <t xml:space="preserve">Edam Vegetables  </t>
  </si>
  <si>
    <t>Vegetables (Edam)</t>
  </si>
  <si>
    <t>Sat - Tues</t>
  </si>
  <si>
    <t>Steam Vegetables</t>
  </si>
  <si>
    <t xml:space="preserve">Sautee Vegetables - خضار سوتيه </t>
  </si>
  <si>
    <t>Mached Potato</t>
  </si>
  <si>
    <t>Batch 5</t>
  </si>
  <si>
    <t xml:space="preserve">Mached Potato  - بطاطس مهروسة </t>
  </si>
  <si>
    <t>بطاطس مهروسة   4/ 4</t>
  </si>
  <si>
    <t>Mached Potato 4 / 4</t>
  </si>
  <si>
    <t>بطاطس مهروسة   5/ 5</t>
  </si>
  <si>
    <t>Mached Potato 5 / 5</t>
  </si>
  <si>
    <t>Ingredient+A4:E27</t>
  </si>
  <si>
    <t>دجاج الفريدو  Chicken Alfredo</t>
  </si>
  <si>
    <t>Pasta</t>
  </si>
  <si>
    <t>1 Kg Cooked Patsa</t>
  </si>
  <si>
    <t xml:space="preserve">need 300 gm sauce </t>
  </si>
  <si>
    <t>update</t>
  </si>
  <si>
    <t>450 gm</t>
  </si>
  <si>
    <t>صوص الفيتوتشيني  Fettuccine Pasta Sauce</t>
  </si>
  <si>
    <t>دجاج بجوز الهند  Chicken Coconut</t>
  </si>
  <si>
    <t>Chicken</t>
  </si>
  <si>
    <t xml:space="preserve">  Chicken 65</t>
  </si>
  <si>
    <t>Self Saturated</t>
  </si>
  <si>
    <t>مختوم لحم Mkhtoum Lahm</t>
  </si>
  <si>
    <t>3 KG mixed bel pepper</t>
  </si>
  <si>
    <t>100 gm butter</t>
  </si>
  <si>
    <t>اسياخ دجاج الباربكيو BBQ Chicken Skewers</t>
  </si>
  <si>
    <t>Iceberg Lettuce  - خس مدور أمريكى</t>
  </si>
  <si>
    <t>piece</t>
  </si>
  <si>
    <t>Beef Burger - برجر لحم</t>
  </si>
  <si>
    <t>Sun - Wed</t>
  </si>
  <si>
    <t>Grilled Vegetables</t>
  </si>
  <si>
    <t xml:space="preserve">Grilled Vegetables - خضار مشوية </t>
  </si>
  <si>
    <t>coating</t>
  </si>
  <si>
    <t>Total Uncooked</t>
  </si>
  <si>
    <t>Total Cooked</t>
  </si>
  <si>
    <t>coating 30% of chicken</t>
  </si>
  <si>
    <t>Coating</t>
  </si>
  <si>
    <t>دجاج بالوز Almond Chicken</t>
  </si>
  <si>
    <t>دجاج مكروني بالخضار Chicken Pasta with Vegetables</t>
  </si>
  <si>
    <t>مكروني بالخضار Pasta with Vegetables</t>
  </si>
  <si>
    <t>باستا مكروني بالخضار  Pasta with Vegetables</t>
  </si>
  <si>
    <t xml:space="preserve"> دجاج تشانجيزي  Changezi Chicken</t>
  </si>
  <si>
    <t>داوود باشا  Daoud Basha</t>
  </si>
  <si>
    <t>Meat</t>
  </si>
  <si>
    <t xml:space="preserve">Moussaka Vegetables - خضار المسقعة </t>
  </si>
  <si>
    <t>meat before cooking</t>
  </si>
  <si>
    <t>meat after cooking</t>
  </si>
  <si>
    <t>meat after sauce</t>
  </si>
  <si>
    <t xml:space="preserve">Sauce of Moussaka Meat - صوص لحم المسقعة </t>
  </si>
  <si>
    <t>لحم اوريانتل   Laham Oriental</t>
  </si>
  <si>
    <t>This Meal need more Sauce than the 1/3 Rule</t>
  </si>
  <si>
    <t>Dipping Sauce</t>
  </si>
  <si>
    <t>Saleeq</t>
  </si>
  <si>
    <t>Chicken Saleeq - دجاج سليق</t>
  </si>
  <si>
    <t>Filling gm</t>
  </si>
  <si>
    <t xml:space="preserve">تشيكن سيزر - Chicken Caesar Salad  </t>
  </si>
  <si>
    <t xml:space="preserve">تشيكن سيزر - Chicken Caesar Salad </t>
  </si>
  <si>
    <t xml:space="preserve"> ساندوتش تشيكن فاهيتا - Chicken Fajita Sandwitch</t>
  </si>
  <si>
    <t>Mon - Thursd</t>
  </si>
  <si>
    <t>Oven Vegetables</t>
  </si>
  <si>
    <t xml:space="preserve">Oven Vegetables - خضار بالفرن </t>
  </si>
  <si>
    <t>Chicken Steak mixing</t>
  </si>
  <si>
    <t xml:space="preserve">This Meal follow the 1/1.15 Rule </t>
  </si>
  <si>
    <t>ستيك دجاج  Chicken Steak</t>
  </si>
  <si>
    <t>chicken</t>
  </si>
  <si>
    <t xml:space="preserve">Chicken Mushroom </t>
  </si>
  <si>
    <t xml:space="preserve">For Every 150 gm we Add on top 75gm </t>
  </si>
  <si>
    <t>Pure Protein Play - Rich Meal</t>
  </si>
  <si>
    <t>Mashroom</t>
  </si>
  <si>
    <t>Stroganoff Pasta for Beef</t>
  </si>
  <si>
    <t xml:space="preserve">Stroganoff Beef - ستروغانوف لحم </t>
  </si>
  <si>
    <t xml:space="preserve">Self Saturated </t>
  </si>
  <si>
    <t>Stroganoff sauce for pasta</t>
  </si>
  <si>
    <t>Pasta fusilli - مكرونة مبرومة</t>
  </si>
  <si>
    <t xml:space="preserve">Stroganoff Pasta -ستروغانوف باستا </t>
  </si>
  <si>
    <t xml:space="preserve"> Self Saturated </t>
  </si>
  <si>
    <t xml:space="preserve">Beef Amansi بيف امانسي   </t>
  </si>
  <si>
    <t xml:space="preserve">Chicken Tikka دجاج تكا </t>
  </si>
  <si>
    <t xml:space="preserve">Safety </t>
  </si>
  <si>
    <t>Total Without Safety Factor</t>
  </si>
  <si>
    <t>when we mix thr meet with the sauce it absorb it</t>
  </si>
  <si>
    <t xml:space="preserve">Laham Fasooliya  فاصوليا لحم </t>
  </si>
  <si>
    <t>Edam</t>
  </si>
  <si>
    <t>Orzo Pasta أورزو باستا</t>
  </si>
  <si>
    <t>Chicken Makloba - مقلوبة دجاج</t>
  </si>
  <si>
    <t>Zucchini Cooking Yield</t>
  </si>
  <si>
    <t>Potato Cooking Yield</t>
  </si>
  <si>
    <t>Carrot Cooking Yield</t>
  </si>
  <si>
    <t>Maklouba Veggi - خضار مقلوبة</t>
  </si>
  <si>
    <t>Cooking</t>
  </si>
  <si>
    <t>Before</t>
  </si>
  <si>
    <t>After</t>
  </si>
  <si>
    <t>For 1 KG Out Put</t>
  </si>
  <si>
    <t>كمية غرف الخضار للمقلوبة</t>
  </si>
  <si>
    <t>Maklouba - مقلوبة</t>
  </si>
  <si>
    <t>Veggi</t>
  </si>
  <si>
    <t>الوزن بدون كمية الأمان</t>
  </si>
  <si>
    <t>140 gm</t>
  </si>
  <si>
    <t xml:space="preserve"> ساندوتش تشيكن باربيكيو - BBQ Chicken Sandwitch</t>
  </si>
  <si>
    <t>Sriracha Chicken دجاج سيراتشا</t>
  </si>
  <si>
    <t>Extra Self Saturated Meal</t>
  </si>
  <si>
    <t xml:space="preserve">Butter Chicken دجاج هندي بالزبدة </t>
  </si>
  <si>
    <t xml:space="preserve">Meat Kebab كباب اللحم </t>
  </si>
  <si>
    <t>The Sauce will be counted for each of (upper) and (Lower) Sauce</t>
  </si>
  <si>
    <t>Kebab Hindi كباب هندى</t>
  </si>
  <si>
    <t>Kebab</t>
  </si>
  <si>
    <t xml:space="preserve">topping </t>
  </si>
  <si>
    <t>4kg Chicken</t>
  </si>
  <si>
    <t>1.50 KG cheddar</t>
  </si>
  <si>
    <t>1KG</t>
  </si>
  <si>
    <t>4Kg total with meat</t>
  </si>
  <si>
    <t>14KG Protein raw</t>
  </si>
  <si>
    <t xml:space="preserve">10 KG cooked </t>
  </si>
  <si>
    <t>4KG sauce then added</t>
  </si>
  <si>
    <t xml:space="preserve">Lahm Bolognese لحم بولونيز </t>
  </si>
  <si>
    <t>صوص بشاميل لازانيا - Lasagne Bachamel</t>
  </si>
  <si>
    <t>Pasta Lasagna Sheets - شرائح لازانيا باستا</t>
  </si>
  <si>
    <t>Batch 6</t>
  </si>
  <si>
    <t>Batch 7</t>
  </si>
  <si>
    <t>Update</t>
  </si>
  <si>
    <t>Beef Lasagne  - لحم لازانيا</t>
  </si>
  <si>
    <t>Safty</t>
  </si>
  <si>
    <t>Beef Lasagne  -  لحم لازانيا</t>
  </si>
  <si>
    <t>Biukhary</t>
  </si>
  <si>
    <t>Beef Boukhary - بخاري لحم</t>
  </si>
  <si>
    <t>For 10KG Protine output</t>
  </si>
  <si>
    <t>Beef Philly Cheesesteak - ساندوتش فيلادلفيا لحم</t>
  </si>
  <si>
    <t>Vegetables</t>
  </si>
  <si>
    <t>Pink Chicken دجاج بكريمة الطماطم</t>
  </si>
  <si>
    <t xml:space="preserve">Ginger Chicken </t>
  </si>
  <si>
    <t>Ginger Chicken دجاج بالزنجبيل</t>
  </si>
  <si>
    <t>PreCooked Quantity  (1kg Yield)</t>
  </si>
  <si>
    <t>Linear Scaled Amount - Precooked quantity</t>
  </si>
  <si>
    <t>French Meatball كرات اللحم الفرنسية</t>
  </si>
  <si>
    <t>Singapore Chicken  دجاج سنغافورى</t>
  </si>
  <si>
    <t xml:space="preserve">This Meal is Pure Protine with no Mixxing, only Small Topping </t>
  </si>
  <si>
    <t>we need to weight the Sauce for each plate</t>
  </si>
  <si>
    <t xml:space="preserve">Fill the Yeloow Row and take a pic for 1) Topping 2) Safty </t>
  </si>
  <si>
    <t>Fish with Shabat and Lemon   سمك بالشبت و الليمون</t>
  </si>
  <si>
    <t>Fish</t>
  </si>
  <si>
    <t>Cinnamon whole - قرفة أعواد</t>
  </si>
  <si>
    <t>Chicken Molokeya ملوخية دجاج</t>
  </si>
  <si>
    <t>Charcol</t>
  </si>
  <si>
    <t>Onion - بصل  Chopped</t>
  </si>
  <si>
    <t>Garlic - ثوم Chopped</t>
  </si>
  <si>
    <t>Ginger - زنجبيل Chopped</t>
  </si>
  <si>
    <t>Coriander Leaves - كزبرة خضراء Chopped</t>
  </si>
  <si>
    <t>after cooking cames 800 g,total 7 sandwich</t>
  </si>
  <si>
    <t xml:space="preserve">Beef Kebab sandwich  - ساندوتش كباب لحم </t>
  </si>
  <si>
    <t>Beef Count</t>
  </si>
  <si>
    <t>Beef Kabli- كابلي لحم</t>
  </si>
  <si>
    <t>Octa Poki Bowl</t>
  </si>
  <si>
    <t>Octa Poki Bowl -  أوكتا بوكى بول</t>
  </si>
  <si>
    <t>Octa Poki Bowl - أوكتا بوكى بول</t>
  </si>
  <si>
    <t>Frozen Green Peas - بازلاء خضراء مجمده</t>
  </si>
  <si>
    <t>معلبات و مجمدات</t>
  </si>
  <si>
    <t>Red Cabbage - ملفوف أحمر</t>
  </si>
  <si>
    <t>Carrot Cooking Method</t>
  </si>
  <si>
    <t>Base Recipe  1 Sandwich</t>
  </si>
  <si>
    <t>Total Chicken - الدجاج الكلي</t>
  </si>
  <si>
    <t>Chicken 65 - دجاج 65</t>
  </si>
  <si>
    <t>Total beef - اللحم الكلي</t>
  </si>
  <si>
    <t>Worcestershire sauce - صوص الورشيستر</t>
  </si>
  <si>
    <t>Top Side - توب سايد مفروم</t>
  </si>
  <si>
    <t>Octa Poki Bowl- اوكتا بوكى بول</t>
  </si>
  <si>
    <t>Pizza Chicken دجاج بيتزا</t>
  </si>
  <si>
    <t>Butchery Protein Order — Auto-Generated</t>
  </si>
  <si>
    <t>Meal Name</t>
  </si>
  <si>
    <t>Protein Ingredient</t>
  </si>
  <si>
    <t>Weight (grams)</t>
  </si>
  <si>
    <t>Weight (KG)</t>
  </si>
  <si>
    <t>Kabsah Laham</t>
  </si>
  <si>
    <t>تشيكن سيزر - Chicken Caesar Salad</t>
  </si>
  <si>
    <t>PROTEIN SUMMARY</t>
  </si>
  <si>
    <t>Total KG Needed</t>
  </si>
  <si>
    <t>22 Packet pasta = 9900</t>
  </si>
  <si>
    <t>after boiling 30800</t>
  </si>
  <si>
    <t>update = 36460</t>
  </si>
  <si>
    <t>Total Beef - اللحم الكلي</t>
  </si>
  <si>
    <t>Total Fish - السمك الكلي</t>
  </si>
  <si>
    <t>Chinese Chicken - دجاج صيني</t>
  </si>
  <si>
    <t>Cooked Pasta</t>
  </si>
  <si>
    <t>Un Cooked Pasta</t>
  </si>
  <si>
    <t>Pasta Cooked for 10 KG Sauce Batch</t>
  </si>
  <si>
    <t>Butchery</t>
  </si>
  <si>
    <t>Fettuccine Pasta - مكرونة فيتوتشيني</t>
  </si>
  <si>
    <t>Rice GM</t>
  </si>
  <si>
    <t xml:space="preserve">Required </t>
  </si>
  <si>
    <r>
      <t xml:space="preserve">Scaled Amount Post Conversion Factor 
</t>
    </r>
    <r>
      <rPr>
        <b/>
        <sz val="12"/>
        <color rgb="FFFFFFFF"/>
        <rFont val="Calibri"/>
        <family val="2"/>
        <scheme val="minor"/>
      </rPr>
      <t>كميات التحضير من فريق طوكيو</t>
    </r>
  </si>
  <si>
    <t>Pasta Cooking Yield</t>
  </si>
  <si>
    <t>Pasta Penne - مكرونة أقلام</t>
  </si>
  <si>
    <t>Pasta Orzo - مكرونة لسان عصفور</t>
  </si>
  <si>
    <t xml:space="preserve">Spaghetti pasta - مكرونة إسباكتينى </t>
  </si>
  <si>
    <t>Pasta Spaghettini  - مكرونة اسباجيتي</t>
  </si>
  <si>
    <t>Spaghetti pasta - مكرونة سباجتى</t>
  </si>
  <si>
    <t xml:space="preserve">Chicken Mushroom دجاج بالفطر   </t>
  </si>
  <si>
    <t>Spaghetti pasta</t>
  </si>
  <si>
    <t>Spaghetti pasta (2)</t>
  </si>
  <si>
    <t>Spaghetti pasta (3)</t>
  </si>
  <si>
    <t>Coating efficiency</t>
  </si>
  <si>
    <t>مكرونة</t>
  </si>
  <si>
    <t>Sweet Corn - ذرة حلوة</t>
  </si>
  <si>
    <t>Red Kidney Beans - فاصوليا حمراء</t>
  </si>
  <si>
    <t>Conv. Factor</t>
  </si>
  <si>
    <t>Base (5kg)</t>
  </si>
  <si>
    <t>Mexican Vegetables - خضار مكسيكي</t>
  </si>
  <si>
    <t>Base Recipe (5kg Yield)</t>
  </si>
  <si>
    <t>7 KG output</t>
  </si>
  <si>
    <t>Chicken Stock - مرق دجاج</t>
  </si>
  <si>
    <t>Green Beans - فاصوليا خضراء</t>
  </si>
  <si>
    <t xml:space="preserve">Sigapore Vegetables Rice   -  خضار رز سنغافورى </t>
  </si>
  <si>
    <t>Total veggi</t>
  </si>
  <si>
    <t>Jollof Sauce - صوص جولوف</t>
  </si>
  <si>
    <t xml:space="preserve">  </t>
  </si>
  <si>
    <t>Total Count</t>
  </si>
  <si>
    <t>Jollof Sauce</t>
  </si>
  <si>
    <t>Sigapore Vegetables</t>
  </si>
  <si>
    <t>Mexican Vegetables</t>
  </si>
  <si>
    <t xml:space="preserve">   </t>
  </si>
  <si>
    <t>Total (KG)</t>
  </si>
  <si>
    <t>Fresh Cream (Qishta)- قشطة</t>
  </si>
  <si>
    <t>Base Recipe (15kg Yield)</t>
  </si>
  <si>
    <t xml:space="preserve">Filling and sauce </t>
  </si>
  <si>
    <t>Count</t>
  </si>
  <si>
    <t>Pasta GM</t>
  </si>
  <si>
    <t>Chicken Saleeq</t>
  </si>
  <si>
    <t>Chicken Mandi</t>
  </si>
  <si>
    <t>Indian Meat Alana - لحم هندي ألانا</t>
  </si>
  <si>
    <t>Chicken Club Sandwich</t>
  </si>
  <si>
    <t>Indian Meat Tammam Mafroom - مفروم هندي</t>
  </si>
  <si>
    <t>.</t>
  </si>
  <si>
    <t>مكس (بصل\ زبيب\ كاجو)</t>
  </si>
  <si>
    <t>Update Weight</t>
  </si>
  <si>
    <t>Day No.</t>
  </si>
  <si>
    <t>Safthy</t>
  </si>
  <si>
    <t>دجاج بالكاري</t>
  </si>
  <si>
    <t>المكرونة</t>
  </si>
  <si>
    <t>خضار سوتيه</t>
  </si>
  <si>
    <t>كبسة لحم</t>
  </si>
  <si>
    <t>-</t>
  </si>
  <si>
    <t>بيف شيلي دراي</t>
  </si>
  <si>
    <t>خضار سوتيه 🌶</t>
  </si>
  <si>
    <t>البطاطس المهروسة 🌶</t>
  </si>
  <si>
    <t>بان فرايد فش</t>
  </si>
  <si>
    <t>أرز الصيادية</t>
  </si>
  <si>
    <t>بامية لحم</t>
  </si>
  <si>
    <t>الأرز بالزعفران</t>
  </si>
  <si>
    <t>دجاج صيني</t>
  </si>
  <si>
    <t>الأرز الأبيض</t>
  </si>
  <si>
    <t>دجاج بالأعشاب</t>
  </si>
  <si>
    <t>البطاطا</t>
  </si>
  <si>
    <t>مندي دجاج</t>
  </si>
  <si>
    <t>ساندوتش الدجاج الآسيوي بخبز الشوفان</t>
  </si>
  <si>
    <t>دجاج ألفريدو</t>
  </si>
  <si>
    <t>دجاج 65 الهندي الحار</t>
  </si>
  <si>
    <t>الأرز الأبيض 🌶</t>
  </si>
  <si>
    <t>مختوم لحم</t>
  </si>
  <si>
    <t>أسياخ دجاج الباربكيو</t>
  </si>
  <si>
    <t>أرز جولوف</t>
  </si>
  <si>
    <t>دجاج بكريمة جوز الهند</t>
  </si>
  <si>
    <t>زربيان لحم</t>
  </si>
  <si>
    <t>برجر لحم</t>
  </si>
  <si>
    <t>ساندوتش الدجاج بالفلفل الرومي</t>
  </si>
  <si>
    <t>دجاج باللوز في الفرن</t>
  </si>
  <si>
    <t>بطاطس ويدجز</t>
  </si>
  <si>
    <t>دجاج مكروني بالخضار</t>
  </si>
  <si>
    <t>دجاج تشانجيزي</t>
  </si>
  <si>
    <t>داوود باشا</t>
  </si>
  <si>
    <t>بطاطس مهروسة</t>
  </si>
  <si>
    <t>مسقعة اللحم عالية البروتين</t>
  </si>
  <si>
    <t>لحم أوريانتل</t>
  </si>
  <si>
    <t>الأرز بالمكسرات</t>
  </si>
  <si>
    <t>سليق دجاج</t>
  </si>
  <si>
    <t>ساندوتش فاهيتا الدجاج بخبز الشوفان</t>
  </si>
  <si>
    <t>ساندوتش الدجاج المشوي</t>
  </si>
  <si>
    <t>ستيك دجاج</t>
  </si>
  <si>
    <t>البطاطس المهروسة</t>
  </si>
  <si>
    <t>دجاج بالفطر</t>
  </si>
  <si>
    <t>ستروجانوف باستا</t>
  </si>
  <si>
    <t>بيف أمانسي</t>
  </si>
  <si>
    <t>دجاج تكا</t>
  </si>
  <si>
    <t>الأرز البرياني</t>
  </si>
  <si>
    <t>فاصولياء بيضاء باللحم</t>
  </si>
  <si>
    <t>لسان العصفور</t>
  </si>
  <si>
    <t>أوكتا بوكي بول الدجاج</t>
  </si>
  <si>
    <t>الأرز المصري بالزعفران</t>
  </si>
  <si>
    <t>مقلوبة دجاج</t>
  </si>
  <si>
    <t>ساندوتش الدجاج بالباربيكيو بخبز الشيباتا</t>
  </si>
  <si>
    <t>ساندوتش اللحم الكلاسيكي</t>
  </si>
  <si>
    <t>دجاج سيراتشا</t>
  </si>
  <si>
    <t>الأرز بالخضار 🌶</t>
  </si>
  <si>
    <t>دجاج هندي بالزبدة</t>
  </si>
  <si>
    <t>دجاج البيتزا</t>
  </si>
  <si>
    <t>الأرز بالزعفران🌶</t>
  </si>
  <si>
    <t>كباب اللحم</t>
  </si>
  <si>
    <t>الأرز المشكل</t>
  </si>
  <si>
    <t>كباب هندي</t>
  </si>
  <si>
    <t>لازانيا لحم عالية البروتين</t>
  </si>
  <si>
    <t>لحم بولونيز</t>
  </si>
  <si>
    <t>بخاري لحم</t>
  </si>
  <si>
    <t>ساندوتش فيلادلفيا لحم بخبز الشوفان</t>
  </si>
  <si>
    <t>Quantity for 1 Portion - الكمية للصحن</t>
  </si>
  <si>
    <t xml:space="preserve">Count - العدد </t>
  </si>
  <si>
    <t>كميات التحضير من فريق طوكيو-Tokyo Amount need</t>
  </si>
  <si>
    <t>Beef Zurbian - زربيان لحم</t>
  </si>
  <si>
    <t xml:space="preserve">Beef Zurbian Garnish - الزينة لحم زربيان </t>
  </si>
  <si>
    <t xml:space="preserve">Chinese Chicken Garnish - الزينة دجاج صيني   </t>
  </si>
  <si>
    <t>الزينة دجاج بالأعشاب Garnish Herbal Chicken</t>
  </si>
  <si>
    <t>Garnish Chicken Mandi - الزينة مندي دجاج</t>
  </si>
  <si>
    <t>Garnish Curry chicken الزينة دجاج بالكارى</t>
  </si>
  <si>
    <t>Garnish Kabsa Lahm - الزينة كبسة لحم</t>
  </si>
  <si>
    <t>الزينة بان فرايد فيش  Garnish Pan Fried Fish</t>
  </si>
  <si>
    <t>الزينة بيف شيلى دراى  Garnish Beef Chilli Dry</t>
  </si>
  <si>
    <t>الزينة بامية لحم  Garnish Meat with Bamiya</t>
  </si>
  <si>
    <t>بامية لحم  Meat with Bamiya</t>
  </si>
  <si>
    <t>الزينة دجاج الفريدو  Garnish Chicken Alfredo</t>
  </si>
  <si>
    <t>الزينة دجاج 65 - Garnish Chicken 65</t>
  </si>
  <si>
    <t>الزينة مختوم لحم Garnish Mkhtoum Lahm</t>
  </si>
  <si>
    <t>Garnish Almond Chicken - الزينة دجاج اللوز</t>
  </si>
  <si>
    <t>الزينة دجاج تشانجيزى - Garnish Changezi chicken</t>
  </si>
  <si>
    <t>Garnish Daoud Basha - الزينة داوود باشا</t>
  </si>
  <si>
    <t>Garnish Moussaka - الزينة مسقعة</t>
  </si>
  <si>
    <t>الزينة لحم أورينتال - Garnish Lahm Oriental</t>
  </si>
  <si>
    <t>ساندوتش دجاج أوصال</t>
  </si>
  <si>
    <t>Total Grams</t>
  </si>
  <si>
    <t>Meal name</t>
  </si>
  <si>
    <t>ساندوتش الكباب</t>
  </si>
  <si>
    <t>دجاج بكريمة الطماطم</t>
  </si>
  <si>
    <t>الأرز المكسيكي</t>
  </si>
  <si>
    <t>دجاج بالزنجبيل</t>
  </si>
  <si>
    <t>كرات اللحم الفرنسية</t>
  </si>
  <si>
    <t>مكرونة سباغيتي</t>
  </si>
  <si>
    <t>دجاج سنغافوري</t>
  </si>
  <si>
    <t>الأرز بالخضار</t>
  </si>
  <si>
    <t>سمك بالشبت والليمون</t>
  </si>
  <si>
    <t>ملوخية الدجاج</t>
  </si>
  <si>
    <t>كابلي لحم</t>
  </si>
  <si>
    <t>ساندوتش كباب لحم</t>
  </si>
  <si>
    <t>سلطة السيزر</t>
  </si>
  <si>
    <t xml:space="preserve">ستيك دجاج إضافى  Chicken Steak Topping </t>
  </si>
  <si>
    <t>Garnish Mandi - الزينة مندى</t>
  </si>
  <si>
    <t>الزينة دجاج ستيك - Garnish Chicken Steak</t>
  </si>
  <si>
    <t>Garnich Chicken Muchroom - الزينة دجاج مشروم</t>
  </si>
  <si>
    <t>الزينة ستوغانوف بيف - Garnish Stroganoff Beef</t>
  </si>
  <si>
    <t>Garnish Beef Amansi - الزينة بيف امانسي</t>
  </si>
  <si>
    <t>الزينة دجاج تيكا - Garnish Chicken Tikka</t>
  </si>
  <si>
    <t>Garnish Lahm Fasooliya - الزينة لحم فاصوليا</t>
  </si>
  <si>
    <t xml:space="preserve">Garnish Sriracha Chicken - الزينة دجاج سيراتشا </t>
  </si>
  <si>
    <t xml:space="preserve">الزينة دجاج هندى بالزبدة - Garnish butter Chicken </t>
  </si>
  <si>
    <t>الزينة كباب هندى - Garnish Kabab Hindi</t>
  </si>
  <si>
    <t>Garnish Lahm Bolognese - الزينة لحم بولونيز</t>
  </si>
  <si>
    <t>الزينة لحم بخارى - Garnish Beef Boukhary</t>
  </si>
  <si>
    <t>Garnish Pink Chicken - الزينة لدجاج بالكريمه</t>
  </si>
  <si>
    <t>الزينة لدجاج بالزنجبيل - Garnish Ginger Chicken</t>
  </si>
  <si>
    <t>Garnish French Meat Balls - الزينة لكرات اللحم الفرنسيه</t>
  </si>
  <si>
    <t>الزينة دجاج سنغافورى - Garnish Singapore Chicken</t>
  </si>
  <si>
    <t>Garnish Beef Kabli - الزينة لحم كابلى</t>
  </si>
  <si>
    <t>The skewing is not standarized for this meal, which results in receiving uneven cooked protein portions, we need to standarized skewing quantity to enable 100 gm protein per sandwich</t>
  </si>
  <si>
    <t>The amount of fat used was not following Tokyo and they used 2 KG for 25 Kg of meat , which is 7% Vs 20% in Tokyo</t>
  </si>
  <si>
    <t>Protein + Mix</t>
  </si>
  <si>
    <t>one boiing and one for sauce we  merge them - it cotains ingredient of boiling and sauce</t>
  </si>
  <si>
    <t>Boiling</t>
  </si>
  <si>
    <t xml:space="preserve">Today we need Alferdo pasta 31190.and we received raw pasta 21 pkt .after we received Quantity In Tokyo Alferdo sauce 13 kg something.so we need 19314 Cook pasta and 12876 Alferdo sauce </t>
  </si>
  <si>
    <t>We need total Alferdo pasta with sauce - 32190 gm.</t>
  </si>
  <si>
    <t xml:space="preserve">So now we need total Raw  fettuccini pasta </t>
  </si>
  <si>
    <t>16 pkt. After cooking it comes - 19200.+ We also add Alferdo sauce 12876 Total weight after mixing.i</t>
  </si>
  <si>
    <t xml:space="preserve">Total weight of Fettuccini Alferdo pasta </t>
  </si>
  <si>
    <t>32 kg Approx</t>
  </si>
  <si>
    <t xml:space="preserve">And I got 21 pkt raw pasta in Tokyo it means </t>
  </si>
  <si>
    <t>After boiling it will be - 25200.we need in Tokyo 19314 boil pasta.</t>
  </si>
  <si>
    <t>Pasta + Mix</t>
  </si>
  <si>
    <t>الزينة أوكتا بوكي بول - Garnish Poki Bowl</t>
  </si>
  <si>
    <t>Curly Parsley - بقدونس مجعد</t>
  </si>
  <si>
    <t>Ingredient - الأصناف</t>
  </si>
  <si>
    <t>Asian Potato Cubes</t>
  </si>
  <si>
    <t>Burger Potato Wedges</t>
  </si>
  <si>
    <t xml:space="preserve">Burger Potato Wedges -برجر بطاطس ويدجز </t>
  </si>
  <si>
    <t>Base Recipe (30kg Yield)</t>
  </si>
  <si>
    <t>Oriental Beef for Rice - صوص لحمة شرقية</t>
  </si>
  <si>
    <t>Base Recipe (5kg Yield) — الوصفة الأساسية (إنتاج 5 كجم)</t>
  </si>
  <si>
    <t>Oriental Beef Rice -  صوص لحمة شرقية</t>
  </si>
  <si>
    <t>Black pepper whole - فلفل أسود حب</t>
  </si>
  <si>
    <t>Rice Percent</t>
  </si>
  <si>
    <t xml:space="preserve">الزينة دجاج مكرونى بالخضار Garnish Chicken Pasta with Vegetables </t>
  </si>
  <si>
    <t>Beef Oriental rice</t>
  </si>
  <si>
    <t>Hummus Peas - حمص</t>
  </si>
  <si>
    <t>Nigella Seeds - حبة البركة</t>
  </si>
  <si>
    <t>Tomato Paste - صلصة طماطم</t>
  </si>
  <si>
    <t>Frozen Molokeya - ملوخية مجمدة</t>
  </si>
  <si>
    <t>Frozen Okra - بامية مجمدة</t>
  </si>
  <si>
    <t>Pine Nuts - صنوبر</t>
  </si>
  <si>
    <t>Grated Almond - لوز مبشور</t>
  </si>
  <si>
    <t>Total Pasta</t>
  </si>
  <si>
    <t xml:space="preserve">Total Potato </t>
  </si>
  <si>
    <t>Total Veggi</t>
  </si>
  <si>
    <t>Total Potato</t>
  </si>
  <si>
    <t>Total Veggie</t>
  </si>
  <si>
    <t xml:space="preserve">Asian Potato Cubes - بطاطس مكعبات الآسيوي </t>
  </si>
  <si>
    <t>Total Potatos</t>
  </si>
  <si>
    <t>Order Base Unit وحدة الطلب الأساسية</t>
  </si>
  <si>
    <t>Order Unit وحدة الطلب</t>
  </si>
  <si>
    <t>Price of ordering unit سعر وحدة الطلب</t>
  </si>
  <si>
    <t>Cost Per KG or L السعر للكيلو او للتر</t>
  </si>
  <si>
    <t>2400 gram</t>
  </si>
  <si>
    <t>1600 Kg / Can</t>
  </si>
  <si>
    <t>10.8 KG/Carton</t>
  </si>
  <si>
    <t>2724 Kg / Carton</t>
  </si>
  <si>
    <t>Chicken club sandwich</t>
  </si>
  <si>
    <t>كلوب ساندوتش بالدجاج</t>
  </si>
  <si>
    <t>Saturday</t>
  </si>
  <si>
    <t>Sunday</t>
  </si>
  <si>
    <t>Monday</t>
  </si>
  <si>
    <t>Tuesday</t>
  </si>
  <si>
    <t>Wednesday</t>
  </si>
  <si>
    <t>Thursday</t>
  </si>
  <si>
    <t>Kasuri Methi - ورق حلبة مجففة</t>
  </si>
  <si>
    <t>BBQ seasoning – توابل المشويات</t>
  </si>
  <si>
    <t>Parmesan Cheese Powder - بديل البارميزان</t>
  </si>
  <si>
    <t>Garlic - ثوم مقشر</t>
  </si>
  <si>
    <t>Fresh Coconut - جوز هند طازج</t>
  </si>
  <si>
    <t>Fresh Thyme - بذور الزعتر</t>
  </si>
  <si>
    <t>Basil - ريحان</t>
  </si>
  <si>
    <t>100 gm/Can</t>
  </si>
  <si>
    <t>12000 ML/Cartoon</t>
  </si>
  <si>
    <t>16650 L</t>
  </si>
  <si>
    <t>4800 Kg / Carton</t>
  </si>
  <si>
    <t>9600 Kg / Carton</t>
  </si>
  <si>
    <t>5448 KG/Carton</t>
  </si>
  <si>
    <t>10800 KG/Carton</t>
  </si>
  <si>
    <t>9600 KG/Carton</t>
  </si>
  <si>
    <t>2130 ml / Carton</t>
  </si>
  <si>
    <t>3108 ml /Carton</t>
  </si>
  <si>
    <t>15.12 L / Carton</t>
  </si>
  <si>
    <t>3540 ML/Carton</t>
  </si>
  <si>
    <t>8000 KG/Carton</t>
  </si>
  <si>
    <t>10,000 KG/Bag</t>
  </si>
  <si>
    <t>10,000 KG/Bundle</t>
  </si>
  <si>
    <t>12 Kg/Carton</t>
  </si>
  <si>
    <t>2400 Kg/Carton</t>
  </si>
  <si>
    <t>6480 L/Carton</t>
  </si>
  <si>
    <t>10,000 KG/Can</t>
  </si>
  <si>
    <t>905 g / Pack</t>
  </si>
  <si>
    <t>360 Egg/Carton</t>
  </si>
  <si>
    <t>Fresh Baby Spinach - سبانخ هولندي</t>
  </si>
  <si>
    <t>125 g / Box</t>
  </si>
  <si>
    <t>Mushroom - مشروم ابيض</t>
  </si>
  <si>
    <t>100 g/ pack</t>
  </si>
  <si>
    <t>Rosemary - روزميري مستورد</t>
  </si>
  <si>
    <t>Fresh Oregano -اوريغيانو هولندي</t>
  </si>
  <si>
    <t xml:space="preserve">Lemon Grass - ليمون جراس </t>
  </si>
  <si>
    <t xml:space="preserve">Kaffir Lime Leaves - ورق الليمون  </t>
  </si>
  <si>
    <t>Protein - بروتين</t>
  </si>
  <si>
    <t>Signature - التوقع</t>
  </si>
  <si>
    <t>الوحده - Unit</t>
  </si>
  <si>
    <t xml:space="preserve">الكميه - Quantity </t>
  </si>
  <si>
    <t>100 gm/Carton</t>
  </si>
  <si>
    <t>10 Kg / bag</t>
  </si>
  <si>
    <t>Can</t>
  </si>
  <si>
    <t>bag</t>
  </si>
  <si>
    <t>z</t>
  </si>
  <si>
    <t>c</t>
  </si>
  <si>
    <t>corn</t>
  </si>
  <si>
    <t>chnesew</t>
  </si>
  <si>
    <t>bell</t>
  </si>
  <si>
    <t>Marination</t>
  </si>
  <si>
    <t>before</t>
  </si>
  <si>
    <t>after</t>
  </si>
  <si>
    <t xml:space="preserve">خضار مشوية </t>
  </si>
  <si>
    <t xml:space="preserve">Grilled Vegetables </t>
  </si>
  <si>
    <t xml:space="preserve"> مكرونة سباجتى</t>
  </si>
  <si>
    <t xml:space="preserve">Spaghetti pasta </t>
  </si>
  <si>
    <t>Saftey</t>
  </si>
  <si>
    <t>Safty KG</t>
  </si>
  <si>
    <t>Garnishing</t>
  </si>
  <si>
    <t>Bread</t>
  </si>
  <si>
    <t xml:space="preserve">Protine Filling </t>
  </si>
  <si>
    <t>Cost/Unit</t>
  </si>
  <si>
    <t xml:space="preserve">Filling Others </t>
  </si>
  <si>
    <t># Unit</t>
  </si>
  <si>
    <t>Filling Others</t>
  </si>
  <si>
    <t>بطاطس ويدجز  بالأعشاب</t>
  </si>
  <si>
    <t>خضار بالبخار</t>
  </si>
  <si>
    <t>بطاطس ويدجز برجر</t>
  </si>
  <si>
    <t>بطاطس مكعبات الآسيوى</t>
  </si>
  <si>
    <t>خضار مشوى</t>
  </si>
  <si>
    <t>Potato wedges</t>
  </si>
  <si>
    <t>خضار بالفرن</t>
  </si>
  <si>
    <t>Parmesan Cheese - جبنة البارميزان</t>
  </si>
  <si>
    <t>b</t>
  </si>
  <si>
    <t>cab</t>
  </si>
  <si>
    <t>Breads</t>
  </si>
  <si>
    <t>Other Filling</t>
  </si>
  <si>
    <t>Edam Meat  - Self Saturated</t>
  </si>
  <si>
    <t xml:space="preserve">Mashrom </t>
  </si>
  <si>
    <t>Protine</t>
  </si>
  <si>
    <t xml:space="preserve"> GM</t>
  </si>
  <si>
    <t>الزينة ساندويتش كباب - Garnish Beef Kebab</t>
  </si>
  <si>
    <t>2 Kg extra Protein</t>
  </si>
  <si>
    <t>Garnish Pizza Chicken - الزينة دجاج بيتزا</t>
  </si>
  <si>
    <t>10 readings</t>
  </si>
  <si>
    <t>yield</t>
  </si>
  <si>
    <t>Whole Wheat Burger Buns 70gm - خبز برجر بني</t>
  </si>
  <si>
    <t>($R$22*0.512)*$R$1</t>
  </si>
  <si>
    <t>($T$22*0.512)*$R$1</t>
  </si>
  <si>
    <t>مخبوزات</t>
  </si>
  <si>
    <t>Cooking Method</t>
  </si>
  <si>
    <t>Cooking yield</t>
  </si>
  <si>
    <t>120 Piece / Carton</t>
  </si>
  <si>
    <t>week 1</t>
  </si>
  <si>
    <t>week2</t>
  </si>
  <si>
    <t>week 3</t>
  </si>
  <si>
    <t xml:space="preserve">july </t>
  </si>
  <si>
    <t>june</t>
  </si>
  <si>
    <t xml:space="preserve">approx </t>
  </si>
  <si>
    <t>2 KG less after cooking</t>
  </si>
  <si>
    <t xml:space="preserve">chicken meals </t>
  </si>
  <si>
    <t>Blankwet Fish</t>
  </si>
  <si>
    <t>سمك بلانكويت  Blankwet Fish</t>
  </si>
  <si>
    <t>سمك بالسبانخ والليمون</t>
  </si>
  <si>
    <t>سمك بلانكويت</t>
  </si>
  <si>
    <t>سمك بالكاري والكريمة</t>
  </si>
  <si>
    <t>Lemon Fish</t>
  </si>
  <si>
    <t>Curry Fish</t>
  </si>
  <si>
    <t>الزينة سمك بلانكويت  Garnish Blankwet Fish</t>
  </si>
  <si>
    <t xml:space="preserve">Lemon Fish -سمك بالسبانخ و الليمون </t>
  </si>
  <si>
    <t>الزينة سمك بالسبانخ و الليمون - Garnish Lemon Fish</t>
  </si>
  <si>
    <t>Curry Fish سمك بالكارى</t>
  </si>
  <si>
    <t>Garnish Curry Fish - الزينة سمك بالكارى</t>
  </si>
  <si>
    <t>Fish with cream</t>
  </si>
  <si>
    <t>سمك بالكريمة و البازلاء  Fish with cream</t>
  </si>
  <si>
    <t>سمك بالكريمة</t>
  </si>
  <si>
    <t xml:space="preserve">Garnish Fish with Cream - الزينة سمك بالكريمة </t>
  </si>
  <si>
    <t>Sliced cheese - جبنة شرائح</t>
  </si>
  <si>
    <t>Saffron yellow color powder - لون صفار زعفران بودر</t>
  </si>
  <si>
    <t>Whole Wheat Oat Sub Roll - صامولي اسمر شوفان 16 سم</t>
  </si>
  <si>
    <t>Whole Wheat Oat Ciabatta - شيباتا اسمر شوفان</t>
  </si>
  <si>
    <t>Meat 80%</t>
  </si>
  <si>
    <t>Fat 20%</t>
  </si>
  <si>
    <t>Beef Kebab sandwich  - ساندوتش كباب لحم</t>
  </si>
  <si>
    <t>56.5 KG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</si>
</sst>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5">
    <numFmt numFmtId="43" formatCode="_-* #,##0.00_-;\-* #,##0.00_-;_-* &quot;-&quot;??_-;_-@_-"/>
    <numFmt numFmtId="164" formatCode="_(* #,##0.00_);_(* \(#,##0.00\);_(* &quot;-&quot;??_);_(@_)"/>
    <numFmt numFmtId="165" formatCode="_ * #,##0_ ;_ * \-#,##0_ ;_ * \-??_ ;_ @_ "/>
    <numFmt numFmtId="166" formatCode="_ * #,##0.00_ ;_ * \-#,##0.00_ ;_ * \-??_ ;_ @_ "/>
    <numFmt numFmtId="167" formatCode="_ * #,##0.0000_ ;_ * \-#,##0.0000_ ;_ * \-??_ ;_ @_ "/>
    <numFmt numFmtId="168" formatCode="0.0"/>
    <numFmt numFmtId="169" formatCode="_(* #,##0.00_);_(* \(#,##0.00\);_(* \-??_);_(@_)"/>
    <numFmt numFmtId="170" formatCode="0.000"/>
    <numFmt numFmtId="171" formatCode="0.0000"/>
    <numFmt numFmtId="172" formatCode="0.000%"/>
    <numFmt numFmtId="173" formatCode="_(* #,##0.000_);_(* \(#,##0.000\);_(* \-??_);_(@_)"/>
    <numFmt numFmtId="174" formatCode="0.0000%"/>
    <numFmt numFmtId="175" formatCode="_ * #,##0.000_ ;_ * \-#,##0.000_ ;_ * \-??_ ;_ @_ "/>
    <numFmt numFmtId="176" formatCode="_(* #,##0_);_(* \(#,##0\);_(* \-???_);_(@_)"/>
    <numFmt numFmtId="177" formatCode="_(* #,##0.000_);_(* \(#,##0.000\);_(* \-???_);_(@_)"/>
    <numFmt numFmtId="178" formatCode="_-* #,##0.00_-;\-* #,##0.00_-;_-* \-??_-;_-@_-"/>
    <numFmt numFmtId="179" formatCode="_(* #,##0.0_);_(* \(#,##0.0\);_(* \-??_);_(@_)"/>
    <numFmt numFmtId="180" formatCode="_(* #,##0.0_);_(* \(#,##0.0\);_(* \-?_);_(@_)"/>
    <numFmt numFmtId="181" formatCode="_(* #,##0_);_(* \(#,##0\);_(* \-??_);_(@_)"/>
    <numFmt numFmtId="182" formatCode="0.0%"/>
    <numFmt numFmtId="183" formatCode="_ * #,##0.0_ ;_ * \-#,##0.0_ ;_ * \-??_ ;_ @_ "/>
    <numFmt numFmtId="184" formatCode="0.00000%"/>
    <numFmt numFmtId="185" formatCode="0.000000%"/>
    <numFmt numFmtId="186" formatCode="#,##0.000"/>
    <numFmt numFmtId="187" formatCode="_ * #,##0_ ;_ * \-#,##0_ ;_ * &quot;-&quot;??_ ;_ @_ "/>
    <numFmt numFmtId="188" formatCode="_ * #,##0.000_ ;_ * \-#,##0.000_ ;_ * &quot;-&quot;??_ ;_ @_ "/>
    <numFmt numFmtId="189" formatCode="_ * #,##0.00_ ;_ * \-#,##0.00_ ;_ * &quot;-&quot;??_ ;_ @_ "/>
    <numFmt numFmtId="190" formatCode="_-* #,##0.000_-;\-* #,##0.000_-;_-* &quot;-&quot;???_-;_-@_-"/>
    <numFmt numFmtId="191" formatCode="#,##0.0&quot; gm&quot;"/>
    <numFmt numFmtId="192" formatCode="_(* #,##0.0000_);_(* \(#,##0.0000\);_(* \-??_);_(@_)"/>
    <numFmt numFmtId="193" formatCode="_(* #,##0.0_);_(* \(#,##0.0\);_(* \-???_);_(@_)"/>
    <numFmt numFmtId="194" formatCode="_-* #,##0_-;\-* #,##0_-;_-* &quot;-&quot;??_-;_-@_-"/>
    <numFmt numFmtId="195" formatCode="_(* #,##0.0000_);_(* \(#,##0.0000\);_(* &quot;-&quot;??_);_(@_)"/>
    <numFmt numFmtId="196" formatCode="_(* #,##0_);_(* \(#,##0\);_(* &quot;-&quot;??_);_(@_)"/>
    <numFmt numFmtId="197" formatCode="_-* #,##0.0_-;\-* #,##0.0_-;_-* &quot;-&quot;?_-;_-@_-"/>
    <numFmt numFmtId="198" formatCode="0.000000"/>
    <numFmt numFmtId="199" formatCode="0.00000"/>
    <numFmt numFmtId="200" formatCode="_(* #,##0.000_);_(* \(#,##0.000\);_(* &quot;-&quot;???_);_(@_)"/>
    <numFmt numFmtId="201" formatCode="_(* #,##0.0_);_(* \(#,##0.0\);_(* &quot;-&quot;?_);_(@_)"/>
    <numFmt numFmtId="202" formatCode="0.0000000000"/>
    <numFmt numFmtId="203" formatCode="_(* #,##0.000000_);_(* \(#,##0.000000\);_(* \-??_);_(@_)"/>
    <numFmt numFmtId="204" formatCode="_(* #,##0.00000_);_(* \(#,##0.00000\);_(* &quot;-&quot;??_);_(@_)"/>
    <numFmt numFmtId="205" formatCode="0.000000000000000000%"/>
    <numFmt numFmtId="206" formatCode="0.00000000"/>
    <numFmt numFmtId="207" formatCode="_ * #,##0.00000_ ;_ * \-#,##0.00000_ ;_ * \-??_ ;_ @_ "/>
  </numFmts>
  <fonts count="88"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sz val="10"/>
      <color rgb="FF000000"/>
      <name val="Arial"/>
      <family val="2"/>
    </font>
    <font>
      <sz val="10"/>
      <color rgb="FF000000"/>
      <name val="Arial"/>
      <family val="2"/>
      <charset val="1"/>
    </font>
    <font>
      <sz val="11"/>
      <color theme="1"/>
      <name val="Arial"/>
      <family val="2"/>
      <charset val="1"/>
    </font>
    <font>
      <b/>
      <sz val="11"/>
      <color theme="1"/>
      <name val="Arial"/>
      <family val="2"/>
    </font>
    <font>
      <b/>
      <sz val="16"/>
      <color rgb="FFFF99CC"/>
      <name val="ADLaM Display"/>
    </font>
    <font>
      <b/>
      <sz val="11"/>
      <name val="Arial"/>
      <family val="2"/>
    </font>
    <font>
      <b/>
      <sz val="11"/>
      <color theme="0"/>
      <name val="Arial"/>
      <family val="2"/>
    </font>
    <font>
      <sz val="11"/>
      <color theme="0"/>
      <name val="Arial"/>
      <family val="2"/>
    </font>
    <font>
      <sz val="10"/>
      <color theme="1"/>
      <name val="Arial"/>
      <family val="2"/>
    </font>
    <font>
      <sz val="11"/>
      <color rgb="FFFF0000"/>
      <name val="Arial"/>
      <family val="2"/>
    </font>
    <font>
      <b/>
      <sz val="11"/>
      <color theme="1"/>
      <name val="Arial"/>
      <family val="2"/>
      <charset val="1"/>
    </font>
    <font>
      <b/>
      <sz val="11"/>
      <name val="Arial"/>
      <family val="2"/>
      <charset val="1"/>
    </font>
    <font>
      <sz val="11"/>
      <color theme="0"/>
      <name val="Arial"/>
      <family val="2"/>
      <charset val="1"/>
    </font>
    <font>
      <b/>
      <sz val="11"/>
      <color rgb="FF000000"/>
      <name val="Arial"/>
      <family val="2"/>
    </font>
    <font>
      <sz val="10"/>
      <color theme="0"/>
      <name val="Arial"/>
      <family val="2"/>
    </font>
    <font>
      <b/>
      <sz val="10"/>
      <color theme="1"/>
      <name val="Arial"/>
      <family val="2"/>
    </font>
    <font>
      <b/>
      <sz val="10"/>
      <color theme="0"/>
      <name val="Arial"/>
      <family val="2"/>
    </font>
    <font>
      <b/>
      <sz val="12"/>
      <color theme="0"/>
      <name val="Arial"/>
      <family val="2"/>
    </font>
    <font>
      <b/>
      <sz val="10"/>
      <color rgb="FF000000"/>
      <name val="Arial"/>
      <family val="2"/>
    </font>
    <font>
      <sz val="10"/>
      <name val="Arial"/>
      <family val="2"/>
    </font>
    <font>
      <sz val="10"/>
      <color rgb="FFFF0000"/>
      <name val="Arial"/>
      <family val="2"/>
    </font>
    <font>
      <b/>
      <sz val="14"/>
      <color rgb="FFFFFFFF"/>
      <name val="Arial"/>
      <family val="2"/>
    </font>
    <font>
      <b/>
      <sz val="16"/>
      <color theme="1"/>
      <name val="Arial"/>
      <family val="2"/>
    </font>
    <font>
      <b/>
      <sz val="14"/>
      <color theme="0"/>
      <name val="Arial"/>
      <family val="2"/>
    </font>
    <font>
      <sz val="11"/>
      <name val="Arial"/>
      <family val="2"/>
    </font>
    <font>
      <b/>
      <sz val="8"/>
      <color theme="0"/>
      <name val="Arial"/>
      <family val="2"/>
    </font>
    <font>
      <sz val="8"/>
      <color theme="0"/>
      <name val="Arial"/>
      <family val="2"/>
    </font>
    <font>
      <b/>
      <sz val="8"/>
      <color rgb="FF000000"/>
      <name val="Arial"/>
      <family val="2"/>
    </font>
    <font>
      <b/>
      <sz val="10"/>
      <color rgb="FFFF0000"/>
      <name val="Arial"/>
      <family val="2"/>
    </font>
    <font>
      <sz val="18"/>
      <color rgb="FF000000"/>
      <name val="Arial"/>
      <family val="2"/>
    </font>
    <font>
      <b/>
      <sz val="9"/>
      <color theme="1"/>
      <name val="Arial"/>
      <family val="2"/>
    </font>
    <font>
      <sz val="11"/>
      <color theme="1"/>
      <name val="Arial"/>
      <family val="2"/>
    </font>
    <font>
      <b/>
      <sz val="13"/>
      <color theme="1"/>
      <name val="Arial"/>
      <family val="2"/>
    </font>
    <font>
      <sz val="10"/>
      <color rgb="FF000000"/>
      <name val="Calibri"/>
      <family val="2"/>
      <scheme val="minor"/>
    </font>
    <font>
      <sz val="10"/>
      <color theme="1"/>
      <name val="Calibri"/>
      <family val="2"/>
      <scheme val="minor"/>
    </font>
    <font>
      <b/>
      <sz val="12"/>
      <color theme="0"/>
      <name val="Calibri"/>
      <family val="2"/>
      <scheme val="minor"/>
    </font>
    <font>
      <b/>
      <sz val="10"/>
      <color theme="1"/>
      <name val="Calibri"/>
      <family val="2"/>
      <scheme val="minor"/>
    </font>
    <font>
      <b/>
      <sz val="10"/>
      <color rgb="FF000000"/>
      <name val="Calibri"/>
      <family val="2"/>
      <scheme val="minor"/>
    </font>
    <font>
      <sz val="11"/>
      <color theme="0"/>
      <name val="Calibri"/>
      <family val="2"/>
      <scheme val="minor"/>
    </font>
    <font>
      <b/>
      <sz val="12"/>
      <color rgb="FFFFFFFF"/>
      <name val="Calibri"/>
      <family val="2"/>
      <scheme val="minor"/>
    </font>
    <font>
      <sz val="10"/>
      <color rgb="FFFF0000"/>
      <name val="Calibri"/>
      <family val="2"/>
      <scheme val="minor"/>
    </font>
    <font>
      <sz val="11"/>
      <name val="Cambria"/>
      <family val="1"/>
    </font>
    <font>
      <b/>
      <sz val="9"/>
      <color rgb="FF000000"/>
      <name val="Arial"/>
      <family val="2"/>
    </font>
    <font>
      <sz val="9"/>
      <color rgb="FF000000"/>
      <name val="Arial"/>
      <family val="2"/>
    </font>
    <font>
      <sz val="10"/>
      <color theme="1" tint="0.499984740745262"/>
      <name val="Arial"/>
      <family val="2"/>
      <charset val="1"/>
    </font>
    <font>
      <sz val="10"/>
      <color theme="1"/>
      <name val="Arial"/>
      <family val="2"/>
      <charset val="1"/>
    </font>
    <font>
      <b/>
      <sz val="10"/>
      <color rgb="FF000000"/>
      <name val="Arial"/>
      <family val="2"/>
      <charset val="1"/>
    </font>
    <font>
      <b/>
      <sz val="14"/>
      <color rgb="FFFFFFFF"/>
      <name val="Arial"/>
      <family val="2"/>
      <charset val="1"/>
    </font>
    <font>
      <b/>
      <sz val="10"/>
      <color theme="1" tint="0.499984740745262"/>
      <name val="Arial"/>
      <family val="2"/>
      <charset val="1"/>
    </font>
    <font>
      <b/>
      <sz val="10"/>
      <color theme="1"/>
      <name val="Arial"/>
      <family val="2"/>
      <charset val="1"/>
    </font>
    <font>
      <b/>
      <sz val="9"/>
      <color rgb="FF375623"/>
      <name val="Arial"/>
      <family val="2"/>
    </font>
    <font>
      <b/>
      <sz val="11"/>
      <color rgb="FFFFFFFF"/>
      <name val="Arial"/>
      <family val="2"/>
    </font>
    <font>
      <sz val="10"/>
      <color rgb="FFFF0000"/>
      <name val="Arial"/>
      <family val="2"/>
      <charset val="1"/>
    </font>
    <font>
      <sz val="10"/>
      <color theme="1"/>
      <name val="Calibri"/>
      <family val="2"/>
      <scheme val="minor"/>
    </font>
    <font>
      <sz val="10"/>
      <color rgb="FF000000"/>
      <name val="Calibri"/>
      <family val="2"/>
      <scheme val="minor"/>
    </font>
    <font>
      <b/>
      <sz val="10"/>
      <color theme="1"/>
      <name val="Calibri"/>
      <family val="2"/>
      <scheme val="minor"/>
    </font>
    <font>
      <b/>
      <sz val="10"/>
      <color rgb="FF000000"/>
      <name val="Calibri"/>
      <family val="2"/>
      <scheme val="minor"/>
    </font>
    <font>
      <b/>
      <sz val="12"/>
      <color theme="0"/>
      <name val="Arial"/>
      <family val="2"/>
      <charset val="1"/>
    </font>
    <font>
      <b/>
      <sz val="11"/>
      <color theme="1"/>
      <name val="Calibri"/>
      <family val="2"/>
      <scheme val="minor"/>
    </font>
    <font>
      <sz val="11"/>
      <color theme="1"/>
      <name val="Calibri"/>
      <family val="2"/>
      <charset val="1"/>
    </font>
    <font>
      <b/>
      <sz val="10"/>
      <color rgb="FFFFFFFF"/>
      <name val="Arial"/>
      <family val="2"/>
    </font>
    <font>
      <b/>
      <sz val="9"/>
      <color rgb="FFFFFFFF"/>
      <name val="Arial"/>
      <family val="2"/>
    </font>
    <font>
      <sz val="11"/>
      <color rgb="FFFFFF00"/>
      <name val="Arial"/>
      <family val="2"/>
    </font>
    <font>
      <sz val="8"/>
      <name val="Arial"/>
      <family val="2"/>
    </font>
    <font>
      <sz val="12"/>
      <color rgb="FF000000"/>
      <name val="Arial"/>
      <family val="2"/>
    </font>
    <font>
      <b/>
      <sz val="10"/>
      <name val="Arial"/>
      <family val="2"/>
    </font>
    <font>
      <sz val="11"/>
      <color theme="1"/>
      <name val="Calibri"/>
      <family val="2"/>
      <charset val="178"/>
      <scheme val="minor"/>
    </font>
    <font>
      <sz val="12"/>
      <color theme="1"/>
      <name val="Calibri"/>
      <family val="2"/>
      <scheme val="minor"/>
    </font>
    <font>
      <b/>
      <sz val="10"/>
      <color rgb="FF7030A0"/>
      <name val="Arial"/>
      <family val="2"/>
    </font>
    <font>
      <b/>
      <sz val="11"/>
      <color rgb="FF7030A0"/>
      <name val="Arial"/>
      <family val="2"/>
    </font>
    <font>
      <b/>
      <sz val="12"/>
      <color theme="1"/>
      <name val="Arial"/>
      <family val="2"/>
    </font>
    <font>
      <b/>
      <sz val="16"/>
      <color theme="1"/>
      <name val="Calibri Light"/>
      <family val="1"/>
      <scheme val="major"/>
    </font>
    <font>
      <sz val="11"/>
      <color theme="1"/>
      <name val="Calibri"/>
      <family val="2"/>
      <charset val="178"/>
      <scheme val="minor"/>
    </font>
    <font>
      <sz val="12"/>
      <color theme="1"/>
      <name val="Calibri"/>
      <family val="2"/>
      <scheme val="minor"/>
    </font>
    <font>
      <sz val="11"/>
      <color rgb="FF000000"/>
      <name val="Aptos Narrow"/>
      <family val="2"/>
    </font>
    <font>
      <b/>
      <sz val="11"/>
      <color rgb="FFC00000"/>
      <name val="Arial"/>
      <family val="2"/>
    </font>
    <font>
      <sz val="11"/>
      <color rgb="FFC00000"/>
      <name val="Arial"/>
      <family val="2"/>
    </font>
    <font>
      <b/>
      <sz val="11"/>
      <color rgb="FFFF0000"/>
      <name val="Arial"/>
      <family val="2"/>
    </font>
    <font>
      <sz val="10"/>
      <color rgb="FF000000"/>
      <name val="Calibri"/>
      <family val="2"/>
    </font>
    <font>
      <sz val="10"/>
      <color theme="0"/>
      <name val="Calibri"/>
      <family val="2"/>
      <scheme val="minor"/>
    </font>
    <font>
      <sz val="10"/>
      <color theme="0"/>
      <name val="Arial"/>
      <family val="2"/>
      <charset val="1"/>
    </font>
    <font>
      <sz val="11"/>
      <name val="Arial"/>
      <family val="2"/>
      <charset val="1"/>
    </font>
    <font>
      <sz val="10"/>
      <name val="Calibri"/>
      <family val="2"/>
      <scheme val="minor"/>
    </font>
    <font>
      <b/>
      <sz val="12"/>
      <color rgb="FF000000"/>
      <name val="Arial"/>
      <family val="2"/>
    </font>
  </fonts>
  <fills count="114">
    <fill>
      <patternFill patternType="none"/>
    </fill>
    <fill>
      <patternFill patternType="gray125"/>
    </fill>
    <fill>
      <patternFill patternType="solid">
        <fgColor theme="2"/>
        <bgColor rgb="FFDEEBF7"/>
      </patternFill>
    </fill>
    <fill>
      <patternFill patternType="solid">
        <fgColor rgb="FF7030A0"/>
        <bgColor rgb="FF800080"/>
      </patternFill>
    </fill>
    <fill>
      <patternFill patternType="solid">
        <fgColor theme="7" tint="0.59987182226020086"/>
        <bgColor rgb="FFFFF2CC"/>
      </patternFill>
    </fill>
    <fill>
      <patternFill patternType="solid">
        <fgColor theme="3" tint="0.59987182226020086"/>
        <bgColor rgb="FF9DC3E6"/>
      </patternFill>
    </fill>
    <fill>
      <patternFill patternType="solid">
        <fgColor theme="5" tint="0.39988402966399123"/>
        <bgColor rgb="FFF8CBAD"/>
      </patternFill>
    </fill>
    <fill>
      <patternFill patternType="solid">
        <fgColor rgb="FFFF0000"/>
        <bgColor rgb="FFC00000"/>
      </patternFill>
    </fill>
    <fill>
      <patternFill patternType="solid">
        <fgColor rgb="FFFF99CC"/>
        <bgColor rgb="FFF4B183"/>
      </patternFill>
    </fill>
    <fill>
      <patternFill patternType="solid">
        <fgColor rgb="FFFFCCFF"/>
        <bgColor rgb="FFFBE5D6"/>
      </patternFill>
    </fill>
    <fill>
      <patternFill patternType="solid">
        <fgColor theme="7" tint="0.79989013336588644"/>
        <bgColor rgb="FFFBE5D6"/>
      </patternFill>
    </fill>
    <fill>
      <patternFill patternType="solid">
        <fgColor theme="3" tint="0.79989013336588644"/>
        <bgColor rgb="FFDAE3F3"/>
      </patternFill>
    </fill>
    <fill>
      <patternFill patternType="solid">
        <fgColor theme="9" tint="0.39988402966399123"/>
        <bgColor rgb="FFC5E0B4"/>
      </patternFill>
    </fill>
    <fill>
      <patternFill patternType="solid">
        <fgColor theme="4" tint="0.59987182226020086"/>
        <bgColor rgb="FF9DC3E6"/>
      </patternFill>
    </fill>
    <fill>
      <patternFill patternType="solid">
        <fgColor rgb="FF92D050"/>
        <bgColor rgb="FFA9D18E"/>
      </patternFill>
    </fill>
    <fill>
      <patternFill patternType="solid">
        <fgColor theme="5" tint="0.59987182226020086"/>
        <bgColor rgb="FFFFE699"/>
      </patternFill>
    </fill>
    <fill>
      <patternFill patternType="solid">
        <fgColor rgb="FFFFFF00"/>
        <bgColor rgb="FFFFC000"/>
      </patternFill>
    </fill>
    <fill>
      <patternFill patternType="solid">
        <fgColor rgb="FFC00000"/>
        <bgColor rgb="FFFF0000"/>
      </patternFill>
    </fill>
    <fill>
      <patternFill patternType="solid">
        <fgColor theme="5"/>
        <bgColor rgb="FFBF9000"/>
      </patternFill>
    </fill>
    <fill>
      <patternFill patternType="solid">
        <fgColor theme="5" tint="0.79989013336588644"/>
        <bgColor rgb="FFFFF2CC"/>
      </patternFill>
    </fill>
    <fill>
      <patternFill patternType="solid">
        <fgColor theme="5" tint="-0.499984740745262"/>
        <bgColor rgb="FF833C0C"/>
      </patternFill>
    </fill>
    <fill>
      <patternFill patternType="solid">
        <fgColor rgb="FF00B050"/>
        <bgColor rgb="FF008080"/>
      </patternFill>
    </fill>
    <fill>
      <patternFill patternType="solid">
        <fgColor theme="0"/>
        <bgColor rgb="FFF2F2F2"/>
      </patternFill>
    </fill>
    <fill>
      <patternFill patternType="solid">
        <fgColor rgb="FFFFC000"/>
        <bgColor rgb="FFF4B183"/>
      </patternFill>
    </fill>
    <fill>
      <patternFill patternType="solid">
        <fgColor theme="4" tint="-0.499984740745262"/>
        <bgColor rgb="FF333F50"/>
      </patternFill>
    </fill>
    <fill>
      <patternFill patternType="solid">
        <fgColor theme="8" tint="0.39988402966399123"/>
        <bgColor rgb="FFB4C7E7"/>
      </patternFill>
    </fill>
    <fill>
      <patternFill patternType="solid">
        <fgColor rgb="FF002060"/>
        <bgColor rgb="FF203864"/>
      </patternFill>
    </fill>
    <fill>
      <patternFill patternType="solid">
        <fgColor theme="4" tint="-0.249977111117893"/>
        <bgColor rgb="FF2E75B6"/>
      </patternFill>
    </fill>
    <fill>
      <patternFill patternType="solid">
        <fgColor theme="1" tint="4.9897762993255407E-2"/>
        <bgColor rgb="FF000000"/>
      </patternFill>
    </fill>
    <fill>
      <patternFill patternType="solid">
        <fgColor theme="1"/>
        <bgColor rgb="FF0D0D0D"/>
      </patternFill>
    </fill>
    <fill>
      <patternFill patternType="solid">
        <fgColor rgb="FF833C0C"/>
        <bgColor rgb="FF843C0B"/>
      </patternFill>
    </fill>
    <fill>
      <patternFill patternType="solid">
        <fgColor rgb="FF9966FF"/>
        <bgColor rgb="FF7C7C7C"/>
      </patternFill>
    </fill>
    <fill>
      <patternFill patternType="solid">
        <fgColor theme="0" tint="-0.34998626667073579"/>
        <bgColor rgb="FFAFABAB"/>
      </patternFill>
    </fill>
    <fill>
      <patternFill patternType="solid">
        <fgColor theme="1" tint="0.3498947111423078"/>
        <bgColor rgb="FF333F50"/>
      </patternFill>
    </fill>
    <fill>
      <patternFill patternType="solid">
        <fgColor theme="9" tint="0.59987182226020086"/>
        <bgColor rgb="FFD6DCE5"/>
      </patternFill>
    </fill>
    <fill>
      <patternFill patternType="solid">
        <fgColor theme="6" tint="0.39988402966399123"/>
        <bgColor rgb="FFB4C7E7"/>
      </patternFill>
    </fill>
    <fill>
      <patternFill patternType="solid">
        <fgColor theme="0" tint="-4.9989318521683403E-2"/>
        <bgColor rgb="FFE7E6E6"/>
      </patternFill>
    </fill>
    <fill>
      <patternFill patternType="solid">
        <fgColor rgb="FFFFFF00"/>
        <bgColor indexed="64"/>
      </patternFill>
    </fill>
    <fill>
      <patternFill patternType="solid">
        <fgColor rgb="FFFF0000"/>
        <bgColor indexed="64"/>
      </patternFill>
    </fill>
    <fill>
      <patternFill patternType="solid">
        <fgColor rgb="FFC65911"/>
        <bgColor indexed="64"/>
      </patternFill>
    </fill>
    <fill>
      <patternFill patternType="solid">
        <fgColor rgb="FFF2F2F2"/>
        <bgColor indexed="64"/>
      </patternFill>
    </fill>
    <fill>
      <patternFill patternType="solid">
        <fgColor rgb="FF00B050"/>
        <bgColor rgb="FFBF9000"/>
      </patternFill>
    </fill>
    <fill>
      <patternFill patternType="solid">
        <fgColor theme="5" tint="-0.499984740745262"/>
        <bgColor indexed="64"/>
      </patternFill>
    </fill>
    <fill>
      <patternFill patternType="solid">
        <fgColor theme="5" tint="0.59999389629810485"/>
        <bgColor indexed="64"/>
      </patternFill>
    </fill>
    <fill>
      <patternFill patternType="solid">
        <fgColor rgb="FF00B050"/>
        <bgColor rgb="FF000000"/>
      </patternFill>
    </fill>
    <fill>
      <patternFill patternType="solid">
        <fgColor rgb="FF00B050"/>
        <bgColor indexed="64"/>
      </patternFill>
    </fill>
    <fill>
      <patternFill patternType="solid">
        <fgColor rgb="FF002060"/>
        <bgColor indexed="64"/>
      </patternFill>
    </fill>
    <fill>
      <patternFill patternType="solid">
        <fgColor rgb="FF002060"/>
        <bgColor rgb="FF1B3A5C"/>
      </patternFill>
    </fill>
    <fill>
      <patternFill patternType="solid">
        <fgColor rgb="FFFFFF00"/>
        <bgColor rgb="FFFFFF00"/>
      </patternFill>
    </fill>
    <fill>
      <patternFill patternType="solid">
        <fgColor rgb="FFFFC000"/>
        <bgColor indexed="64"/>
      </patternFill>
    </fill>
    <fill>
      <patternFill patternType="solid">
        <fgColor rgb="FFFFFFFF"/>
        <bgColor rgb="FFF5F5F5"/>
      </patternFill>
    </fill>
    <fill>
      <patternFill patternType="solid">
        <fgColor theme="5" tint="0.59987182226020086"/>
        <bgColor rgb="FFBDBDBD"/>
      </patternFill>
    </fill>
    <fill>
      <patternFill patternType="solid">
        <fgColor theme="0" tint="-0.34998626667073579"/>
        <bgColor indexed="64"/>
      </patternFill>
    </fill>
    <fill>
      <patternFill patternType="solid">
        <fgColor theme="2" tint="-0.249977111117893"/>
        <bgColor indexed="64"/>
      </patternFill>
    </fill>
    <fill>
      <patternFill patternType="solid">
        <fgColor theme="0"/>
        <bgColor rgb="FFFFC000"/>
      </patternFill>
    </fill>
    <fill>
      <patternFill patternType="solid">
        <fgColor theme="0" tint="-0.249977111117893"/>
        <bgColor indexed="64"/>
      </patternFill>
    </fill>
    <fill>
      <patternFill patternType="solid">
        <fgColor rgb="FF9DC3E6"/>
      </patternFill>
    </fill>
    <fill>
      <patternFill patternType="solid">
        <fgColor theme="0"/>
        <bgColor indexed="64"/>
      </patternFill>
    </fill>
    <fill>
      <patternFill patternType="solid">
        <fgColor theme="5" tint="0.39997558519241921"/>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1" tint="0.14999847407452621"/>
        <bgColor indexed="64"/>
      </patternFill>
    </fill>
    <fill>
      <patternFill patternType="solid">
        <fgColor theme="0"/>
        <bgColor rgb="FF9DC3E6"/>
      </patternFill>
    </fill>
    <fill>
      <patternFill patternType="solid">
        <fgColor theme="1" tint="4.9989318521683403E-2"/>
        <bgColor indexed="64"/>
      </patternFill>
    </fill>
    <fill>
      <patternFill patternType="solid">
        <fgColor rgb="FFFF7C80"/>
        <bgColor indexed="64"/>
      </patternFill>
    </fill>
    <fill>
      <patternFill patternType="solid">
        <fgColor rgb="FFFF7C80"/>
        <bgColor rgb="FFFFE699"/>
      </patternFill>
    </fill>
    <fill>
      <patternFill patternType="solid">
        <fgColor theme="0" tint="-0.14999847407452621"/>
        <bgColor theme="0" tint="-0.14999847407452621"/>
      </patternFill>
    </fill>
    <fill>
      <patternFill patternType="solid">
        <fgColor theme="1"/>
        <bgColor indexed="64"/>
      </patternFill>
    </fill>
    <fill>
      <patternFill patternType="solid">
        <fgColor theme="0"/>
        <bgColor rgb="FFF5F5F5"/>
      </patternFill>
    </fill>
    <fill>
      <patternFill patternType="solid">
        <fgColor rgb="FFFF7C80"/>
        <bgColor rgb="FF7C7C7C"/>
      </patternFill>
    </fill>
    <fill>
      <patternFill patternType="solid">
        <fgColor theme="0"/>
        <bgColor rgb="FF7C7C7C"/>
      </patternFill>
    </fill>
    <fill>
      <patternFill patternType="solid">
        <fgColor theme="0"/>
        <bgColor rgb="FFAFABAB"/>
      </patternFill>
    </fill>
    <fill>
      <patternFill patternType="solid">
        <fgColor rgb="FF833C0C"/>
        <bgColor rgb="FF833C0C"/>
      </patternFill>
    </fill>
    <fill>
      <patternFill patternType="solid">
        <fgColor rgb="FFFFFFFF"/>
        <bgColor indexed="64"/>
      </patternFill>
    </fill>
    <fill>
      <patternFill patternType="solid">
        <fgColor theme="8" tint="0.39997558519241921"/>
        <bgColor indexed="64"/>
      </patternFill>
    </fill>
    <fill>
      <patternFill patternType="solid">
        <fgColor theme="2"/>
        <bgColor indexed="64"/>
      </patternFill>
    </fill>
    <fill>
      <patternFill patternType="solid">
        <fgColor theme="5"/>
        <bgColor rgb="FFDEEBF7"/>
      </patternFill>
    </fill>
    <fill>
      <patternFill patternType="solid">
        <fgColor theme="7"/>
        <bgColor rgb="FFF8CBAD"/>
      </patternFill>
    </fill>
    <fill>
      <patternFill patternType="solid">
        <fgColor theme="7"/>
        <bgColor rgb="FFFFF2CC"/>
      </patternFill>
    </fill>
    <fill>
      <patternFill patternType="solid">
        <fgColor rgb="FFC00000"/>
        <bgColor rgb="FFF4B183"/>
      </patternFill>
    </fill>
    <fill>
      <patternFill patternType="solid">
        <fgColor theme="7" tint="0.59999389629810485"/>
        <bgColor rgb="FFDAE3F3"/>
      </patternFill>
    </fill>
    <fill>
      <patternFill patternType="solid">
        <fgColor theme="7" tint="0.59999389629810485"/>
        <bgColor rgb="FFFFF2CC"/>
      </patternFill>
    </fill>
    <fill>
      <patternFill patternType="solid">
        <fgColor theme="4" tint="0.59999389629810485"/>
        <bgColor rgb="FFFFF2CC"/>
      </patternFill>
    </fill>
    <fill>
      <patternFill patternType="solid">
        <fgColor theme="4" tint="0.39997558519241921"/>
        <bgColor rgb="FFF8CBAD"/>
      </patternFill>
    </fill>
    <fill>
      <patternFill patternType="solid">
        <fgColor theme="6" tint="0.79998168889431442"/>
        <bgColor rgb="FFA6A6A6"/>
      </patternFill>
    </fill>
    <fill>
      <patternFill patternType="solid">
        <fgColor theme="0"/>
        <bgColor rgb="FFDEEBF7"/>
      </patternFill>
    </fill>
    <fill>
      <patternFill patternType="solid">
        <fgColor theme="6" tint="0.79998168889431442"/>
        <bgColor rgb="FFF8CBAD"/>
      </patternFill>
    </fill>
    <fill>
      <patternFill patternType="solid">
        <fgColor theme="6" tint="0.79998168889431442"/>
        <bgColor rgb="FF9DC3E6"/>
      </patternFill>
    </fill>
    <fill>
      <patternFill patternType="solid">
        <fgColor theme="5" tint="0.39997558519241921"/>
        <bgColor rgb="FFFBE5D6"/>
      </patternFill>
    </fill>
    <fill>
      <patternFill patternType="solid">
        <fgColor theme="9" tint="0.39997558519241921"/>
        <bgColor rgb="FFFFF2CC"/>
      </patternFill>
    </fill>
    <fill>
      <patternFill patternType="solid">
        <fgColor theme="9" tint="0.79998168889431442"/>
        <bgColor rgb="FFC5E0B4"/>
      </patternFill>
    </fill>
    <fill>
      <patternFill patternType="solid">
        <fgColor theme="2" tint="-0.249977111117893"/>
        <bgColor rgb="FFA9D18E"/>
      </patternFill>
    </fill>
    <fill>
      <patternFill patternType="solid">
        <fgColor rgb="FFFFC000"/>
        <bgColor rgb="FF9DC3E6"/>
      </patternFill>
    </fill>
    <fill>
      <patternFill patternType="solid">
        <fgColor theme="4" tint="-0.499984740745262"/>
        <bgColor indexed="64"/>
      </patternFill>
    </fill>
    <fill>
      <patternFill patternType="solid">
        <fgColor theme="9" tint="0.39997558519241921"/>
        <bgColor rgb="FFE7E6E6"/>
      </patternFill>
    </fill>
    <fill>
      <patternFill patternType="solid">
        <fgColor theme="9" tint="0.39997558519241921"/>
        <bgColor rgb="FFDEEBF7"/>
      </patternFill>
    </fill>
    <fill>
      <patternFill patternType="solid">
        <fgColor theme="0" tint="-0.499984740745262"/>
        <bgColor rgb="FFFFC000"/>
      </patternFill>
    </fill>
    <fill>
      <patternFill patternType="solid">
        <fgColor theme="0" tint="-0.499984740745262"/>
        <bgColor indexed="64"/>
      </patternFill>
    </fill>
    <fill>
      <patternFill patternType="solid">
        <fgColor rgb="FF002060"/>
        <bgColor rgb="FFF2F2F2"/>
      </patternFill>
    </fill>
    <fill>
      <patternFill patternType="solid">
        <fgColor theme="0"/>
        <bgColor rgb="FF833C0C"/>
      </patternFill>
    </fill>
    <fill>
      <patternFill patternType="solid">
        <fgColor theme="0"/>
        <bgColor rgb="FF843C0B"/>
      </patternFill>
    </fill>
    <fill>
      <patternFill patternType="solid">
        <fgColor theme="0"/>
        <bgColor rgb="FFFFE699"/>
      </patternFill>
    </fill>
    <fill>
      <patternFill patternType="solid">
        <fgColor theme="0"/>
        <bgColor rgb="FF000000"/>
      </patternFill>
    </fill>
    <fill>
      <patternFill patternType="solid">
        <fgColor theme="0"/>
        <bgColor rgb="FF008080"/>
      </patternFill>
    </fill>
    <fill>
      <patternFill patternType="solid">
        <fgColor rgb="FFC00000"/>
        <bgColor rgb="FFA6A6A6"/>
      </patternFill>
    </fill>
    <fill>
      <patternFill patternType="solid">
        <fgColor rgb="FF00B050"/>
        <bgColor rgb="FFF2F2F2"/>
      </patternFill>
    </fill>
    <fill>
      <patternFill patternType="solid">
        <fgColor rgb="FF002060"/>
        <bgColor rgb="FF333F50"/>
      </patternFill>
    </fill>
    <fill>
      <patternFill patternType="solid">
        <fgColor theme="5"/>
        <bgColor indexed="64"/>
      </patternFill>
    </fill>
    <fill>
      <patternFill patternType="solid">
        <fgColor rgb="FFED7D31"/>
        <bgColor rgb="FF000000"/>
      </patternFill>
    </fill>
    <fill>
      <patternFill patternType="solid">
        <fgColor theme="0"/>
        <bgColor rgb="FFFFFF00"/>
      </patternFill>
    </fill>
  </fills>
  <borders count="38">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top/>
      <bottom style="thin">
        <color auto="1"/>
      </bottom>
      <diagonal/>
    </border>
    <border>
      <left style="thin">
        <color auto="1"/>
      </left>
      <right style="thin">
        <color auto="1"/>
      </right>
      <top style="thin">
        <color auto="1"/>
      </top>
      <bottom/>
      <diagonal/>
    </border>
    <border>
      <left style="medium">
        <color auto="1"/>
      </left>
      <right style="medium">
        <color auto="1"/>
      </right>
      <top style="medium">
        <color auto="1"/>
      </top>
      <bottom style="medium">
        <color auto="1"/>
      </bottom>
      <diagonal/>
    </border>
    <border>
      <left style="thin">
        <color auto="1"/>
      </left>
      <right/>
      <top style="thin">
        <color auto="1"/>
      </top>
      <bottom/>
      <diagonal/>
    </border>
    <border>
      <left style="medium">
        <color auto="1"/>
      </left>
      <right/>
      <top style="medium">
        <color auto="1"/>
      </top>
      <bottom style="medium">
        <color auto="1"/>
      </bottom>
      <diagonal/>
    </border>
    <border>
      <left style="thin">
        <color auto="1"/>
      </left>
      <right/>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hair">
        <color auto="1"/>
      </left>
      <right style="hair">
        <color auto="1"/>
      </right>
      <top style="hair">
        <color auto="1"/>
      </top>
      <bottom style="hair">
        <color auto="1"/>
      </bottom>
      <diagonal/>
    </border>
    <border>
      <left style="thin">
        <color rgb="FF000000"/>
      </left>
      <right style="thin">
        <color rgb="FF000000"/>
      </right>
      <top style="thin">
        <color rgb="FF000000"/>
      </top>
      <bottom style="thin">
        <color rgb="FF000000"/>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7030A0"/>
      </left>
      <right style="thin">
        <color rgb="FF7030A0"/>
      </right>
      <top style="thin">
        <color rgb="FF7030A0"/>
      </top>
      <bottom style="thin">
        <color rgb="FF7030A0"/>
      </bottom>
      <diagonal/>
    </border>
    <border>
      <left style="thin">
        <color rgb="FF7030A0"/>
      </left>
      <right style="thin">
        <color rgb="FF7030A0"/>
      </right>
      <top/>
      <bottom style="thin">
        <color rgb="FF7030A0"/>
      </bottom>
      <diagonal/>
    </border>
    <border>
      <left style="thin">
        <color rgb="FF7030A0"/>
      </left>
      <right/>
      <top/>
      <bottom style="thin">
        <color rgb="FF7030A0"/>
      </bottom>
      <diagonal/>
    </border>
    <border>
      <left/>
      <right/>
      <top/>
      <bottom style="thin">
        <color rgb="FF7030A0"/>
      </bottom>
      <diagonal/>
    </border>
    <border>
      <left/>
      <right style="thin">
        <color rgb="FF7030A0"/>
      </right>
      <top/>
      <bottom style="thin">
        <color rgb="FF7030A0"/>
      </bottom>
      <diagonal/>
    </border>
  </borders>
  <cellStyleXfs count="28">
    <xf numFmtId="0" fontId="0" fillId="0" borderId="0"/>
    <xf numFmtId="0" fontId="4" fillId="0" borderId="0"/>
    <xf numFmtId="0" fontId="4" fillId="0" borderId="0"/>
    <xf numFmtId="0" fontId="4" fillId="0" borderId="0"/>
    <xf numFmtId="0" fontId="5" fillId="0" borderId="0"/>
    <xf numFmtId="0" fontId="5" fillId="0" borderId="0"/>
    <xf numFmtId="0" fontId="4" fillId="0" borderId="0"/>
    <xf numFmtId="0" fontId="5" fillId="0" borderId="0"/>
    <xf numFmtId="0" fontId="5" fillId="0" borderId="0"/>
    <xf numFmtId="0" fontId="6" fillId="0" borderId="0"/>
    <xf numFmtId="9" fontId="35" fillId="0" borderId="0" applyFont="0" applyFill="0" applyBorder="0" applyAlignment="0" applyProtection="0"/>
    <xf numFmtId="166" fontId="6" fillId="0" borderId="0"/>
    <xf numFmtId="43" fontId="35" fillId="0" borderId="0" applyFont="0" applyFill="0" applyBorder="0" applyAlignment="0" applyProtection="0"/>
    <xf numFmtId="0" fontId="37" fillId="0" borderId="0"/>
    <xf numFmtId="0" fontId="37" fillId="0" borderId="0"/>
    <xf numFmtId="0" fontId="3" fillId="0" borderId="0"/>
    <xf numFmtId="189" fontId="3" fillId="0" borderId="0" applyFont="0" applyFill="0" applyBorder="0" applyAlignment="0" applyProtection="0"/>
    <xf numFmtId="0" fontId="2" fillId="0" borderId="0"/>
    <xf numFmtId="189" fontId="2" fillId="0" borderId="0" applyFont="0" applyFill="0" applyBorder="0" applyAlignment="0" applyProtection="0"/>
    <xf numFmtId="0" fontId="58" fillId="0" borderId="0"/>
    <xf numFmtId="0" fontId="63" fillId="0" borderId="0"/>
    <xf numFmtId="0" fontId="1" fillId="0" borderId="0"/>
    <xf numFmtId="0" fontId="70" fillId="0" borderId="0"/>
    <xf numFmtId="0" fontId="71" fillId="0" borderId="0"/>
    <xf numFmtId="0" fontId="76" fillId="0" borderId="0"/>
    <xf numFmtId="0" fontId="77" fillId="0" borderId="0"/>
    <xf numFmtId="0" fontId="1" fillId="0" borderId="0"/>
    <xf numFmtId="189" fontId="1" fillId="0" borderId="0" applyFont="0" applyFill="0" applyBorder="0" applyAlignment="0" applyProtection="0"/>
  </cellStyleXfs>
  <cellXfs count="1535">
    <xf numFmtId="0" fontId="0" fillId="0" borderId="0" xfId="0"/>
    <xf numFmtId="0" fontId="7" fillId="0" borderId="0" xfId="0" applyFont="1"/>
    <xf numFmtId="0" fontId="7" fillId="0" borderId="0" xfId="0" applyFont="1" applyAlignment="1">
      <alignment horizontal="center"/>
    </xf>
    <xf numFmtId="0" fontId="0" fillId="0" borderId="0" xfId="0" applyAlignment="1">
      <alignment horizontal="center"/>
    </xf>
    <xf numFmtId="2" fontId="0" fillId="0" borderId="0" xfId="0" applyNumberFormat="1"/>
    <xf numFmtId="166" fontId="0" fillId="0" borderId="0" xfId="0" applyNumberFormat="1"/>
    <xf numFmtId="0" fontId="7" fillId="2" borderId="0" xfId="0" applyFont="1" applyFill="1" applyAlignment="1">
      <alignment horizontal="center" vertical="center"/>
    </xf>
    <xf numFmtId="0" fontId="7" fillId="2" borderId="0" xfId="0" applyFont="1" applyFill="1" applyAlignment="1">
      <alignment horizontal="center" vertical="center" wrapText="1"/>
    </xf>
    <xf numFmtId="0" fontId="8" fillId="3" borderId="1" xfId="0" applyFont="1" applyFill="1" applyBorder="1" applyAlignment="1">
      <alignment horizontal="center" vertical="center"/>
    </xf>
    <xf numFmtId="0" fontId="10" fillId="0" borderId="0" xfId="0" applyFont="1"/>
    <xf numFmtId="0" fontId="10" fillId="0" borderId="0" xfId="0" applyFont="1" applyAlignment="1">
      <alignment horizontal="center"/>
    </xf>
    <xf numFmtId="0" fontId="11" fillId="0" borderId="0" xfId="0" applyFont="1" applyAlignment="1">
      <alignment horizontal="center"/>
    </xf>
    <xf numFmtId="165" fontId="10" fillId="0" borderId="0" xfId="0" applyNumberFormat="1" applyFont="1"/>
    <xf numFmtId="165" fontId="11" fillId="0" borderId="0" xfId="0" applyNumberFormat="1" applyFont="1"/>
    <xf numFmtId="0" fontId="4" fillId="0" borderId="0" xfId="0" applyFont="1"/>
    <xf numFmtId="0" fontId="7" fillId="4" borderId="0" xfId="0" applyFont="1" applyFill="1"/>
    <xf numFmtId="0" fontId="7" fillId="4" borderId="0" xfId="0" applyFont="1" applyFill="1" applyAlignment="1">
      <alignment horizontal="center"/>
    </xf>
    <xf numFmtId="0" fontId="7" fillId="5" borderId="0" xfId="0" applyFont="1" applyFill="1"/>
    <xf numFmtId="0" fontId="7" fillId="5" borderId="0" xfId="0" applyFont="1" applyFill="1" applyAlignment="1">
      <alignment horizontal="center"/>
    </xf>
    <xf numFmtId="1" fontId="7" fillId="5" borderId="0" xfId="0" applyNumberFormat="1" applyFont="1" applyFill="1" applyAlignment="1">
      <alignment horizontal="center"/>
    </xf>
    <xf numFmtId="165" fontId="7" fillId="5" borderId="0" xfId="0" applyNumberFormat="1" applyFont="1" applyFill="1"/>
    <xf numFmtId="166" fontId="7" fillId="5" borderId="0" xfId="0" applyNumberFormat="1" applyFont="1" applyFill="1"/>
    <xf numFmtId="0" fontId="0" fillId="0" borderId="2" xfId="0" applyBorder="1" applyAlignment="1">
      <alignment vertical="center"/>
    </xf>
    <xf numFmtId="0" fontId="7" fillId="6" borderId="0" xfId="0" applyFont="1" applyFill="1"/>
    <xf numFmtId="0" fontId="7" fillId="6" borderId="0" xfId="0" applyFont="1" applyFill="1" applyAlignment="1">
      <alignment horizontal="center"/>
    </xf>
    <xf numFmtId="1" fontId="7" fillId="6" borderId="0" xfId="0" applyNumberFormat="1" applyFont="1" applyFill="1" applyAlignment="1">
      <alignment horizontal="center"/>
    </xf>
    <xf numFmtId="165" fontId="7" fillId="6" borderId="0" xfId="0" applyNumberFormat="1" applyFont="1" applyFill="1"/>
    <xf numFmtId="166" fontId="7" fillId="6" borderId="0" xfId="0" applyNumberFormat="1" applyFont="1" applyFill="1"/>
    <xf numFmtId="1" fontId="12" fillId="0" borderId="0" xfId="0" applyNumberFormat="1" applyFont="1" applyAlignment="1">
      <alignment horizontal="left" vertical="center" wrapText="1"/>
    </xf>
    <xf numFmtId="0" fontId="4" fillId="0" borderId="0" xfId="0" applyFont="1" applyAlignment="1">
      <alignment horizontal="left"/>
    </xf>
    <xf numFmtId="0" fontId="7" fillId="8" borderId="0" xfId="0" applyFont="1" applyFill="1"/>
    <xf numFmtId="0" fontId="7" fillId="8" borderId="0" xfId="0" applyFont="1" applyFill="1" applyAlignment="1">
      <alignment horizontal="center"/>
    </xf>
    <xf numFmtId="1" fontId="7" fillId="8" borderId="0" xfId="0" applyNumberFormat="1" applyFont="1" applyFill="1" applyAlignment="1">
      <alignment horizontal="center" vertical="center"/>
    </xf>
    <xf numFmtId="165" fontId="7" fillId="8" borderId="0" xfId="0" applyNumberFormat="1" applyFont="1" applyFill="1"/>
    <xf numFmtId="2" fontId="7" fillId="8" borderId="0" xfId="0" applyNumberFormat="1" applyFont="1" applyFill="1" applyAlignment="1">
      <alignment horizontal="center" vertical="center"/>
    </xf>
    <xf numFmtId="165" fontId="7" fillId="8" borderId="0" xfId="0" applyNumberFormat="1" applyFont="1" applyFill="1" applyAlignment="1">
      <alignment horizontal="center" vertical="center"/>
    </xf>
    <xf numFmtId="0" fontId="7" fillId="9" borderId="0" xfId="0" applyFont="1" applyFill="1"/>
    <xf numFmtId="0" fontId="7" fillId="9" borderId="0" xfId="0" applyFont="1" applyFill="1" applyAlignment="1">
      <alignment horizontal="center"/>
    </xf>
    <xf numFmtId="1" fontId="7" fillId="9" borderId="0" xfId="0" applyNumberFormat="1" applyFont="1" applyFill="1" applyAlignment="1">
      <alignment horizontal="center" vertical="center"/>
    </xf>
    <xf numFmtId="165" fontId="7" fillId="9" borderId="0" xfId="0" applyNumberFormat="1" applyFont="1" applyFill="1"/>
    <xf numFmtId="2" fontId="7" fillId="9" borderId="0" xfId="0" applyNumberFormat="1" applyFont="1" applyFill="1" applyAlignment="1">
      <alignment horizontal="center" vertical="center"/>
    </xf>
    <xf numFmtId="165" fontId="7" fillId="9" borderId="0" xfId="0" applyNumberFormat="1" applyFont="1" applyFill="1" applyAlignment="1">
      <alignment horizontal="center" vertical="center"/>
    </xf>
    <xf numFmtId="167" fontId="7" fillId="9" borderId="0" xfId="0" applyNumberFormat="1" applyFont="1" applyFill="1" applyAlignment="1">
      <alignment horizontal="center" vertical="center"/>
    </xf>
    <xf numFmtId="0" fontId="7" fillId="10" borderId="0" xfId="0" applyFont="1" applyFill="1"/>
    <xf numFmtId="0" fontId="7" fillId="10" borderId="0" xfId="0" applyFont="1" applyFill="1" applyAlignment="1">
      <alignment horizontal="center"/>
    </xf>
    <xf numFmtId="1" fontId="7" fillId="10" borderId="0" xfId="0" applyNumberFormat="1" applyFont="1" applyFill="1" applyAlignment="1">
      <alignment horizontal="center" vertical="center"/>
    </xf>
    <xf numFmtId="165" fontId="7" fillId="10" borderId="0" xfId="0" applyNumberFormat="1" applyFont="1" applyFill="1"/>
    <xf numFmtId="2" fontId="7" fillId="10" borderId="0" xfId="0" applyNumberFormat="1" applyFont="1" applyFill="1" applyAlignment="1">
      <alignment horizontal="center" vertical="center"/>
    </xf>
    <xf numFmtId="165" fontId="7" fillId="10" borderId="0" xfId="0" applyNumberFormat="1" applyFont="1" applyFill="1" applyAlignment="1">
      <alignment horizontal="center" vertical="center"/>
    </xf>
    <xf numFmtId="0" fontId="7" fillId="12" borderId="0" xfId="0" applyFont="1" applyFill="1"/>
    <xf numFmtId="0" fontId="7" fillId="12" borderId="0" xfId="0" applyFont="1" applyFill="1" applyAlignment="1">
      <alignment horizontal="center"/>
    </xf>
    <xf numFmtId="1" fontId="7" fillId="12" borderId="0" xfId="0" applyNumberFormat="1" applyFont="1" applyFill="1" applyAlignment="1">
      <alignment horizontal="center" vertical="center"/>
    </xf>
    <xf numFmtId="165" fontId="7" fillId="12" borderId="0" xfId="0" applyNumberFormat="1" applyFont="1" applyFill="1"/>
    <xf numFmtId="2" fontId="7" fillId="12" borderId="0" xfId="0" applyNumberFormat="1" applyFont="1" applyFill="1" applyAlignment="1">
      <alignment horizontal="center" vertical="center"/>
    </xf>
    <xf numFmtId="165" fontId="7" fillId="12" borderId="0" xfId="0" applyNumberFormat="1" applyFont="1" applyFill="1" applyAlignment="1">
      <alignment horizontal="center" vertical="center"/>
    </xf>
    <xf numFmtId="165" fontId="7" fillId="0" borderId="0" xfId="0" applyNumberFormat="1" applyFont="1" applyAlignment="1">
      <alignment horizontal="center" vertical="center"/>
    </xf>
    <xf numFmtId="0" fontId="7" fillId="13" borderId="0" xfId="0" applyFont="1" applyFill="1"/>
    <xf numFmtId="0" fontId="7" fillId="13" borderId="0" xfId="0" applyFont="1" applyFill="1" applyAlignment="1">
      <alignment horizontal="center"/>
    </xf>
    <xf numFmtId="1" fontId="7" fillId="13" borderId="0" xfId="0" applyNumberFormat="1" applyFont="1" applyFill="1" applyAlignment="1">
      <alignment horizontal="center" vertical="center"/>
    </xf>
    <xf numFmtId="165" fontId="7" fillId="13" borderId="0" xfId="0" applyNumberFormat="1" applyFont="1" applyFill="1"/>
    <xf numFmtId="165" fontId="7" fillId="13" borderId="0" xfId="0" applyNumberFormat="1" applyFont="1" applyFill="1" applyAlignment="1">
      <alignment horizontal="center" vertical="center"/>
    </xf>
    <xf numFmtId="166" fontId="7" fillId="13" borderId="0" xfId="0" applyNumberFormat="1" applyFont="1" applyFill="1" applyAlignment="1">
      <alignment horizontal="center" vertical="center"/>
    </xf>
    <xf numFmtId="0" fontId="14" fillId="2" borderId="0" xfId="0" applyFont="1" applyFill="1" applyAlignment="1">
      <alignment horizontal="center" vertical="center"/>
    </xf>
    <xf numFmtId="0" fontId="14" fillId="2" borderId="0" xfId="0" applyFont="1" applyFill="1" applyAlignment="1">
      <alignment horizontal="center" vertical="center" wrapText="1"/>
    </xf>
    <xf numFmtId="1" fontId="14" fillId="0" borderId="0" xfId="0" applyNumberFormat="1" applyFont="1" applyAlignment="1">
      <alignment horizontal="center"/>
    </xf>
    <xf numFmtId="1" fontId="14" fillId="0" borderId="0" xfId="0" applyNumberFormat="1" applyFont="1"/>
    <xf numFmtId="0" fontId="14" fillId="0" borderId="0" xfId="0" applyFont="1"/>
    <xf numFmtId="2" fontId="14" fillId="0" borderId="0" xfId="0" applyNumberFormat="1" applyFont="1"/>
    <xf numFmtId="0" fontId="14" fillId="9" borderId="0" xfId="0" applyFont="1" applyFill="1" applyAlignment="1">
      <alignment horizontal="center"/>
    </xf>
    <xf numFmtId="1" fontId="14" fillId="9" borderId="0" xfId="0" applyNumberFormat="1" applyFont="1" applyFill="1" applyAlignment="1">
      <alignment horizontal="center"/>
    </xf>
    <xf numFmtId="1" fontId="14" fillId="9" borderId="0" xfId="0" applyNumberFormat="1" applyFont="1" applyFill="1"/>
    <xf numFmtId="0" fontId="14" fillId="9" borderId="0" xfId="0" applyFont="1" applyFill="1"/>
    <xf numFmtId="2" fontId="14" fillId="9" borderId="0" xfId="0" applyNumberFormat="1" applyFont="1" applyFill="1"/>
    <xf numFmtId="0" fontId="14" fillId="4" borderId="0" xfId="0" applyFont="1" applyFill="1"/>
    <xf numFmtId="0" fontId="14" fillId="4" borderId="0" xfId="0" applyFont="1" applyFill="1" applyAlignment="1">
      <alignment horizontal="center"/>
    </xf>
    <xf numFmtId="1" fontId="14" fillId="4" borderId="0" xfId="0" applyNumberFormat="1" applyFont="1" applyFill="1" applyAlignment="1">
      <alignment horizontal="center"/>
    </xf>
    <xf numFmtId="1" fontId="14" fillId="4" borderId="0" xfId="0" applyNumberFormat="1" applyFont="1" applyFill="1"/>
    <xf numFmtId="2" fontId="14" fillId="4" borderId="0" xfId="0" applyNumberFormat="1" applyFont="1" applyFill="1"/>
    <xf numFmtId="0" fontId="17" fillId="0" borderId="0" xfId="0" applyFont="1"/>
    <xf numFmtId="0" fontId="12" fillId="15" borderId="1" xfId="0" applyFont="1" applyFill="1" applyBorder="1" applyAlignment="1">
      <alignment horizontal="center" vertical="center" wrapText="1"/>
    </xf>
    <xf numFmtId="0" fontId="12" fillId="0" borderId="1" xfId="0" applyFont="1" applyBorder="1" applyAlignment="1">
      <alignment horizontal="center" vertical="center" wrapText="1"/>
    </xf>
    <xf numFmtId="0" fontId="4" fillId="15" borderId="1" xfId="0" applyFont="1" applyFill="1" applyBorder="1" applyAlignment="1">
      <alignment horizontal="center" vertical="center"/>
    </xf>
    <xf numFmtId="165" fontId="12" fillId="16" borderId="1" xfId="0" applyNumberFormat="1" applyFont="1" applyFill="1" applyBorder="1" applyAlignment="1">
      <alignment horizontal="center" vertical="center" wrapText="1"/>
    </xf>
    <xf numFmtId="166" fontId="4" fillId="0" borderId="0" xfId="0" applyNumberFormat="1" applyFont="1" applyAlignment="1">
      <alignment horizontal="center" vertical="center"/>
    </xf>
    <xf numFmtId="166" fontId="12" fillId="0" borderId="1" xfId="0" applyNumberFormat="1" applyFont="1" applyBorder="1" applyAlignment="1">
      <alignment horizontal="center" vertical="center" wrapText="1"/>
    </xf>
    <xf numFmtId="0" fontId="12" fillId="14" borderId="3" xfId="0" applyFont="1" applyFill="1" applyBorder="1" applyAlignment="1">
      <alignment horizontal="center" vertical="center" wrapText="1"/>
    </xf>
    <xf numFmtId="166" fontId="18" fillId="17" borderId="1" xfId="0" applyNumberFormat="1" applyFont="1" applyFill="1" applyBorder="1" applyAlignment="1">
      <alignment horizontal="center" vertical="center" wrapText="1"/>
    </xf>
    <xf numFmtId="166" fontId="12" fillId="0" borderId="0" xfId="0" applyNumberFormat="1" applyFont="1" applyAlignment="1">
      <alignment vertical="center" wrapText="1"/>
    </xf>
    <xf numFmtId="0" fontId="19" fillId="15" borderId="3" xfId="0" applyFont="1" applyFill="1" applyBorder="1" applyAlignment="1">
      <alignment horizontal="center" vertical="center" wrapText="1"/>
    </xf>
    <xf numFmtId="165" fontId="12" fillId="0" borderId="1" xfId="0" applyNumberFormat="1" applyFont="1" applyBorder="1" applyAlignment="1">
      <alignment wrapText="1"/>
    </xf>
    <xf numFmtId="0" fontId="19" fillId="15" borderId="1" xfId="0" applyFont="1" applyFill="1" applyBorder="1" applyAlignment="1">
      <alignment horizontal="center" vertical="center" wrapText="1"/>
    </xf>
    <xf numFmtId="0" fontId="12" fillId="0" borderId="0" xfId="0" applyFont="1" applyAlignment="1">
      <alignment horizontal="center" vertical="center" wrapText="1"/>
    </xf>
    <xf numFmtId="0" fontId="19" fillId="14" borderId="1" xfId="0" applyFont="1" applyFill="1" applyBorder="1" applyAlignment="1">
      <alignment horizontal="center" vertical="center" wrapText="1"/>
    </xf>
    <xf numFmtId="0" fontId="20" fillId="18" borderId="0" xfId="0" applyFont="1" applyFill="1" applyAlignment="1">
      <alignment horizontal="center" vertical="center" wrapText="1"/>
    </xf>
    <xf numFmtId="165" fontId="12" fillId="19" borderId="0" xfId="0" applyNumberFormat="1" applyFont="1" applyFill="1" applyAlignment="1">
      <alignment horizontal="center" vertical="center" wrapText="1"/>
    </xf>
    <xf numFmtId="166" fontId="19" fillId="19" borderId="0" xfId="0" applyNumberFormat="1" applyFont="1" applyFill="1" applyAlignment="1">
      <alignment horizontal="center" vertical="center" wrapText="1"/>
    </xf>
    <xf numFmtId="0" fontId="17" fillId="20" borderId="0" xfId="0" applyFont="1" applyFill="1"/>
    <xf numFmtId="0" fontId="21" fillId="20" borderId="0" xfId="0" applyFont="1" applyFill="1" applyAlignment="1">
      <alignment horizontal="center" vertical="center" wrapText="1"/>
    </xf>
    <xf numFmtId="0" fontId="21" fillId="0" borderId="0" xfId="0" applyFont="1" applyAlignment="1">
      <alignment horizontal="center" vertical="center" wrapText="1"/>
    </xf>
    <xf numFmtId="0" fontId="12" fillId="0" borderId="0" xfId="0" applyFont="1" applyAlignment="1">
      <alignment wrapText="1"/>
    </xf>
    <xf numFmtId="0" fontId="21" fillId="18" borderId="0" xfId="0" applyFont="1" applyFill="1" applyAlignment="1">
      <alignment horizontal="center" vertical="center" wrapText="1"/>
    </xf>
    <xf numFmtId="0" fontId="21" fillId="18" borderId="0" xfId="0" applyFont="1" applyFill="1" applyAlignment="1">
      <alignment vertical="center" wrapText="1"/>
    </xf>
    <xf numFmtId="0" fontId="21" fillId="20" borderId="5" xfId="0" applyFont="1" applyFill="1" applyBorder="1" applyAlignment="1">
      <alignment horizontal="center" vertical="center" wrapText="1"/>
    </xf>
    <xf numFmtId="0" fontId="21" fillId="18" borderId="5" xfId="0" applyFont="1" applyFill="1" applyBorder="1" applyAlignment="1">
      <alignment horizontal="center" vertical="center" wrapText="1"/>
    </xf>
    <xf numFmtId="0" fontId="21" fillId="18" borderId="5" xfId="0" applyFont="1" applyFill="1" applyBorder="1" applyAlignment="1">
      <alignment vertical="center" wrapText="1"/>
    </xf>
    <xf numFmtId="0" fontId="19" fillId="15" borderId="6" xfId="0" applyFont="1" applyFill="1" applyBorder="1" applyAlignment="1">
      <alignment horizontal="center" vertical="center" wrapText="1"/>
    </xf>
    <xf numFmtId="0" fontId="22" fillId="15" borderId="1" xfId="0" applyFont="1" applyFill="1" applyBorder="1" applyAlignment="1">
      <alignment horizontal="center" vertical="center"/>
    </xf>
    <xf numFmtId="0" fontId="19" fillId="21" borderId="1" xfId="0" applyFont="1" applyFill="1" applyBorder="1" applyAlignment="1">
      <alignment horizontal="center" vertical="center" wrapText="1"/>
    </xf>
    <xf numFmtId="0" fontId="22" fillId="21" borderId="1" xfId="0" applyFont="1" applyFill="1" applyBorder="1" applyAlignment="1">
      <alignment horizontal="center" vertical="center" wrapText="1"/>
    </xf>
    <xf numFmtId="0" fontId="20" fillId="18" borderId="1" xfId="0" applyFont="1" applyFill="1" applyBorder="1" applyAlignment="1">
      <alignment horizontal="center" vertical="center" wrapText="1"/>
    </xf>
    <xf numFmtId="0" fontId="20" fillId="18" borderId="1" xfId="0" applyFont="1" applyFill="1" applyBorder="1" applyAlignment="1">
      <alignment horizontal="center" vertical="center"/>
    </xf>
    <xf numFmtId="0" fontId="20" fillId="18" borderId="3" xfId="0" applyFont="1" applyFill="1" applyBorder="1" applyAlignment="1">
      <alignment horizontal="center" vertical="center" wrapText="1"/>
    </xf>
    <xf numFmtId="0" fontId="22" fillId="0" borderId="6" xfId="0" applyFont="1" applyBorder="1" applyAlignment="1">
      <alignment horizontal="center" vertical="center" wrapText="1"/>
    </xf>
    <xf numFmtId="0" fontId="12" fillId="22" borderId="2" xfId="0" applyFont="1" applyFill="1" applyBorder="1" applyAlignment="1">
      <alignment horizontal="center" vertical="center" wrapText="1"/>
    </xf>
    <xf numFmtId="0" fontId="4" fillId="0" borderId="1" xfId="0" applyFont="1" applyBorder="1" applyAlignment="1">
      <alignment horizontal="center" vertical="center"/>
    </xf>
    <xf numFmtId="1" fontId="12" fillId="0" borderId="1" xfId="0" applyNumberFormat="1" applyFont="1" applyBorder="1" applyAlignment="1">
      <alignment horizontal="center" vertical="center"/>
    </xf>
    <xf numFmtId="165" fontId="12" fillId="0" borderId="1" xfId="0" applyNumberFormat="1" applyFont="1" applyBorder="1" applyAlignment="1">
      <alignment horizontal="center" vertical="center" wrapText="1"/>
    </xf>
    <xf numFmtId="9" fontId="12" fillId="0" borderId="1" xfId="0" applyNumberFormat="1" applyFont="1" applyBorder="1" applyAlignment="1">
      <alignment horizontal="center" vertical="center" wrapText="1"/>
    </xf>
    <xf numFmtId="1" fontId="12" fillId="0" borderId="1" xfId="0" applyNumberFormat="1" applyFont="1" applyBorder="1" applyAlignment="1">
      <alignment horizontal="center" vertical="center" wrapText="1"/>
    </xf>
    <xf numFmtId="1" fontId="0" fillId="0" borderId="1" xfId="0" applyNumberFormat="1" applyBorder="1" applyAlignment="1">
      <alignment horizontal="center" vertical="center"/>
    </xf>
    <xf numFmtId="168" fontId="12" fillId="0" borderId="1" xfId="0" applyNumberFormat="1" applyFont="1" applyBorder="1" applyAlignment="1">
      <alignment horizontal="center" vertical="center" wrapText="1"/>
    </xf>
    <xf numFmtId="169" fontId="12" fillId="0" borderId="1" xfId="0" applyNumberFormat="1" applyFont="1" applyBorder="1" applyAlignment="1">
      <alignment wrapText="1"/>
    </xf>
    <xf numFmtId="0" fontId="12" fillId="22" borderId="1" xfId="0" applyFont="1" applyFill="1" applyBorder="1" applyAlignment="1">
      <alignment horizontal="center" vertical="center" wrapText="1"/>
    </xf>
    <xf numFmtId="0" fontId="0" fillId="0" borderId="1" xfId="0" applyBorder="1" applyAlignment="1">
      <alignment horizontal="center" vertical="center"/>
    </xf>
    <xf numFmtId="0" fontId="12" fillId="0" borderId="1" xfId="0" applyFont="1" applyBorder="1" applyAlignment="1">
      <alignment horizontal="center" vertical="center"/>
    </xf>
    <xf numFmtId="166" fontId="12" fillId="0" borderId="1" xfId="0" applyNumberFormat="1" applyFont="1" applyBorder="1" applyAlignment="1">
      <alignment horizontal="center" vertical="center"/>
    </xf>
    <xf numFmtId="9" fontId="0" fillId="0" borderId="1" xfId="0" applyNumberFormat="1" applyBorder="1" applyAlignment="1">
      <alignment horizontal="center" vertical="center"/>
    </xf>
    <xf numFmtId="0" fontId="17" fillId="0" borderId="1" xfId="0" applyFont="1" applyBorder="1"/>
    <xf numFmtId="0" fontId="19" fillId="23" borderId="0" xfId="0" applyFont="1" applyFill="1"/>
    <xf numFmtId="0" fontId="12" fillId="0" borderId="1" xfId="0" applyFont="1" applyBorder="1" applyAlignment="1">
      <alignment horizontal="center"/>
    </xf>
    <xf numFmtId="169" fontId="12" fillId="0" borderId="0" xfId="0" applyNumberFormat="1" applyFont="1" applyAlignment="1">
      <alignment wrapText="1"/>
    </xf>
    <xf numFmtId="0" fontId="12" fillId="22" borderId="0" xfId="0" applyFont="1" applyFill="1" applyAlignment="1">
      <alignment horizontal="center" vertical="center" wrapText="1"/>
    </xf>
    <xf numFmtId="0" fontId="0" fillId="0" borderId="0" xfId="0" applyAlignment="1">
      <alignment horizontal="center" vertical="center"/>
    </xf>
    <xf numFmtId="0" fontId="12" fillId="0" borderId="0" xfId="0" applyFont="1" applyAlignment="1">
      <alignment horizontal="center"/>
    </xf>
    <xf numFmtId="166" fontId="12" fillId="0" borderId="0" xfId="0" applyNumberFormat="1" applyFont="1" applyAlignment="1">
      <alignment horizontal="center" vertical="center"/>
    </xf>
    <xf numFmtId="9" fontId="0" fillId="0" borderId="0" xfId="0" applyNumberFormat="1" applyAlignment="1">
      <alignment horizontal="center" vertical="center"/>
    </xf>
    <xf numFmtId="1" fontId="12" fillId="0" borderId="0" xfId="0" applyNumberFormat="1" applyFont="1" applyAlignment="1">
      <alignment horizontal="center" vertical="center" wrapText="1"/>
    </xf>
    <xf numFmtId="1" fontId="0" fillId="0" borderId="0" xfId="0" applyNumberFormat="1" applyAlignment="1">
      <alignment horizontal="center" vertical="center"/>
    </xf>
    <xf numFmtId="0" fontId="4" fillId="0" borderId="0" xfId="0" applyFont="1" applyAlignment="1">
      <alignment vertical="center"/>
    </xf>
    <xf numFmtId="168" fontId="12" fillId="0" borderId="0" xfId="0" applyNumberFormat="1" applyFont="1" applyAlignment="1">
      <alignment horizontal="center" vertical="center" wrapText="1"/>
    </xf>
    <xf numFmtId="0" fontId="22" fillId="25" borderId="0" xfId="0" applyFont="1" applyFill="1"/>
    <xf numFmtId="0" fontId="22" fillId="16" borderId="0" xfId="0" applyFont="1" applyFill="1"/>
    <xf numFmtId="170" fontId="22" fillId="16" borderId="0" xfId="0" applyNumberFormat="1" applyFont="1" applyFill="1"/>
    <xf numFmtId="0" fontId="11" fillId="26" borderId="3" xfId="0" applyFont="1" applyFill="1" applyBorder="1" applyAlignment="1">
      <alignment horizontal="center"/>
    </xf>
    <xf numFmtId="0" fontId="11" fillId="26" borderId="1" xfId="0" applyFont="1" applyFill="1" applyBorder="1"/>
    <xf numFmtId="0" fontId="11" fillId="26" borderId="6" xfId="0" applyFont="1" applyFill="1" applyBorder="1"/>
    <xf numFmtId="0" fontId="22" fillId="25" borderId="1" xfId="0" applyFont="1" applyFill="1" applyBorder="1"/>
    <xf numFmtId="0" fontId="11" fillId="26" borderId="3" xfId="0" applyFont="1" applyFill="1" applyBorder="1"/>
    <xf numFmtId="165" fontId="0" fillId="0" borderId="7" xfId="0" applyNumberFormat="1" applyBorder="1"/>
    <xf numFmtId="165" fontId="0" fillId="16" borderId="7" xfId="0" applyNumberFormat="1" applyFill="1" applyBorder="1"/>
    <xf numFmtId="0" fontId="4" fillId="25" borderId="0" xfId="0" applyFont="1" applyFill="1"/>
    <xf numFmtId="170" fontId="22" fillId="16" borderId="1" xfId="0" applyNumberFormat="1" applyFont="1" applyFill="1" applyBorder="1"/>
    <xf numFmtId="0" fontId="22" fillId="16" borderId="1" xfId="0" applyFont="1" applyFill="1" applyBorder="1"/>
    <xf numFmtId="170" fontId="22" fillId="0" borderId="1" xfId="0" applyNumberFormat="1" applyFont="1" applyBorder="1"/>
    <xf numFmtId="0" fontId="0" fillId="0" borderId="7" xfId="0" applyBorder="1"/>
    <xf numFmtId="9" fontId="22" fillId="0" borderId="1" xfId="0" applyNumberFormat="1" applyFont="1" applyBorder="1"/>
    <xf numFmtId="171" fontId="22" fillId="0" borderId="1" xfId="0" applyNumberFormat="1" applyFont="1" applyBorder="1"/>
    <xf numFmtId="0" fontId="22" fillId="0" borderId="1" xfId="0" applyFont="1" applyBorder="1"/>
    <xf numFmtId="0" fontId="22" fillId="9" borderId="1" xfId="0" applyFont="1" applyFill="1" applyBorder="1"/>
    <xf numFmtId="0" fontId="11" fillId="26" borderId="8" xfId="0" applyFont="1" applyFill="1" applyBorder="1"/>
    <xf numFmtId="0" fontId="7" fillId="23" borderId="9" xfId="0" applyFont="1" applyFill="1" applyBorder="1"/>
    <xf numFmtId="0" fontId="11" fillId="26" borderId="10" xfId="0" applyFont="1" applyFill="1" applyBorder="1"/>
    <xf numFmtId="0" fontId="20" fillId="27" borderId="0" xfId="0" applyFont="1" applyFill="1"/>
    <xf numFmtId="169" fontId="22" fillId="0" borderId="7" xfId="0" applyNumberFormat="1" applyFont="1" applyBorder="1"/>
    <xf numFmtId="0" fontId="20" fillId="28" borderId="1" xfId="0" applyFont="1" applyFill="1" applyBorder="1" applyAlignment="1">
      <alignment wrapText="1"/>
    </xf>
    <xf numFmtId="10" fontId="4" fillId="16" borderId="0" xfId="0" applyNumberFormat="1" applyFont="1" applyFill="1"/>
    <xf numFmtId="172" fontId="4" fillId="16" borderId="0" xfId="0" applyNumberFormat="1" applyFont="1" applyFill="1"/>
    <xf numFmtId="10" fontId="4" fillId="0" borderId="1" xfId="0" applyNumberFormat="1" applyFont="1" applyBorder="1"/>
    <xf numFmtId="173" fontId="4" fillId="0" borderId="0" xfId="0" applyNumberFormat="1" applyFont="1"/>
    <xf numFmtId="0" fontId="20" fillId="28" borderId="1" xfId="0" applyFont="1" applyFill="1" applyBorder="1"/>
    <xf numFmtId="0" fontId="12" fillId="0" borderId="0" xfId="0" applyFont="1"/>
    <xf numFmtId="0" fontId="4" fillId="16" borderId="1" xfId="0" applyFont="1" applyFill="1" applyBorder="1"/>
    <xf numFmtId="166" fontId="4" fillId="16" borderId="1" xfId="0" applyNumberFormat="1" applyFont="1" applyFill="1" applyBorder="1"/>
    <xf numFmtId="174" fontId="0" fillId="16" borderId="1" xfId="0" applyNumberFormat="1" applyFill="1" applyBorder="1"/>
    <xf numFmtId="168" fontId="4" fillId="0" borderId="1" xfId="0" applyNumberFormat="1" applyFont="1" applyBorder="1"/>
    <xf numFmtId="169" fontId="4" fillId="0" borderId="1" xfId="0" applyNumberFormat="1" applyFont="1" applyBorder="1"/>
    <xf numFmtId="169" fontId="23" fillId="0" borderId="1" xfId="0" applyNumberFormat="1" applyFont="1" applyBorder="1"/>
    <xf numFmtId="0" fontId="11" fillId="26" borderId="11" xfId="0" applyFont="1" applyFill="1" applyBorder="1"/>
    <xf numFmtId="0" fontId="11" fillId="0" borderId="0" xfId="0" applyFont="1"/>
    <xf numFmtId="0" fontId="11" fillId="29" borderId="3" xfId="0" applyFont="1" applyFill="1" applyBorder="1"/>
    <xf numFmtId="169" fontId="18" fillId="29" borderId="1" xfId="0" applyNumberFormat="1" applyFont="1" applyFill="1" applyBorder="1"/>
    <xf numFmtId="0" fontId="18" fillId="29" borderId="1" xfId="0" applyFont="1" applyFill="1" applyBorder="1"/>
    <xf numFmtId="0" fontId="24" fillId="0" borderId="0" xfId="0" applyFont="1" applyAlignment="1">
      <alignment wrapText="1"/>
    </xf>
    <xf numFmtId="175" fontId="4" fillId="0" borderId="1" xfId="0" applyNumberFormat="1" applyFont="1" applyBorder="1"/>
    <xf numFmtId="165" fontId="4" fillId="0" borderId="1" xfId="0" applyNumberFormat="1" applyFont="1" applyBorder="1"/>
    <xf numFmtId="175" fontId="4" fillId="16" borderId="1" xfId="0" applyNumberFormat="1" applyFont="1" applyFill="1" applyBorder="1"/>
    <xf numFmtId="169" fontId="4" fillId="16" borderId="1" xfId="0" applyNumberFormat="1" applyFont="1" applyFill="1" applyBorder="1" applyAlignment="1">
      <alignment horizontal="center" vertical="center"/>
    </xf>
    <xf numFmtId="0" fontId="19" fillId="15" borderId="11" xfId="0" applyFont="1" applyFill="1" applyBorder="1" applyAlignment="1">
      <alignment horizontal="center" vertical="center" wrapText="1"/>
    </xf>
    <xf numFmtId="0" fontId="22" fillId="15" borderId="11" xfId="0" applyFont="1" applyFill="1" applyBorder="1" applyAlignment="1">
      <alignment horizontal="center" vertical="center"/>
    </xf>
    <xf numFmtId="0" fontId="19" fillId="21" borderId="11" xfId="0" applyFont="1" applyFill="1" applyBorder="1" applyAlignment="1">
      <alignment horizontal="center" vertical="center" wrapText="1"/>
    </xf>
    <xf numFmtId="0" fontId="22" fillId="21" borderId="11" xfId="0" applyFont="1" applyFill="1" applyBorder="1" applyAlignment="1">
      <alignment horizontal="center" vertical="center" wrapText="1"/>
    </xf>
    <xf numFmtId="0" fontId="19" fillId="0" borderId="6" xfId="0" applyFont="1" applyBorder="1" applyAlignment="1">
      <alignment horizontal="center" vertical="center" wrapText="1"/>
    </xf>
    <xf numFmtId="0" fontId="12" fillId="0" borderId="11" xfId="0" applyFont="1" applyBorder="1" applyAlignment="1">
      <alignment horizontal="center" vertical="center" wrapText="1"/>
    </xf>
    <xf numFmtId="0" fontId="4" fillId="0" borderId="11" xfId="0" applyFont="1" applyBorder="1" applyAlignment="1">
      <alignment horizontal="center" vertical="center"/>
    </xf>
    <xf numFmtId="2" fontId="4" fillId="0" borderId="11" xfId="0" applyNumberFormat="1" applyFont="1" applyBorder="1" applyAlignment="1">
      <alignment horizontal="center" vertical="center"/>
    </xf>
    <xf numFmtId="1" fontId="4" fillId="0" borderId="11" xfId="0" applyNumberFormat="1" applyFont="1" applyBorder="1" applyAlignment="1">
      <alignment horizontal="center" vertical="center"/>
    </xf>
    <xf numFmtId="2" fontId="12" fillId="0" borderId="1" xfId="0" applyNumberFormat="1" applyFont="1" applyBorder="1" applyAlignment="1">
      <alignment horizontal="center" vertical="center"/>
    </xf>
    <xf numFmtId="0" fontId="21" fillId="31" borderId="0" xfId="0" applyFont="1" applyFill="1" applyAlignment="1">
      <alignment horizontal="center" vertical="center"/>
    </xf>
    <xf numFmtId="176" fontId="26" fillId="32" borderId="0" xfId="0" applyNumberFormat="1" applyFont="1" applyFill="1"/>
    <xf numFmtId="0" fontId="27" fillId="31" borderId="0" xfId="0" applyFont="1" applyFill="1" applyAlignment="1">
      <alignment horizontal="center" vertical="center"/>
    </xf>
    <xf numFmtId="177" fontId="26" fillId="32" borderId="0" xfId="0" applyNumberFormat="1" applyFont="1" applyFill="1"/>
    <xf numFmtId="169" fontId="26" fillId="32" borderId="0" xfId="0" applyNumberFormat="1" applyFont="1" applyFill="1"/>
    <xf numFmtId="0" fontId="26" fillId="0" borderId="0" xfId="0" applyFont="1"/>
    <xf numFmtId="0" fontId="21" fillId="0" borderId="0" xfId="0" applyFont="1" applyAlignment="1">
      <alignment horizontal="center" vertical="center"/>
    </xf>
    <xf numFmtId="2" fontId="4" fillId="0" borderId="1" xfId="0" applyNumberFormat="1" applyFont="1" applyBorder="1" applyAlignment="1">
      <alignment horizontal="center" vertical="center"/>
    </xf>
    <xf numFmtId="168" fontId="4" fillId="0" borderId="1" xfId="0" applyNumberFormat="1" applyFont="1" applyBorder="1" applyAlignment="1">
      <alignment horizontal="center" vertical="center"/>
    </xf>
    <xf numFmtId="1" fontId="4" fillId="0" borderId="1" xfId="0" applyNumberFormat="1" applyFont="1" applyBorder="1" applyAlignment="1">
      <alignment horizontal="center" vertical="center"/>
    </xf>
    <xf numFmtId="0" fontId="11" fillId="0" borderId="0" xfId="0" applyFont="1" applyAlignment="1">
      <alignment horizontal="center" vertical="center"/>
    </xf>
    <xf numFmtId="1" fontId="0" fillId="0" borderId="0" xfId="0" applyNumberFormat="1"/>
    <xf numFmtId="169" fontId="4" fillId="0" borderId="1" xfId="0" applyNumberFormat="1" applyFont="1" applyBorder="1" applyAlignment="1">
      <alignment horizontal="center" vertical="center"/>
    </xf>
    <xf numFmtId="0" fontId="17" fillId="0" borderId="0" xfId="0" applyFont="1" applyAlignment="1">
      <alignment horizontal="center"/>
    </xf>
    <xf numFmtId="0" fontId="4" fillId="0" borderId="0" xfId="0" applyFont="1" applyAlignment="1">
      <alignment horizontal="center"/>
    </xf>
    <xf numFmtId="178" fontId="12" fillId="0" borderId="1" xfId="0" applyNumberFormat="1" applyFont="1" applyBorder="1" applyAlignment="1">
      <alignment horizontal="center" vertical="center" wrapText="1"/>
    </xf>
    <xf numFmtId="0" fontId="12" fillId="0" borderId="0" xfId="0" applyFont="1" applyAlignment="1">
      <alignment horizontal="center" wrapText="1"/>
    </xf>
    <xf numFmtId="0" fontId="19" fillId="15" borderId="8" xfId="0" applyFont="1" applyFill="1" applyBorder="1" applyAlignment="1">
      <alignment horizontal="center" vertical="center" wrapText="1"/>
    </xf>
    <xf numFmtId="165" fontId="12" fillId="0" borderId="6" xfId="0" applyNumberFormat="1" applyFont="1" applyBorder="1" applyAlignment="1">
      <alignment wrapText="1"/>
    </xf>
    <xf numFmtId="0" fontId="17" fillId="20" borderId="0" xfId="0" applyFont="1" applyFill="1" applyAlignment="1">
      <alignment horizontal="center"/>
    </xf>
    <xf numFmtId="0" fontId="22" fillId="21" borderId="12" xfId="0" applyFont="1" applyFill="1" applyBorder="1" applyAlignment="1">
      <alignment horizontal="center" vertical="center" wrapText="1"/>
    </xf>
    <xf numFmtId="0" fontId="19" fillId="0" borderId="1" xfId="0" applyFont="1" applyBorder="1" applyAlignment="1">
      <alignment horizontal="center" vertical="center" wrapText="1"/>
    </xf>
    <xf numFmtId="0" fontId="0" fillId="0" borderId="2" xfId="0" applyBorder="1" applyAlignment="1">
      <alignment horizontal="left" vertical="center"/>
    </xf>
    <xf numFmtId="0" fontId="17" fillId="0" borderId="1" xfId="0" applyFont="1" applyBorder="1" applyAlignment="1">
      <alignment horizontal="center"/>
    </xf>
    <xf numFmtId="0" fontId="0" fillId="0" borderId="2" xfId="0" applyBorder="1"/>
    <xf numFmtId="168" fontId="12" fillId="0" borderId="1" xfId="0" applyNumberFormat="1" applyFont="1" applyBorder="1" applyAlignment="1">
      <alignment horizontal="center" vertical="center"/>
    </xf>
    <xf numFmtId="0" fontId="0" fillId="0" borderId="1" xfId="0" applyBorder="1" applyAlignment="1">
      <alignment horizontal="center"/>
    </xf>
    <xf numFmtId="168" fontId="12" fillId="0" borderId="0" xfId="0" applyNumberFormat="1" applyFont="1" applyAlignment="1">
      <alignment horizontal="center" vertical="center"/>
    </xf>
    <xf numFmtId="0" fontId="11" fillId="26" borderId="11" xfId="0" applyFont="1" applyFill="1" applyBorder="1" applyAlignment="1">
      <alignment horizontal="center"/>
    </xf>
    <xf numFmtId="0" fontId="11" fillId="26" borderId="13" xfId="0" applyFont="1" applyFill="1" applyBorder="1" applyAlignment="1">
      <alignment horizontal="center"/>
    </xf>
    <xf numFmtId="165" fontId="0" fillId="0" borderId="7" xfId="0" applyNumberFormat="1" applyBorder="1" applyAlignment="1">
      <alignment horizontal="center"/>
    </xf>
    <xf numFmtId="0" fontId="24" fillId="0" borderId="0" xfId="0" applyFont="1" applyAlignment="1">
      <alignment horizontal="center" wrapText="1"/>
    </xf>
    <xf numFmtId="0" fontId="0" fillId="0" borderId="7" xfId="0" applyBorder="1" applyAlignment="1">
      <alignment horizontal="center"/>
    </xf>
    <xf numFmtId="0" fontId="11" fillId="26" borderId="1" xfId="0" applyFont="1" applyFill="1" applyBorder="1" applyAlignment="1">
      <alignment horizontal="center"/>
    </xf>
    <xf numFmtId="175" fontId="4" fillId="0" borderId="1" xfId="0" applyNumberFormat="1" applyFont="1" applyBorder="1" applyAlignment="1">
      <alignment horizontal="center"/>
    </xf>
    <xf numFmtId="165" fontId="4" fillId="0" borderId="1" xfId="0" applyNumberFormat="1" applyFont="1" applyBorder="1" applyAlignment="1">
      <alignment horizontal="center"/>
    </xf>
    <xf numFmtId="175" fontId="4" fillId="16" borderId="1" xfId="0" applyNumberFormat="1" applyFont="1" applyFill="1" applyBorder="1" applyAlignment="1">
      <alignment horizontal="center"/>
    </xf>
    <xf numFmtId="166" fontId="4" fillId="0" borderId="1" xfId="0" applyNumberFormat="1" applyFont="1" applyBorder="1" applyAlignment="1">
      <alignment horizontal="center"/>
    </xf>
    <xf numFmtId="0" fontId="11" fillId="26" borderId="8" xfId="0" applyFont="1" applyFill="1" applyBorder="1" applyAlignment="1">
      <alignment horizontal="center"/>
    </xf>
    <xf numFmtId="0" fontId="7" fillId="23" borderId="9" xfId="0" applyFont="1" applyFill="1" applyBorder="1" applyAlignment="1">
      <alignment horizontal="center"/>
    </xf>
    <xf numFmtId="0" fontId="11" fillId="26" borderId="10" xfId="0" applyFont="1" applyFill="1" applyBorder="1" applyAlignment="1">
      <alignment horizontal="center"/>
    </xf>
    <xf numFmtId="10" fontId="0" fillId="16" borderId="1" xfId="0" applyNumberFormat="1" applyFill="1" applyBorder="1"/>
    <xf numFmtId="3" fontId="4" fillId="16" borderId="1" xfId="0" applyNumberFormat="1" applyFont="1" applyFill="1" applyBorder="1"/>
    <xf numFmtId="9" fontId="0" fillId="16" borderId="1" xfId="0" applyNumberFormat="1" applyFill="1" applyBorder="1"/>
    <xf numFmtId="179" fontId="4" fillId="0" borderId="1" xfId="0" applyNumberFormat="1" applyFont="1" applyBorder="1"/>
    <xf numFmtId="0" fontId="22" fillId="15" borderId="11" xfId="0" applyFont="1" applyFill="1" applyBorder="1" applyAlignment="1">
      <alignment horizontal="center" vertical="center" wrapText="1"/>
    </xf>
    <xf numFmtId="0" fontId="22" fillId="15" borderId="12" xfId="0" applyFont="1" applyFill="1" applyBorder="1" applyAlignment="1">
      <alignment horizontal="center" vertical="center"/>
    </xf>
    <xf numFmtId="0" fontId="22" fillId="15" borderId="12" xfId="0" applyFont="1" applyFill="1" applyBorder="1" applyAlignment="1">
      <alignment horizontal="center" vertical="center" wrapText="1"/>
    </xf>
    <xf numFmtId="0" fontId="19" fillId="15" borderId="13" xfId="0" applyFont="1" applyFill="1" applyBorder="1" applyAlignment="1">
      <alignment horizontal="center" vertical="center" wrapText="1"/>
    </xf>
    <xf numFmtId="0" fontId="27" fillId="0" borderId="0" xfId="0" applyFont="1" applyAlignment="1">
      <alignment horizontal="center" vertical="center" wrapText="1"/>
    </xf>
    <xf numFmtId="0" fontId="17" fillId="0" borderId="0" xfId="0" applyFont="1" applyAlignment="1">
      <alignment horizontal="center" vertical="center"/>
    </xf>
    <xf numFmtId="2" fontId="12" fillId="0" borderId="1" xfId="0" applyNumberFormat="1" applyFont="1" applyBorder="1" applyAlignment="1">
      <alignment horizontal="center" vertical="center" wrapText="1"/>
    </xf>
    <xf numFmtId="0" fontId="4" fillId="0" borderId="0" xfId="0" applyFont="1" applyAlignment="1">
      <alignment horizontal="center" vertical="center"/>
    </xf>
    <xf numFmtId="0" fontId="20" fillId="0" borderId="0" xfId="0" applyFont="1" applyAlignment="1">
      <alignment horizontal="center" vertical="center" wrapText="1"/>
    </xf>
    <xf numFmtId="165" fontId="12" fillId="0" borderId="0" xfId="0" applyNumberFormat="1" applyFont="1" applyAlignment="1">
      <alignment horizontal="center" vertical="center" wrapText="1"/>
    </xf>
    <xf numFmtId="0" fontId="20" fillId="0" borderId="0" xfId="0" applyFont="1" applyAlignment="1">
      <alignment horizontal="center" vertical="center"/>
    </xf>
    <xf numFmtId="0" fontId="12" fillId="0" borderId="0" xfId="0" applyFont="1" applyAlignment="1">
      <alignment horizontal="center" vertical="center"/>
    </xf>
    <xf numFmtId="0" fontId="17" fillId="0" borderId="6" xfId="0" applyFont="1" applyBorder="1"/>
    <xf numFmtId="0" fontId="12" fillId="22" borderId="2" xfId="0" applyFont="1" applyFill="1" applyBorder="1" applyAlignment="1">
      <alignment vertical="center" wrapText="1"/>
    </xf>
    <xf numFmtId="180" fontId="4" fillId="0" borderId="0" xfId="0" applyNumberFormat="1" applyFont="1"/>
    <xf numFmtId="0" fontId="20" fillId="28" borderId="3" xfId="0" applyFont="1" applyFill="1" applyBorder="1"/>
    <xf numFmtId="0" fontId="20" fillId="22" borderId="14" xfId="0" applyFont="1" applyFill="1" applyBorder="1"/>
    <xf numFmtId="169" fontId="4" fillId="0" borderId="3" xfId="0" applyNumberFormat="1" applyFont="1" applyBorder="1"/>
    <xf numFmtId="169" fontId="4" fillId="22" borderId="14" xfId="0" applyNumberFormat="1" applyFont="1" applyFill="1" applyBorder="1"/>
    <xf numFmtId="0" fontId="25" fillId="0" borderId="0" xfId="0" applyFont="1" applyAlignment="1">
      <alignment vertical="center" wrapText="1"/>
    </xf>
    <xf numFmtId="1" fontId="12" fillId="22" borderId="1" xfId="0" applyNumberFormat="1" applyFont="1" applyFill="1" applyBorder="1" applyAlignment="1">
      <alignment horizontal="center" vertical="center" wrapText="1"/>
    </xf>
    <xf numFmtId="0" fontId="7" fillId="0" borderId="0" xfId="0" applyFont="1" applyAlignment="1">
      <alignment horizontal="center" vertical="center"/>
    </xf>
    <xf numFmtId="0" fontId="7" fillId="20" borderId="0" xfId="0" applyFont="1" applyFill="1"/>
    <xf numFmtId="0" fontId="22" fillId="0" borderId="1" xfId="0" applyFont="1" applyBorder="1" applyAlignment="1">
      <alignment horizontal="center" vertical="center" wrapText="1"/>
    </xf>
    <xf numFmtId="0" fontId="12" fillId="22" borderId="2" xfId="0" applyFont="1" applyFill="1" applyBorder="1" applyAlignment="1">
      <alignment horizontal="left" vertical="center" wrapText="1"/>
    </xf>
    <xf numFmtId="169" fontId="12" fillId="0" borderId="1" xfId="0" applyNumberFormat="1" applyFont="1" applyBorder="1" applyAlignment="1">
      <alignment horizontal="center" vertical="center" wrapText="1"/>
    </xf>
    <xf numFmtId="0" fontId="12" fillId="0" borderId="1" xfId="0" applyFont="1" applyBorder="1" applyAlignment="1">
      <alignment horizontal="left" vertical="center" wrapText="1"/>
    </xf>
    <xf numFmtId="0" fontId="7" fillId="0" borderId="1" xfId="0" applyFont="1" applyBorder="1"/>
    <xf numFmtId="0" fontId="12" fillId="22" borderId="2" xfId="0" applyFont="1" applyFill="1" applyBorder="1" applyAlignment="1">
      <alignment horizontal="left" vertical="center"/>
    </xf>
    <xf numFmtId="0" fontId="12" fillId="22" borderId="1" xfId="0" applyFont="1" applyFill="1" applyBorder="1" applyAlignment="1">
      <alignment horizontal="left" vertical="center" wrapText="1"/>
    </xf>
    <xf numFmtId="0" fontId="12" fillId="16" borderId="1" xfId="0" applyFont="1" applyFill="1" applyBorder="1" applyAlignment="1">
      <alignment horizontal="center" vertical="center"/>
    </xf>
    <xf numFmtId="9" fontId="0" fillId="16" borderId="1" xfId="0" applyNumberFormat="1" applyFill="1" applyBorder="1" applyAlignment="1">
      <alignment horizontal="center" vertical="center"/>
    </xf>
    <xf numFmtId="0" fontId="19" fillId="0" borderId="0" xfId="0" applyFont="1"/>
    <xf numFmtId="0" fontId="11" fillId="26" borderId="2" xfId="0" applyFont="1" applyFill="1" applyBorder="1"/>
    <xf numFmtId="169" fontId="18" fillId="29" borderId="1" xfId="0" applyNumberFormat="1" applyFont="1" applyFill="1" applyBorder="1" applyAlignment="1">
      <alignment horizontal="center" vertical="center"/>
    </xf>
    <xf numFmtId="0" fontId="27" fillId="0" borderId="0" xfId="0" applyFont="1" applyAlignment="1">
      <alignment vertical="center"/>
    </xf>
    <xf numFmtId="168" fontId="12" fillId="22" borderId="1" xfId="0" applyNumberFormat="1" applyFont="1" applyFill="1" applyBorder="1" applyAlignment="1">
      <alignment horizontal="center" vertical="center" wrapText="1"/>
    </xf>
    <xf numFmtId="169" fontId="12" fillId="0" borderId="1" xfId="0" applyNumberFormat="1" applyFont="1" applyBorder="1" applyAlignment="1">
      <alignment horizontal="center" vertical="center"/>
    </xf>
    <xf numFmtId="175" fontId="12" fillId="0" borderId="1" xfId="0" applyNumberFormat="1" applyFont="1" applyBorder="1" applyAlignment="1">
      <alignment horizontal="center" vertical="center"/>
    </xf>
    <xf numFmtId="2" fontId="12" fillId="0" borderId="1" xfId="0" applyNumberFormat="1" applyFont="1" applyBorder="1" applyAlignment="1">
      <alignment vertical="center" wrapText="1"/>
    </xf>
    <xf numFmtId="0" fontId="12" fillId="0" borderId="1" xfId="0" applyFont="1" applyBorder="1" applyAlignment="1">
      <alignment vertical="center" wrapText="1"/>
    </xf>
    <xf numFmtId="0" fontId="25" fillId="0" borderId="0" xfId="0" applyFont="1" applyAlignment="1">
      <alignment vertical="center" wrapText="1" readingOrder="2"/>
    </xf>
    <xf numFmtId="0" fontId="11" fillId="26" borderId="5" xfId="0" applyFont="1" applyFill="1" applyBorder="1"/>
    <xf numFmtId="0" fontId="0" fillId="0" borderId="2" xfId="0" applyBorder="1" applyAlignment="1">
      <alignment horizontal="center" vertical="center"/>
    </xf>
    <xf numFmtId="169" fontId="0" fillId="0" borderId="2" xfId="0" applyNumberFormat="1" applyBorder="1" applyAlignment="1">
      <alignment horizontal="center" vertical="center"/>
    </xf>
    <xf numFmtId="168" fontId="0" fillId="0" borderId="2" xfId="0" applyNumberFormat="1" applyBorder="1" applyAlignment="1">
      <alignment horizontal="center" vertical="center"/>
    </xf>
    <xf numFmtId="166" fontId="4" fillId="0" borderId="0" xfId="0" applyNumberFormat="1" applyFont="1" applyAlignment="1">
      <alignment vertical="center"/>
    </xf>
    <xf numFmtId="166" fontId="18" fillId="17" borderId="0" xfId="0" applyNumberFormat="1" applyFont="1" applyFill="1" applyAlignment="1">
      <alignment vertical="center" wrapText="1"/>
    </xf>
    <xf numFmtId="0" fontId="12" fillId="0" borderId="3" xfId="0" applyFont="1" applyBorder="1" applyAlignment="1">
      <alignment horizontal="center" vertical="center" wrapText="1"/>
    </xf>
    <xf numFmtId="0" fontId="21" fillId="20" borderId="1" xfId="0" applyFont="1" applyFill="1" applyBorder="1" applyAlignment="1">
      <alignment horizontal="center" vertical="center" wrapText="1"/>
    </xf>
    <xf numFmtId="0" fontId="12" fillId="20" borderId="0" xfId="0" applyFont="1" applyFill="1" applyAlignment="1">
      <alignment wrapText="1"/>
    </xf>
    <xf numFmtId="0" fontId="0" fillId="0" borderId="1" xfId="0" applyBorder="1"/>
    <xf numFmtId="0" fontId="4" fillId="0" borderId="1" xfId="0" applyFont="1" applyBorder="1"/>
    <xf numFmtId="2" fontId="12" fillId="0" borderId="0" xfId="0" applyNumberFormat="1" applyFont="1" applyAlignment="1">
      <alignment horizontal="center" vertical="center"/>
    </xf>
    <xf numFmtId="1" fontId="4" fillId="0" borderId="0" xfId="0" applyNumberFormat="1" applyFont="1"/>
    <xf numFmtId="169" fontId="4" fillId="0" borderId="0" xfId="0" applyNumberFormat="1" applyFont="1"/>
    <xf numFmtId="9" fontId="4" fillId="0" borderId="1" xfId="0" applyNumberFormat="1" applyFont="1" applyBorder="1" applyAlignment="1">
      <alignment horizontal="center" vertical="center"/>
    </xf>
    <xf numFmtId="0" fontId="12" fillId="15" borderId="1" xfId="0" applyFont="1" applyFill="1" applyBorder="1" applyAlignment="1">
      <alignment horizontal="left" vertical="center" wrapText="1"/>
    </xf>
    <xf numFmtId="0" fontId="12" fillId="0" borderId="0" xfId="0" applyFont="1" applyAlignment="1">
      <alignment horizontal="left" wrapText="1"/>
    </xf>
    <xf numFmtId="0" fontId="11" fillId="26" borderId="1" xfId="0" applyFont="1" applyFill="1" applyBorder="1" applyAlignment="1">
      <alignment horizontal="left"/>
    </xf>
    <xf numFmtId="0" fontId="24" fillId="0" borderId="0" xfId="0" applyFont="1"/>
    <xf numFmtId="165" fontId="0" fillId="22" borderId="7" xfId="0" applyNumberFormat="1" applyFill="1" applyBorder="1"/>
    <xf numFmtId="181" fontId="12" fillId="0" borderId="0" xfId="0" applyNumberFormat="1" applyFont="1" applyAlignment="1">
      <alignment horizontal="center" vertical="center" wrapText="1"/>
    </xf>
    <xf numFmtId="0" fontId="12" fillId="21" borderId="0" xfId="0" applyFont="1" applyFill="1" applyAlignment="1">
      <alignment horizontal="center" vertical="center" wrapText="1"/>
    </xf>
    <xf numFmtId="0" fontId="22" fillId="15" borderId="1" xfId="0" applyFont="1" applyFill="1" applyBorder="1" applyAlignment="1">
      <alignment horizontal="center" vertical="center" wrapText="1"/>
    </xf>
    <xf numFmtId="165" fontId="19" fillId="15" borderId="1" xfId="0" applyNumberFormat="1" applyFont="1" applyFill="1" applyBorder="1" applyAlignment="1">
      <alignment horizontal="center" vertical="center" wrapText="1"/>
    </xf>
    <xf numFmtId="0" fontId="12" fillId="0" borderId="2" xfId="0" applyFont="1" applyBorder="1" applyAlignment="1">
      <alignment horizontal="left" vertical="center"/>
    </xf>
    <xf numFmtId="0" fontId="11" fillId="29" borderId="9" xfId="0" applyFont="1" applyFill="1" applyBorder="1"/>
    <xf numFmtId="169" fontId="18" fillId="29" borderId="15" xfId="0" applyNumberFormat="1" applyFont="1" applyFill="1" applyBorder="1"/>
    <xf numFmtId="169" fontId="18" fillId="29" borderId="16" xfId="0" applyNumberFormat="1" applyFont="1" applyFill="1" applyBorder="1"/>
    <xf numFmtId="181" fontId="4" fillId="0" borderId="11" xfId="0" applyNumberFormat="1" applyFont="1" applyBorder="1"/>
    <xf numFmtId="169" fontId="4" fillId="0" borderId="11" xfId="0" applyNumberFormat="1" applyFont="1" applyBorder="1"/>
    <xf numFmtId="175" fontId="4" fillId="0" borderId="11" xfId="0" applyNumberFormat="1" applyFont="1" applyBorder="1"/>
    <xf numFmtId="181" fontId="4" fillId="16" borderId="1" xfId="0" applyNumberFormat="1" applyFont="1" applyFill="1" applyBorder="1"/>
    <xf numFmtId="175" fontId="4" fillId="22" borderId="1" xfId="0" applyNumberFormat="1" applyFont="1" applyFill="1" applyBorder="1"/>
    <xf numFmtId="181" fontId="4" fillId="0" borderId="0" xfId="0" applyNumberFormat="1" applyFont="1"/>
    <xf numFmtId="175" fontId="4" fillId="0" borderId="0" xfId="0" applyNumberFormat="1" applyFont="1"/>
    <xf numFmtId="182" fontId="22" fillId="0" borderId="1" xfId="0" applyNumberFormat="1" applyFont="1" applyBorder="1"/>
    <xf numFmtId="0" fontId="20" fillId="0" borderId="0" xfId="0" applyFont="1"/>
    <xf numFmtId="0" fontId="25" fillId="30" borderId="0" xfId="0" applyFont="1" applyFill="1" applyAlignment="1">
      <alignment vertical="center" wrapText="1"/>
    </xf>
    <xf numFmtId="0" fontId="0" fillId="0" borderId="1" xfId="0" applyBorder="1" applyAlignment="1">
      <alignment vertical="center"/>
    </xf>
    <xf numFmtId="1" fontId="0" fillId="0" borderId="1" xfId="0" applyNumberFormat="1" applyBorder="1" applyAlignment="1">
      <alignment vertical="center"/>
    </xf>
    <xf numFmtId="9" fontId="19" fillId="0" borderId="1" xfId="0" applyNumberFormat="1" applyFont="1" applyBorder="1" applyAlignment="1">
      <alignment horizontal="center" vertical="center" wrapText="1"/>
    </xf>
    <xf numFmtId="0" fontId="12" fillId="15" borderId="3" xfId="0" applyFont="1" applyFill="1" applyBorder="1" applyAlignment="1">
      <alignment horizontal="center" vertical="center" wrapText="1"/>
    </xf>
    <xf numFmtId="0" fontId="12" fillId="0" borderId="1" xfId="0" applyFont="1" applyBorder="1" applyAlignment="1">
      <alignment wrapText="1"/>
    </xf>
    <xf numFmtId="0" fontId="19" fillId="0" borderId="0" xfId="0" applyFont="1" applyAlignment="1">
      <alignment wrapText="1"/>
    </xf>
    <xf numFmtId="166" fontId="12" fillId="19" borderId="0" xfId="0" applyNumberFormat="1" applyFont="1" applyFill="1" applyAlignment="1">
      <alignment horizontal="center" vertical="center" wrapText="1"/>
    </xf>
    <xf numFmtId="0" fontId="4" fillId="20" borderId="0" xfId="0" applyFont="1" applyFill="1"/>
    <xf numFmtId="0" fontId="22" fillId="21" borderId="1" xfId="0" applyFont="1" applyFill="1" applyBorder="1" applyAlignment="1">
      <alignment horizontal="center" vertical="center"/>
    </xf>
    <xf numFmtId="0" fontId="0" fillId="22" borderId="0" xfId="0" applyFill="1" applyAlignment="1">
      <alignment horizontal="center" vertical="center"/>
    </xf>
    <xf numFmtId="1" fontId="12" fillId="0" borderId="0" xfId="0" applyNumberFormat="1" applyFont="1" applyAlignment="1">
      <alignment horizontal="center" vertical="center"/>
    </xf>
    <xf numFmtId="0" fontId="0" fillId="22" borderId="1" xfId="0" applyFill="1" applyBorder="1" applyAlignment="1">
      <alignment horizontal="center" vertical="center"/>
    </xf>
    <xf numFmtId="0" fontId="4" fillId="0" borderId="1" xfId="0" applyFont="1" applyBorder="1" applyAlignment="1">
      <alignment horizontal="center"/>
    </xf>
    <xf numFmtId="175" fontId="4" fillId="0" borderId="0" xfId="0" applyNumberFormat="1" applyFont="1" applyAlignment="1">
      <alignment horizontal="center"/>
    </xf>
    <xf numFmtId="166" fontId="4" fillId="0" borderId="0" xfId="0" applyNumberFormat="1" applyFont="1" applyAlignment="1">
      <alignment horizontal="center"/>
    </xf>
    <xf numFmtId="0" fontId="22" fillId="0" borderId="0" xfId="0" applyFont="1"/>
    <xf numFmtId="165" fontId="0" fillId="0" borderId="1" xfId="0" applyNumberFormat="1" applyBorder="1"/>
    <xf numFmtId="165" fontId="0" fillId="0" borderId="6" xfId="0" applyNumberFormat="1" applyBorder="1"/>
    <xf numFmtId="0" fontId="7" fillId="23" borderId="17" xfId="0" applyFont="1" applyFill="1" applyBorder="1"/>
    <xf numFmtId="0" fontId="0" fillId="0" borderId="15" xfId="0" applyBorder="1"/>
    <xf numFmtId="0" fontId="0" fillId="0" borderId="16" xfId="0" applyBorder="1"/>
    <xf numFmtId="0" fontId="0" fillId="0" borderId="11" xfId="0" applyBorder="1"/>
    <xf numFmtId="165" fontId="0" fillId="0" borderId="11" xfId="0" applyNumberFormat="1" applyBorder="1"/>
    <xf numFmtId="1" fontId="12" fillId="0" borderId="0" xfId="0" applyNumberFormat="1" applyFont="1" applyAlignment="1">
      <alignment wrapText="1"/>
    </xf>
    <xf numFmtId="0" fontId="22" fillId="0" borderId="0" xfId="0" applyFont="1" applyAlignment="1">
      <alignment horizontal="center" vertical="center" wrapText="1"/>
    </xf>
    <xf numFmtId="0" fontId="22" fillId="0" borderId="0" xfId="0" applyFont="1" applyAlignment="1">
      <alignment horizontal="center" vertical="center"/>
    </xf>
    <xf numFmtId="0" fontId="0" fillId="0" borderId="0" xfId="0" applyAlignment="1">
      <alignment vertical="center"/>
    </xf>
    <xf numFmtId="0" fontId="11" fillId="26" borderId="12" xfId="0" applyFont="1" applyFill="1" applyBorder="1"/>
    <xf numFmtId="170" fontId="12" fillId="0" borderId="1" xfId="0" applyNumberFormat="1" applyFont="1" applyBorder="1" applyAlignment="1">
      <alignment horizontal="center" vertical="center"/>
    </xf>
    <xf numFmtId="0" fontId="21" fillId="0" borderId="0" xfId="0" applyFont="1" applyAlignment="1">
      <alignment vertical="center" wrapText="1"/>
    </xf>
    <xf numFmtId="0" fontId="21" fillId="0" borderId="14" xfId="0" applyFont="1" applyBorder="1" applyAlignment="1">
      <alignment vertical="center" wrapText="1"/>
    </xf>
    <xf numFmtId="0" fontId="22" fillId="15" borderId="3" xfId="0" applyFont="1" applyFill="1" applyBorder="1" applyAlignment="1">
      <alignment horizontal="center" vertical="center"/>
    </xf>
    <xf numFmtId="1" fontId="0" fillId="0" borderId="3" xfId="0" applyNumberFormat="1" applyBorder="1" applyAlignment="1">
      <alignment horizontal="center" vertical="center"/>
    </xf>
    <xf numFmtId="0" fontId="0" fillId="0" borderId="18" xfId="0" applyBorder="1" applyAlignment="1">
      <alignment vertical="center"/>
    </xf>
    <xf numFmtId="0" fontId="0" fillId="0" borderId="18" xfId="0" applyBorder="1" applyAlignment="1">
      <alignment horizontal="center" vertical="center"/>
    </xf>
    <xf numFmtId="0" fontId="12" fillId="0" borderId="18" xfId="0" applyFont="1" applyBorder="1" applyAlignment="1">
      <alignment horizontal="center" vertical="center"/>
    </xf>
    <xf numFmtId="1" fontId="12" fillId="0" borderId="18" xfId="0" applyNumberFormat="1" applyFont="1" applyBorder="1" applyAlignment="1">
      <alignment horizontal="center" vertical="center"/>
    </xf>
    <xf numFmtId="9" fontId="0" fillId="0" borderId="18" xfId="0" applyNumberFormat="1" applyBorder="1" applyAlignment="1">
      <alignment horizontal="center" vertical="center"/>
    </xf>
    <xf numFmtId="168" fontId="12" fillId="0" borderId="18" xfId="0" applyNumberFormat="1" applyFont="1" applyBorder="1" applyAlignment="1">
      <alignment horizontal="center" vertical="center" wrapText="1"/>
    </xf>
    <xf numFmtId="1" fontId="0" fillId="0" borderId="18" xfId="0" applyNumberFormat="1" applyBorder="1" applyAlignment="1">
      <alignment horizontal="center" vertical="center"/>
    </xf>
    <xf numFmtId="16" fontId="4" fillId="0" borderId="0" xfId="0" applyNumberFormat="1" applyFont="1"/>
    <xf numFmtId="0" fontId="28" fillId="0" borderId="0" xfId="0" applyFont="1" applyAlignment="1">
      <alignment horizontal="center"/>
    </xf>
    <xf numFmtId="0" fontId="18" fillId="26" borderId="4" xfId="0" applyFont="1" applyFill="1" applyBorder="1" applyAlignment="1">
      <alignment horizontal="center"/>
    </xf>
    <xf numFmtId="175" fontId="12" fillId="0" borderId="1" xfId="0" applyNumberFormat="1" applyFont="1" applyBorder="1" applyAlignment="1">
      <alignment horizontal="center" vertical="center" wrapText="1"/>
    </xf>
    <xf numFmtId="165" fontId="12" fillId="0" borderId="6" xfId="0" applyNumberFormat="1" applyFont="1" applyBorder="1" applyAlignment="1">
      <alignment horizontal="center" vertical="center" wrapText="1"/>
    </xf>
    <xf numFmtId="0" fontId="12" fillId="15" borderId="8" xfId="0" applyFont="1" applyFill="1" applyBorder="1" applyAlignment="1">
      <alignment horizontal="center" vertical="center" wrapText="1"/>
    </xf>
    <xf numFmtId="0" fontId="12" fillId="0" borderId="6" xfId="0" applyFont="1" applyBorder="1" applyAlignment="1">
      <alignment wrapText="1"/>
    </xf>
    <xf numFmtId="0" fontId="21" fillId="20" borderId="5" xfId="0" applyFont="1" applyFill="1" applyBorder="1" applyAlignment="1">
      <alignment vertical="center" wrapText="1"/>
    </xf>
    <xf numFmtId="0" fontId="19" fillId="0" borderId="0" xfId="0" applyFont="1" applyAlignment="1">
      <alignment horizontal="center" vertical="center" wrapText="1"/>
    </xf>
    <xf numFmtId="0" fontId="18" fillId="26" borderId="1" xfId="0" applyFont="1" applyFill="1" applyBorder="1" applyAlignment="1">
      <alignment horizontal="center"/>
    </xf>
    <xf numFmtId="0" fontId="21" fillId="18" borderId="10" xfId="0" applyFont="1" applyFill="1" applyBorder="1" applyAlignment="1">
      <alignment horizontal="center" vertical="center" wrapText="1"/>
    </xf>
    <xf numFmtId="0" fontId="28" fillId="0" borderId="1" xfId="0" applyFont="1" applyBorder="1" applyAlignment="1">
      <alignment vertical="center"/>
    </xf>
    <xf numFmtId="1" fontId="23" fillId="0" borderId="1" xfId="0" applyNumberFormat="1" applyFont="1" applyBorder="1" applyAlignment="1">
      <alignment horizontal="center" vertical="center"/>
    </xf>
    <xf numFmtId="168" fontId="23" fillId="0" borderId="1" xfId="0" applyNumberFormat="1" applyFont="1" applyBorder="1" applyAlignment="1">
      <alignment horizontal="center" vertical="center"/>
    </xf>
    <xf numFmtId="9" fontId="28" fillId="0" borderId="1" xfId="0" applyNumberFormat="1" applyFont="1" applyBorder="1" applyAlignment="1">
      <alignment horizontal="center" vertical="center"/>
    </xf>
    <xf numFmtId="1" fontId="23" fillId="0" borderId="1" xfId="0" applyNumberFormat="1" applyFont="1" applyBorder="1" applyAlignment="1">
      <alignment horizontal="center" vertical="center" wrapText="1"/>
    </xf>
    <xf numFmtId="1" fontId="28" fillId="0" borderId="1" xfId="0" applyNumberFormat="1" applyFont="1" applyBorder="1" applyAlignment="1">
      <alignment horizontal="center" vertical="center"/>
    </xf>
    <xf numFmtId="0" fontId="17" fillId="0" borderId="1" xfId="0" applyFont="1" applyBorder="1" applyAlignment="1">
      <alignment horizontal="right"/>
    </xf>
    <xf numFmtId="0" fontId="21" fillId="0" borderId="0" xfId="0" applyFont="1"/>
    <xf numFmtId="0" fontId="21" fillId="0" borderId="0" xfId="0" applyFont="1" applyAlignment="1">
      <alignment horizontal="center"/>
    </xf>
    <xf numFmtId="0" fontId="0" fillId="0" borderId="2" xfId="0" applyBorder="1" applyAlignment="1">
      <alignment horizontal="left"/>
    </xf>
    <xf numFmtId="0" fontId="12" fillId="0" borderId="2" xfId="0" applyFont="1" applyBorder="1" applyAlignment="1">
      <alignment horizontal="left" vertical="center" wrapText="1"/>
    </xf>
    <xf numFmtId="0" fontId="7" fillId="22" borderId="1" xfId="0" applyFont="1" applyFill="1" applyBorder="1" applyAlignment="1">
      <alignment horizontal="right" vertical="center" wrapText="1"/>
    </xf>
    <xf numFmtId="1" fontId="12" fillId="15" borderId="1" xfId="0" applyNumberFormat="1" applyFont="1" applyFill="1" applyBorder="1" applyAlignment="1">
      <alignment horizontal="center" vertical="center" wrapText="1"/>
    </xf>
    <xf numFmtId="166" fontId="12" fillId="0" borderId="0" xfId="0" applyNumberFormat="1" applyFont="1" applyAlignment="1">
      <alignment horizontal="center" vertical="center" wrapText="1"/>
    </xf>
    <xf numFmtId="0" fontId="22" fillId="0" borderId="2" xfId="0" applyFont="1" applyBorder="1" applyAlignment="1">
      <alignment horizontal="left" vertical="center"/>
    </xf>
    <xf numFmtId="166" fontId="4" fillId="0" borderId="0" xfId="0" applyNumberFormat="1" applyFont="1"/>
    <xf numFmtId="0" fontId="20" fillId="0" borderId="0" xfId="0" applyFont="1" applyAlignment="1">
      <alignment wrapText="1"/>
    </xf>
    <xf numFmtId="10" fontId="4" fillId="0" borderId="0" xfId="0" applyNumberFormat="1" applyFont="1"/>
    <xf numFmtId="174" fontId="0" fillId="0" borderId="0" xfId="0" applyNumberFormat="1"/>
    <xf numFmtId="179" fontId="4" fillId="0" borderId="0" xfId="0" applyNumberFormat="1" applyFont="1"/>
    <xf numFmtId="0" fontId="12" fillId="0" borderId="3" xfId="0" applyFont="1" applyBorder="1" applyAlignment="1">
      <alignment horizontal="center" vertical="center"/>
    </xf>
    <xf numFmtId="9" fontId="0" fillId="0" borderId="2" xfId="0" applyNumberFormat="1" applyBorder="1" applyAlignment="1">
      <alignment horizontal="center" vertical="center"/>
    </xf>
    <xf numFmtId="170" fontId="12" fillId="0" borderId="1" xfId="0" applyNumberFormat="1" applyFont="1" applyBorder="1" applyAlignment="1">
      <alignment horizontal="center" vertical="center" wrapText="1"/>
    </xf>
    <xf numFmtId="0" fontId="12" fillId="20" borderId="1" xfId="0" applyFont="1" applyFill="1" applyBorder="1" applyAlignment="1">
      <alignment wrapText="1"/>
    </xf>
    <xf numFmtId="0" fontId="13" fillId="0" borderId="0" xfId="0" applyFont="1"/>
    <xf numFmtId="175" fontId="12" fillId="0" borderId="1" xfId="0" applyNumberFormat="1" applyFont="1" applyBorder="1" applyAlignment="1">
      <alignment vertical="center"/>
    </xf>
    <xf numFmtId="166" fontId="12" fillId="0" borderId="1" xfId="0" applyNumberFormat="1" applyFont="1" applyBorder="1" applyAlignment="1">
      <alignment vertical="center" wrapText="1"/>
    </xf>
    <xf numFmtId="0" fontId="12" fillId="0" borderId="2" xfId="0" applyFont="1" applyBorder="1" applyAlignment="1">
      <alignment horizontal="center" vertical="center" wrapText="1"/>
    </xf>
    <xf numFmtId="0" fontId="4" fillId="16" borderId="0" xfId="0" applyFont="1" applyFill="1"/>
    <xf numFmtId="0" fontId="4" fillId="0" borderId="6" xfId="0" applyFont="1" applyBorder="1"/>
    <xf numFmtId="0" fontId="4" fillId="0" borderId="18" xfId="0" applyFont="1" applyBorder="1"/>
    <xf numFmtId="0" fontId="28" fillId="0" borderId="0" xfId="0" applyFont="1" applyAlignment="1">
      <alignment vertical="center"/>
    </xf>
    <xf numFmtId="165" fontId="4" fillId="0" borderId="1" xfId="0" applyNumberFormat="1" applyFont="1" applyBorder="1" applyAlignment="1">
      <alignment horizontal="center" vertical="center"/>
    </xf>
    <xf numFmtId="0" fontId="25" fillId="30" borderId="5" xfId="0" applyFont="1" applyFill="1" applyBorder="1" applyAlignment="1">
      <alignment vertical="center" wrapText="1"/>
    </xf>
    <xf numFmtId="0" fontId="22" fillId="15" borderId="11" xfId="0" applyFont="1" applyFill="1" applyBorder="1" applyAlignment="1">
      <alignment vertical="center" wrapText="1"/>
    </xf>
    <xf numFmtId="0" fontId="22" fillId="15" borderId="12" xfId="0" applyFont="1" applyFill="1" applyBorder="1" applyAlignment="1">
      <alignment vertical="center"/>
    </xf>
    <xf numFmtId="0" fontId="22" fillId="15" borderId="12" xfId="0" applyFont="1" applyFill="1" applyBorder="1" applyAlignment="1">
      <alignment vertical="center" wrapText="1"/>
    </xf>
    <xf numFmtId="0" fontId="22" fillId="21" borderId="12" xfId="0" applyFont="1" applyFill="1" applyBorder="1" applyAlignment="1">
      <alignment vertical="center" wrapText="1"/>
    </xf>
    <xf numFmtId="0" fontId="0" fillId="0" borderId="1" xfId="0" applyBorder="1" applyAlignment="1">
      <alignment horizontal="left"/>
    </xf>
    <xf numFmtId="165" fontId="4" fillId="0" borderId="0" xfId="0" applyNumberFormat="1" applyFont="1"/>
    <xf numFmtId="9" fontId="4" fillId="0" borderId="0" xfId="0" applyNumberFormat="1" applyFont="1"/>
    <xf numFmtId="1" fontId="24" fillId="0" borderId="0" xfId="0" applyNumberFormat="1" applyFont="1" applyAlignment="1">
      <alignment wrapText="1"/>
    </xf>
    <xf numFmtId="0" fontId="19" fillId="15" borderId="2" xfId="0" applyFont="1" applyFill="1" applyBorder="1" applyAlignment="1">
      <alignment horizontal="center" vertical="center" wrapText="1"/>
    </xf>
    <xf numFmtId="1" fontId="0" fillId="0" borderId="1" xfId="0" applyNumberFormat="1" applyBorder="1"/>
    <xf numFmtId="0" fontId="12" fillId="0" borderId="19" xfId="0" applyFont="1" applyBorder="1" applyAlignment="1">
      <alignment horizontal="center" vertical="center" wrapText="1"/>
    </xf>
    <xf numFmtId="0" fontId="0" fillId="0" borderId="6" xfId="0" applyBorder="1" applyAlignment="1">
      <alignment horizontal="center" vertical="center"/>
    </xf>
    <xf numFmtId="0" fontId="12" fillId="0" borderId="6" xfId="0" applyFont="1" applyBorder="1" applyAlignment="1">
      <alignment horizontal="center" vertical="center"/>
    </xf>
    <xf numFmtId="2" fontId="12" fillId="0" borderId="6" xfId="0" applyNumberFormat="1" applyFont="1" applyBorder="1" applyAlignment="1">
      <alignment horizontal="center" vertical="center"/>
    </xf>
    <xf numFmtId="0" fontId="12" fillId="0" borderId="18" xfId="0" applyFont="1" applyBorder="1" applyAlignment="1">
      <alignment horizontal="center" vertical="center" wrapText="1"/>
    </xf>
    <xf numFmtId="0" fontId="12" fillId="0" borderId="18" xfId="0" applyFont="1" applyBorder="1" applyAlignment="1">
      <alignment wrapText="1"/>
    </xf>
    <xf numFmtId="1" fontId="12" fillId="0" borderId="3" xfId="0" applyNumberFormat="1" applyFont="1" applyBorder="1" applyAlignment="1">
      <alignment horizontal="center" vertical="center" wrapText="1"/>
    </xf>
    <xf numFmtId="2" fontId="4" fillId="16" borderId="1" xfId="0" applyNumberFormat="1" applyFont="1" applyFill="1" applyBorder="1"/>
    <xf numFmtId="0" fontId="11" fillId="26" borderId="10" xfId="0" applyFont="1" applyFill="1" applyBorder="1" applyAlignment="1">
      <alignment horizontal="center" vertical="center"/>
    </xf>
    <xf numFmtId="0" fontId="11" fillId="26" borderId="1" xfId="0" applyFont="1" applyFill="1" applyBorder="1" applyAlignment="1">
      <alignment horizontal="center" vertical="center"/>
    </xf>
    <xf numFmtId="0" fontId="11" fillId="26" borderId="6" xfId="0" applyFont="1" applyFill="1" applyBorder="1" applyAlignment="1">
      <alignment horizontal="center" vertical="center"/>
    </xf>
    <xf numFmtId="0" fontId="11" fillId="26" borderId="3" xfId="0" applyFont="1" applyFill="1" applyBorder="1" applyAlignment="1">
      <alignment horizontal="center" vertical="center"/>
    </xf>
    <xf numFmtId="0" fontId="11" fillId="26" borderId="8" xfId="0" applyFont="1" applyFill="1" applyBorder="1" applyAlignment="1">
      <alignment horizontal="center" vertical="center"/>
    </xf>
    <xf numFmtId="0" fontId="7" fillId="23" borderId="9" xfId="0" applyFont="1" applyFill="1" applyBorder="1" applyAlignment="1">
      <alignment horizontal="center" vertical="center"/>
    </xf>
    <xf numFmtId="0" fontId="24" fillId="0" borderId="0" xfId="0" applyFont="1" applyAlignment="1">
      <alignment horizontal="center" vertical="center" wrapText="1"/>
    </xf>
    <xf numFmtId="165" fontId="12" fillId="0" borderId="1" xfId="0" applyNumberFormat="1" applyFont="1" applyBorder="1" applyAlignment="1">
      <alignment horizontal="center" vertical="center"/>
    </xf>
    <xf numFmtId="2" fontId="12" fillId="0" borderId="1" xfId="0" applyNumberFormat="1" applyFont="1" applyBorder="1" applyAlignment="1">
      <alignment wrapText="1"/>
    </xf>
    <xf numFmtId="0" fontId="7" fillId="20" borderId="1" xfId="0" applyFont="1" applyFill="1" applyBorder="1"/>
    <xf numFmtId="0" fontId="28" fillId="0" borderId="1" xfId="0" applyFont="1" applyBorder="1"/>
    <xf numFmtId="169" fontId="0" fillId="0" borderId="0" xfId="0" applyNumberFormat="1"/>
    <xf numFmtId="0" fontId="11" fillId="0" borderId="14" xfId="0" applyFont="1" applyBorder="1"/>
    <xf numFmtId="1" fontId="0" fillId="0" borderId="1" xfId="0" applyNumberFormat="1" applyBorder="1" applyAlignment="1">
      <alignment horizontal="center"/>
    </xf>
    <xf numFmtId="183" fontId="12" fillId="0" borderId="1" xfId="0" applyNumberFormat="1" applyFont="1" applyBorder="1" applyAlignment="1">
      <alignment horizontal="center" vertical="center"/>
    </xf>
    <xf numFmtId="0" fontId="29" fillId="28" borderId="1" xfId="0" applyFont="1" applyFill="1" applyBorder="1" applyAlignment="1">
      <alignment wrapText="1"/>
    </xf>
    <xf numFmtId="0" fontId="30" fillId="28" borderId="1" xfId="0" applyFont="1" applyFill="1" applyBorder="1" applyAlignment="1">
      <alignment wrapText="1"/>
    </xf>
    <xf numFmtId="0" fontId="0" fillId="0" borderId="19" xfId="0" applyBorder="1" applyAlignment="1">
      <alignment vertical="center"/>
    </xf>
    <xf numFmtId="1" fontId="12" fillId="0" borderId="6" xfId="0" applyNumberFormat="1" applyFont="1" applyBorder="1" applyAlignment="1">
      <alignment horizontal="center" vertical="center"/>
    </xf>
    <xf numFmtId="9" fontId="0" fillId="0" borderId="6" xfId="0" applyNumberFormat="1" applyBorder="1" applyAlignment="1">
      <alignment horizontal="center" vertical="center"/>
    </xf>
    <xf numFmtId="168" fontId="12" fillId="0" borderId="6" xfId="0" applyNumberFormat="1" applyFont="1" applyBorder="1" applyAlignment="1">
      <alignment horizontal="center" vertical="center" wrapText="1"/>
    </xf>
    <xf numFmtId="1" fontId="0" fillId="0" borderId="6" xfId="0" applyNumberFormat="1" applyBorder="1" applyAlignment="1">
      <alignment horizontal="center" vertical="center"/>
    </xf>
    <xf numFmtId="178" fontId="12" fillId="0" borderId="1" xfId="0" applyNumberFormat="1" applyFont="1" applyBorder="1" applyAlignment="1">
      <alignment vertical="center" wrapText="1"/>
    </xf>
    <xf numFmtId="0" fontId="22" fillId="0" borderId="11" xfId="0" applyFont="1" applyBorder="1" applyAlignment="1">
      <alignment horizontal="center" vertical="center" wrapText="1"/>
    </xf>
    <xf numFmtId="0" fontId="31" fillId="0" borderId="0" xfId="0" applyFont="1"/>
    <xf numFmtId="184" fontId="4" fillId="0" borderId="0" xfId="0" applyNumberFormat="1" applyFont="1"/>
    <xf numFmtId="172" fontId="0" fillId="16" borderId="1" xfId="0" applyNumberFormat="1" applyFill="1" applyBorder="1"/>
    <xf numFmtId="1" fontId="12" fillId="0" borderId="6" xfId="0" applyNumberFormat="1" applyFont="1" applyBorder="1" applyAlignment="1">
      <alignment horizontal="center" vertical="center" wrapText="1"/>
    </xf>
    <xf numFmtId="0" fontId="11" fillId="26" borderId="6" xfId="0" applyFont="1" applyFill="1" applyBorder="1" applyAlignment="1">
      <alignment horizontal="center"/>
    </xf>
    <xf numFmtId="180" fontId="33" fillId="0" borderId="0" xfId="0" applyNumberFormat="1" applyFont="1"/>
    <xf numFmtId="174" fontId="4" fillId="0" borderId="0" xfId="0" applyNumberFormat="1" applyFont="1"/>
    <xf numFmtId="2" fontId="4" fillId="0" borderId="0" xfId="0" applyNumberFormat="1" applyFont="1"/>
    <xf numFmtId="169" fontId="12" fillId="22" borderId="1" xfId="0" applyNumberFormat="1" applyFont="1" applyFill="1" applyBorder="1" applyAlignment="1">
      <alignment horizontal="center" vertical="center" wrapText="1"/>
    </xf>
    <xf numFmtId="173" fontId="4" fillId="0" borderId="11" xfId="0" applyNumberFormat="1" applyFont="1" applyBorder="1"/>
    <xf numFmtId="169" fontId="4" fillId="22" borderId="11" xfId="0" applyNumberFormat="1" applyFont="1" applyFill="1" applyBorder="1"/>
    <xf numFmtId="179" fontId="4" fillId="16" borderId="1" xfId="0" applyNumberFormat="1" applyFont="1" applyFill="1" applyBorder="1"/>
    <xf numFmtId="173" fontId="4" fillId="16" borderId="1" xfId="0" applyNumberFormat="1" applyFont="1" applyFill="1" applyBorder="1"/>
    <xf numFmtId="0" fontId="12" fillId="0" borderId="5" xfId="0" applyFont="1" applyBorder="1" applyAlignment="1">
      <alignment horizontal="center" vertical="center" wrapText="1"/>
    </xf>
    <xf numFmtId="0" fontId="12" fillId="7" borderId="0" xfId="0" applyFont="1" applyFill="1" applyAlignment="1">
      <alignment horizontal="center" vertical="center" wrapText="1"/>
    </xf>
    <xf numFmtId="0" fontId="12" fillId="0" borderId="19" xfId="0" applyFont="1" applyBorder="1" applyAlignment="1">
      <alignment horizontal="left" vertical="center"/>
    </xf>
    <xf numFmtId="0" fontId="12" fillId="0" borderId="6" xfId="0" applyFont="1" applyBorder="1" applyAlignment="1">
      <alignment horizontal="center" vertical="center" wrapText="1"/>
    </xf>
    <xf numFmtId="169" fontId="12" fillId="0" borderId="6" xfId="0" applyNumberFormat="1" applyFont="1" applyBorder="1" applyAlignment="1">
      <alignment wrapText="1"/>
    </xf>
    <xf numFmtId="0" fontId="28" fillId="0" borderId="18" xfId="0" applyFont="1" applyBorder="1" applyAlignment="1">
      <alignment vertical="center"/>
    </xf>
    <xf numFmtId="0" fontId="0" fillId="22" borderId="18" xfId="0" applyFill="1" applyBorder="1" applyAlignment="1">
      <alignment horizontal="center" vertical="center"/>
    </xf>
    <xf numFmtId="1" fontId="12" fillId="0" borderId="18" xfId="0" applyNumberFormat="1" applyFont="1" applyBorder="1" applyAlignment="1">
      <alignment horizontal="center" vertical="center" wrapText="1"/>
    </xf>
    <xf numFmtId="169" fontId="12" fillId="0" borderId="18" xfId="0" applyNumberFormat="1" applyFont="1" applyBorder="1" applyAlignment="1">
      <alignment wrapText="1"/>
    </xf>
    <xf numFmtId="166" fontId="19" fillId="0" borderId="0" xfId="0" applyNumberFormat="1" applyFont="1" applyAlignment="1">
      <alignment horizontal="center" vertical="center" wrapText="1"/>
    </xf>
    <xf numFmtId="1" fontId="23" fillId="0" borderId="0" xfId="0" applyNumberFormat="1" applyFont="1" applyAlignment="1">
      <alignment horizontal="center" vertical="center"/>
    </xf>
    <xf numFmtId="168" fontId="23" fillId="0" borderId="0" xfId="0" applyNumberFormat="1" applyFont="1" applyAlignment="1">
      <alignment horizontal="center" vertical="center"/>
    </xf>
    <xf numFmtId="9" fontId="28" fillId="0" borderId="0" xfId="0" applyNumberFormat="1" applyFont="1" applyAlignment="1">
      <alignment horizontal="center" vertical="center"/>
    </xf>
    <xf numFmtId="1" fontId="23" fillId="0" borderId="0" xfId="0" applyNumberFormat="1" applyFont="1" applyAlignment="1">
      <alignment horizontal="center" vertical="center" wrapText="1"/>
    </xf>
    <xf numFmtId="1" fontId="28" fillId="0" borderId="0" xfId="0" applyNumberFormat="1" applyFont="1" applyAlignment="1">
      <alignment horizontal="center" vertical="center"/>
    </xf>
    <xf numFmtId="0" fontId="18" fillId="0" borderId="0" xfId="0" applyFont="1"/>
    <xf numFmtId="165" fontId="4" fillId="0" borderId="0" xfId="0" applyNumberFormat="1" applyFont="1" applyAlignment="1">
      <alignment horizontal="center"/>
    </xf>
    <xf numFmtId="168" fontId="0" fillId="0" borderId="0" xfId="0" applyNumberFormat="1" applyAlignment="1">
      <alignment vertical="center"/>
    </xf>
    <xf numFmtId="170" fontId="12" fillId="0" borderId="0" xfId="0" applyNumberFormat="1" applyFont="1" applyAlignment="1">
      <alignment horizontal="center" vertical="center"/>
    </xf>
    <xf numFmtId="176" fontId="26" fillId="0" borderId="0" xfId="0" applyNumberFormat="1" applyFont="1"/>
    <xf numFmtId="0" fontId="27" fillId="0" borderId="0" xfId="0" applyFont="1" applyAlignment="1">
      <alignment horizontal="center" vertical="center"/>
    </xf>
    <xf numFmtId="177" fontId="26" fillId="0" borderId="0" xfId="0" applyNumberFormat="1" applyFont="1"/>
    <xf numFmtId="169" fontId="26" fillId="0" borderId="0" xfId="0" applyNumberFormat="1" applyFont="1"/>
    <xf numFmtId="168" fontId="0" fillId="0" borderId="1" xfId="0" applyNumberFormat="1" applyBorder="1" applyAlignment="1">
      <alignment vertical="center"/>
    </xf>
    <xf numFmtId="0" fontId="4" fillId="0" borderId="18" xfId="0" applyFont="1" applyBorder="1" applyAlignment="1">
      <alignment vertical="center"/>
    </xf>
    <xf numFmtId="0" fontId="18" fillId="29" borderId="1" xfId="0" applyFont="1" applyFill="1" applyBorder="1" applyAlignment="1">
      <alignment horizontal="center" vertical="center"/>
    </xf>
    <xf numFmtId="0" fontId="21" fillId="20" borderId="0" xfId="0" applyFont="1" applyFill="1" applyAlignment="1">
      <alignment vertical="center" wrapText="1"/>
    </xf>
    <xf numFmtId="165" fontId="0" fillId="0" borderId="0" xfId="0" applyNumberFormat="1"/>
    <xf numFmtId="0" fontId="22" fillId="0" borderId="3" xfId="0" applyFont="1" applyBorder="1" applyAlignment="1">
      <alignment horizontal="center" vertical="center" wrapText="1"/>
    </xf>
    <xf numFmtId="0" fontId="12" fillId="0" borderId="1" xfId="0" applyFont="1" applyBorder="1" applyAlignment="1">
      <alignment horizontal="left" vertical="center"/>
    </xf>
    <xf numFmtId="0" fontId="4" fillId="0" borderId="2" xfId="0" applyFont="1" applyBorder="1" applyAlignment="1">
      <alignment horizontal="center" vertical="center"/>
    </xf>
    <xf numFmtId="0" fontId="7" fillId="0" borderId="3" xfId="0" applyFont="1" applyBorder="1"/>
    <xf numFmtId="182" fontId="0" fillId="16" borderId="1" xfId="0" applyNumberFormat="1" applyFill="1" applyBorder="1"/>
    <xf numFmtId="168" fontId="0" fillId="0" borderId="1" xfId="0" applyNumberFormat="1" applyBorder="1"/>
    <xf numFmtId="0" fontId="10" fillId="26" borderId="3" xfId="0" applyFont="1" applyFill="1" applyBorder="1"/>
    <xf numFmtId="0" fontId="10" fillId="26" borderId="4" xfId="0" applyFont="1" applyFill="1" applyBorder="1"/>
    <xf numFmtId="10" fontId="0" fillId="0" borderId="0" xfId="0" applyNumberFormat="1"/>
    <xf numFmtId="9" fontId="0" fillId="0" borderId="0" xfId="0" applyNumberFormat="1"/>
    <xf numFmtId="0" fontId="21" fillId="20" borderId="20" xfId="0" applyFont="1" applyFill="1" applyBorder="1" applyAlignment="1">
      <alignment vertical="center" wrapText="1"/>
    </xf>
    <xf numFmtId="0" fontId="21" fillId="20" borderId="12" xfId="0" applyFont="1" applyFill="1" applyBorder="1" applyAlignment="1">
      <alignment vertical="center" wrapText="1"/>
    </xf>
    <xf numFmtId="185" fontId="4" fillId="16" borderId="0" xfId="0" applyNumberFormat="1" applyFont="1" applyFill="1"/>
    <xf numFmtId="174" fontId="4" fillId="16" borderId="0" xfId="0" applyNumberFormat="1" applyFont="1" applyFill="1"/>
    <xf numFmtId="9" fontId="12" fillId="0" borderId="0" xfId="0" applyNumberFormat="1" applyFont="1" applyAlignment="1">
      <alignment horizontal="center" vertical="center" wrapText="1"/>
    </xf>
    <xf numFmtId="9" fontId="12" fillId="0" borderId="0" xfId="0" applyNumberFormat="1" applyFont="1" applyAlignment="1">
      <alignment vertical="center" wrapText="1"/>
    </xf>
    <xf numFmtId="0" fontId="7" fillId="20" borderId="0" xfId="0" applyFont="1" applyFill="1" applyAlignment="1">
      <alignment horizontal="center"/>
    </xf>
    <xf numFmtId="0" fontId="12" fillId="20" borderId="0" xfId="0" applyFont="1" applyFill="1" applyAlignment="1">
      <alignment horizontal="center" wrapText="1"/>
    </xf>
    <xf numFmtId="0" fontId="22" fillId="0" borderId="1" xfId="0" applyFont="1" applyBorder="1" applyAlignment="1">
      <alignment horizontal="center"/>
    </xf>
    <xf numFmtId="169" fontId="12" fillId="0" borderId="1" xfId="0" applyNumberFormat="1" applyFont="1" applyBorder="1" applyAlignment="1">
      <alignment horizontal="center" wrapText="1"/>
    </xf>
    <xf numFmtId="0" fontId="7" fillId="0" borderId="1" xfId="0" applyFont="1" applyBorder="1" applyAlignment="1">
      <alignment horizontal="center"/>
    </xf>
    <xf numFmtId="0" fontId="10" fillId="33" borderId="21" xfId="0" applyFont="1" applyFill="1" applyBorder="1" applyAlignment="1">
      <alignment horizontal="center" vertical="center" wrapText="1"/>
    </xf>
    <xf numFmtId="0" fontId="7" fillId="13" borderId="22" xfId="0" applyFont="1" applyFill="1" applyBorder="1" applyAlignment="1">
      <alignment horizontal="center"/>
    </xf>
    <xf numFmtId="0" fontId="7" fillId="34" borderId="22" xfId="0" applyFont="1" applyFill="1" applyBorder="1" applyAlignment="1">
      <alignment horizontal="center"/>
    </xf>
    <xf numFmtId="0" fontId="7" fillId="6" borderId="22" xfId="0" applyFont="1" applyFill="1" applyBorder="1" applyAlignment="1">
      <alignment horizontal="center"/>
    </xf>
    <xf numFmtId="0" fontId="7" fillId="35" borderId="23" xfId="0" applyFont="1" applyFill="1" applyBorder="1" applyAlignment="1">
      <alignment horizontal="center"/>
    </xf>
    <xf numFmtId="0" fontId="7" fillId="11" borderId="24" xfId="0" applyFont="1" applyFill="1" applyBorder="1" applyAlignment="1">
      <alignment horizontal="center" vertical="center"/>
    </xf>
    <xf numFmtId="0" fontId="7" fillId="13" borderId="1" xfId="0" applyFont="1" applyFill="1" applyBorder="1" applyAlignment="1">
      <alignment horizontal="center"/>
    </xf>
    <xf numFmtId="0" fontId="7" fillId="34" borderId="1" xfId="0" applyFont="1" applyFill="1" applyBorder="1" applyAlignment="1">
      <alignment horizontal="center"/>
    </xf>
    <xf numFmtId="0" fontId="7" fillId="6" borderId="1" xfId="0" applyFont="1" applyFill="1" applyBorder="1" applyAlignment="1">
      <alignment horizontal="center"/>
    </xf>
    <xf numFmtId="0" fontId="7" fillId="35" borderId="25" xfId="0" applyFont="1" applyFill="1" applyBorder="1" applyAlignment="1">
      <alignment horizontal="center"/>
    </xf>
    <xf numFmtId="0" fontId="7" fillId="11" borderId="26" xfId="0" applyFont="1" applyFill="1" applyBorder="1" applyAlignment="1">
      <alignment horizontal="center" vertical="center"/>
    </xf>
    <xf numFmtId="0" fontId="7" fillId="13" borderId="27" xfId="0" applyFont="1" applyFill="1" applyBorder="1" applyAlignment="1">
      <alignment horizontal="center"/>
    </xf>
    <xf numFmtId="0" fontId="7" fillId="34" borderId="27" xfId="0" applyFont="1" applyFill="1" applyBorder="1" applyAlignment="1">
      <alignment horizontal="center"/>
    </xf>
    <xf numFmtId="0" fontId="7" fillId="6" borderId="27" xfId="0" applyFont="1" applyFill="1" applyBorder="1" applyAlignment="1">
      <alignment horizontal="center"/>
    </xf>
    <xf numFmtId="0" fontId="7" fillId="35" borderId="28" xfId="0" applyFont="1" applyFill="1" applyBorder="1" applyAlignment="1">
      <alignment horizontal="center"/>
    </xf>
    <xf numFmtId="169" fontId="22" fillId="0" borderId="0" xfId="0" applyNumberFormat="1" applyFont="1"/>
    <xf numFmtId="0" fontId="20" fillId="18" borderId="0" xfId="0" applyFont="1" applyFill="1" applyAlignment="1">
      <alignment horizontal="center" vertical="center"/>
    </xf>
    <xf numFmtId="169" fontId="4" fillId="0" borderId="12" xfId="0" applyNumberFormat="1" applyFont="1" applyBorder="1" applyAlignment="1">
      <alignment horizontal="center" vertical="center" wrapText="1"/>
    </xf>
    <xf numFmtId="0" fontId="32" fillId="0" borderId="0" xfId="0" applyFont="1"/>
    <xf numFmtId="0" fontId="12" fillId="22" borderId="1" xfId="0" applyFont="1" applyFill="1" applyBorder="1" applyAlignment="1">
      <alignment vertical="center" wrapText="1"/>
    </xf>
    <xf numFmtId="0" fontId="0" fillId="22" borderId="2" xfId="0" applyFill="1" applyBorder="1" applyAlignment="1">
      <alignment vertical="center"/>
    </xf>
    <xf numFmtId="9" fontId="4" fillId="0" borderId="0" xfId="0" applyNumberFormat="1" applyFont="1" applyAlignment="1">
      <alignment horizontal="center" vertical="center"/>
    </xf>
    <xf numFmtId="1" fontId="4" fillId="0" borderId="0" xfId="0" applyNumberFormat="1" applyFont="1" applyAlignment="1">
      <alignment horizontal="center" vertical="center"/>
    </xf>
    <xf numFmtId="9" fontId="4" fillId="16" borderId="0" xfId="0" applyNumberFormat="1" applyFont="1" applyFill="1"/>
    <xf numFmtId="166" fontId="12" fillId="0" borderId="1" xfId="0" applyNumberFormat="1" applyFont="1" applyBorder="1" applyAlignment="1">
      <alignment wrapText="1"/>
    </xf>
    <xf numFmtId="166" fontId="12" fillId="0" borderId="6" xfId="0" applyNumberFormat="1" applyFont="1" applyBorder="1" applyAlignment="1">
      <alignment wrapText="1"/>
    </xf>
    <xf numFmtId="0" fontId="12" fillId="0" borderId="29" xfId="0" applyFont="1" applyBorder="1" applyAlignment="1">
      <alignment wrapText="1"/>
    </xf>
    <xf numFmtId="0" fontId="12" fillId="20" borderId="29" xfId="0" applyFont="1" applyFill="1" applyBorder="1" applyAlignment="1">
      <alignment wrapText="1"/>
    </xf>
    <xf numFmtId="0" fontId="0" fillId="22" borderId="1" xfId="0" applyFill="1" applyBorder="1" applyAlignment="1">
      <alignment vertical="center"/>
    </xf>
    <xf numFmtId="0" fontId="7" fillId="0" borderId="6" xfId="0" applyFont="1" applyBorder="1"/>
    <xf numFmtId="0" fontId="0" fillId="22" borderId="19" xfId="0" applyFill="1" applyBorder="1" applyAlignment="1">
      <alignment vertical="center"/>
    </xf>
    <xf numFmtId="168" fontId="12" fillId="0" borderId="6" xfId="0" applyNumberFormat="1" applyFont="1" applyBorder="1" applyAlignment="1">
      <alignment horizontal="center" vertical="center"/>
    </xf>
    <xf numFmtId="0" fontId="7" fillId="0" borderId="18" xfId="0" applyFont="1" applyBorder="1"/>
    <xf numFmtId="0" fontId="20" fillId="0" borderId="14" xfId="0" applyFont="1" applyBorder="1"/>
    <xf numFmtId="169" fontId="4" fillId="0" borderId="14" xfId="0" applyNumberFormat="1" applyFont="1" applyBorder="1"/>
    <xf numFmtId="165" fontId="12" fillId="0" borderId="1" xfId="0" applyNumberFormat="1" applyFont="1" applyBorder="1" applyAlignment="1">
      <alignment vertical="center" wrapText="1"/>
    </xf>
    <xf numFmtId="0" fontId="17" fillId="0" borderId="1" xfId="0" applyFont="1" applyBorder="1" applyAlignment="1">
      <alignment horizontal="center" vertical="center"/>
    </xf>
    <xf numFmtId="0" fontId="4" fillId="16" borderId="1" xfId="0" applyFont="1" applyFill="1" applyBorder="1" applyAlignment="1">
      <alignment horizontal="center" vertical="center"/>
    </xf>
    <xf numFmtId="0" fontId="21" fillId="20" borderId="18" xfId="0" applyFont="1" applyFill="1" applyBorder="1" applyAlignment="1">
      <alignment vertical="center" wrapText="1"/>
    </xf>
    <xf numFmtId="0" fontId="21" fillId="20" borderId="19" xfId="0" applyFont="1" applyFill="1" applyBorder="1" applyAlignment="1">
      <alignment vertical="center" wrapText="1"/>
    </xf>
    <xf numFmtId="0" fontId="20" fillId="0" borderId="1" xfId="0" applyFont="1" applyBorder="1" applyAlignment="1">
      <alignment horizontal="center" vertical="center" wrapText="1"/>
    </xf>
    <xf numFmtId="0" fontId="17" fillId="0" borderId="4" xfId="0" applyFont="1" applyBorder="1"/>
    <xf numFmtId="168" fontId="4" fillId="0" borderId="0" xfId="0" applyNumberFormat="1" applyFont="1"/>
    <xf numFmtId="0" fontId="23" fillId="0" borderId="0" xfId="0" applyFont="1"/>
    <xf numFmtId="168" fontId="4" fillId="16" borderId="1" xfId="0" applyNumberFormat="1" applyFont="1" applyFill="1" applyBorder="1"/>
    <xf numFmtId="0" fontId="28" fillId="0" borderId="0" xfId="0" applyFont="1"/>
    <xf numFmtId="0" fontId="23" fillId="0" borderId="0" xfId="0" applyFont="1" applyAlignment="1">
      <alignment wrapText="1"/>
    </xf>
    <xf numFmtId="0" fontId="28" fillId="0" borderId="0" xfId="0" applyFont="1" applyAlignment="1">
      <alignment wrapText="1"/>
    </xf>
    <xf numFmtId="2" fontId="12" fillId="0" borderId="0" xfId="0" applyNumberFormat="1" applyFont="1" applyAlignment="1">
      <alignment horizontal="center" vertical="center" wrapText="1"/>
    </xf>
    <xf numFmtId="0" fontId="4" fillId="23" borderId="0" xfId="0" applyFont="1" applyFill="1"/>
    <xf numFmtId="173" fontId="4" fillId="16" borderId="1" xfId="0" applyNumberFormat="1" applyFont="1" applyFill="1" applyBorder="1" applyAlignment="1">
      <alignment horizontal="center" vertical="center"/>
    </xf>
    <xf numFmtId="0" fontId="12" fillId="0" borderId="13" xfId="0" applyFont="1" applyBorder="1" applyAlignment="1">
      <alignment horizontal="center" vertical="center"/>
    </xf>
    <xf numFmtId="168" fontId="19" fillId="0" borderId="1" xfId="0" applyNumberFormat="1" applyFont="1" applyBorder="1" applyAlignment="1">
      <alignment horizontal="center" vertical="center" wrapText="1"/>
    </xf>
    <xf numFmtId="1" fontId="19" fillId="0" borderId="1" xfId="0" applyNumberFormat="1" applyFont="1" applyBorder="1" applyAlignment="1">
      <alignment horizontal="center" vertical="center" wrapText="1"/>
    </xf>
    <xf numFmtId="181" fontId="19" fillId="0" borderId="1" xfId="0" applyNumberFormat="1" applyFont="1" applyBorder="1" applyAlignment="1">
      <alignment horizontal="center" vertical="center" wrapText="1"/>
    </xf>
    <xf numFmtId="170" fontId="4" fillId="0" borderId="1" xfId="0" applyNumberFormat="1" applyFont="1" applyBorder="1" applyAlignment="1">
      <alignment horizontal="center" vertical="center"/>
    </xf>
    <xf numFmtId="9" fontId="4" fillId="0" borderId="2" xfId="0" applyNumberFormat="1" applyFont="1" applyBorder="1" applyAlignment="1">
      <alignment horizontal="center" vertical="center"/>
    </xf>
    <xf numFmtId="0" fontId="4" fillId="0" borderId="6" xfId="0" applyFont="1" applyBorder="1" applyAlignment="1">
      <alignment horizontal="center" vertical="center"/>
    </xf>
    <xf numFmtId="166" fontId="12" fillId="0" borderId="6" xfId="0" applyNumberFormat="1" applyFont="1" applyBorder="1" applyAlignment="1">
      <alignment horizontal="center" vertical="center"/>
    </xf>
    <xf numFmtId="9" fontId="4" fillId="0" borderId="20" xfId="0" applyNumberFormat="1" applyFont="1" applyBorder="1" applyAlignment="1">
      <alignment horizontal="center" vertical="center"/>
    </xf>
    <xf numFmtId="1" fontId="4" fillId="0" borderId="6" xfId="0" applyNumberFormat="1" applyFont="1" applyBorder="1" applyAlignment="1">
      <alignment horizontal="center" vertical="center"/>
    </xf>
    <xf numFmtId="0" fontId="17" fillId="0" borderId="18" xfId="0" applyFont="1" applyBorder="1"/>
    <xf numFmtId="0" fontId="4" fillId="0" borderId="18" xfId="0" applyFont="1" applyBorder="1" applyAlignment="1">
      <alignment horizontal="center" vertical="center"/>
    </xf>
    <xf numFmtId="166" fontId="12" fillId="0" borderId="18" xfId="0" applyNumberFormat="1" applyFont="1" applyBorder="1" applyAlignment="1">
      <alignment horizontal="center" vertical="center"/>
    </xf>
    <xf numFmtId="9" fontId="4" fillId="0" borderId="18" xfId="0" applyNumberFormat="1" applyFont="1" applyBorder="1" applyAlignment="1">
      <alignment horizontal="center" vertical="center"/>
    </xf>
    <xf numFmtId="1" fontId="4" fillId="0" borderId="18" xfId="0" applyNumberFormat="1" applyFont="1" applyBorder="1" applyAlignment="1">
      <alignment horizontal="center" vertical="center"/>
    </xf>
    <xf numFmtId="0" fontId="21" fillId="20" borderId="0" xfId="0" applyFont="1" applyFill="1" applyAlignment="1">
      <alignment horizontal="left" vertical="center" wrapText="1"/>
    </xf>
    <xf numFmtId="0" fontId="21" fillId="20" borderId="5" xfId="0" applyFont="1" applyFill="1" applyBorder="1" applyAlignment="1">
      <alignment horizontal="left" vertical="center" wrapText="1"/>
    </xf>
    <xf numFmtId="0" fontId="22" fillId="0" borderId="1" xfId="0" applyFont="1" applyBorder="1" applyAlignment="1">
      <alignment horizontal="left" vertical="center" wrapText="1"/>
    </xf>
    <xf numFmtId="0" fontId="0" fillId="0" borderId="11" xfId="0" applyBorder="1" applyAlignment="1">
      <alignment horizontal="center" vertical="center"/>
    </xf>
    <xf numFmtId="0" fontId="12" fillId="0" borderId="11" xfId="0" applyFont="1" applyBorder="1" applyAlignment="1">
      <alignment horizontal="center" vertical="center"/>
    </xf>
    <xf numFmtId="166" fontId="12" fillId="0" borderId="11" xfId="0" applyNumberFormat="1" applyFont="1" applyBorder="1" applyAlignment="1">
      <alignment horizontal="center" vertical="center"/>
    </xf>
    <xf numFmtId="9" fontId="0" fillId="0" borderId="11" xfId="0" applyNumberFormat="1" applyBorder="1" applyAlignment="1">
      <alignment horizontal="center" vertical="center"/>
    </xf>
    <xf numFmtId="1" fontId="12" fillId="0" borderId="11" xfId="0" applyNumberFormat="1" applyFont="1" applyBorder="1" applyAlignment="1">
      <alignment horizontal="center" vertical="center" wrapText="1"/>
    </xf>
    <xf numFmtId="1" fontId="0" fillId="0" borderId="10" xfId="0" applyNumberFormat="1" applyBorder="1" applyAlignment="1">
      <alignment horizontal="center" vertical="center"/>
    </xf>
    <xf numFmtId="0" fontId="4" fillId="0" borderId="6" xfId="0" applyFont="1" applyBorder="1" applyAlignment="1">
      <alignment horizontal="center"/>
    </xf>
    <xf numFmtId="9" fontId="4" fillId="0" borderId="6" xfId="0" applyNumberFormat="1" applyFont="1" applyBorder="1" applyAlignment="1">
      <alignment horizontal="center" vertical="center"/>
    </xf>
    <xf numFmtId="0" fontId="11" fillId="26" borderId="11" xfId="0" applyFont="1" applyFill="1" applyBorder="1" applyAlignment="1">
      <alignment horizontal="left"/>
    </xf>
    <xf numFmtId="0" fontId="11" fillId="0" borderId="0" xfId="0" applyFont="1" applyAlignment="1">
      <alignment horizontal="left"/>
    </xf>
    <xf numFmtId="0" fontId="19" fillId="15" borderId="1" xfId="0" applyFont="1" applyFill="1" applyBorder="1" applyAlignment="1">
      <alignment horizontal="left" vertical="center" wrapText="1"/>
    </xf>
    <xf numFmtId="0" fontId="22" fillId="15" borderId="11" xfId="0" applyFont="1" applyFill="1" applyBorder="1" applyAlignment="1">
      <alignment horizontal="left" vertical="center" wrapText="1"/>
    </xf>
    <xf numFmtId="1" fontId="12" fillId="22" borderId="1" xfId="0" applyNumberFormat="1" applyFont="1" applyFill="1" applyBorder="1" applyAlignment="1">
      <alignment horizontal="left" vertical="center" wrapText="1"/>
    </xf>
    <xf numFmtId="170" fontId="12" fillId="0" borderId="0" xfId="0" applyNumberFormat="1" applyFont="1" applyAlignment="1">
      <alignment horizontal="center" vertical="center" wrapText="1"/>
    </xf>
    <xf numFmtId="0" fontId="19" fillId="15" borderId="1" xfId="0" applyFont="1" applyFill="1" applyBorder="1" applyAlignment="1">
      <alignment horizontal="left" vertical="center"/>
    </xf>
    <xf numFmtId="0" fontId="34" fillId="21" borderId="1" xfId="0" applyFont="1" applyFill="1" applyBorder="1" applyAlignment="1">
      <alignment horizontal="center" vertical="center" wrapText="1"/>
    </xf>
    <xf numFmtId="0" fontId="22" fillId="0" borderId="1" xfId="0" applyFont="1" applyBorder="1" applyAlignment="1">
      <alignment horizontal="left" vertical="center"/>
    </xf>
    <xf numFmtId="0" fontId="22" fillId="0" borderId="0" xfId="0" applyFont="1" applyAlignment="1">
      <alignment horizontal="left"/>
    </xf>
    <xf numFmtId="0" fontId="21" fillId="20" borderId="0" xfId="0" applyFont="1" applyFill="1" applyAlignment="1">
      <alignment horizontal="left" vertical="center"/>
    </xf>
    <xf numFmtId="0" fontId="21" fillId="20" borderId="5" xfId="0" applyFont="1" applyFill="1" applyBorder="1" applyAlignment="1">
      <alignment horizontal="left" vertical="center"/>
    </xf>
    <xf numFmtId="0" fontId="19" fillId="22" borderId="2" xfId="0" applyFont="1" applyFill="1" applyBorder="1" applyAlignment="1">
      <alignment horizontal="left" vertical="center"/>
    </xf>
    <xf numFmtId="0" fontId="19" fillId="0" borderId="0" xfId="0" applyFont="1" applyAlignment="1">
      <alignment horizontal="left"/>
    </xf>
    <xf numFmtId="0" fontId="7" fillId="23" borderId="9" xfId="0" applyFont="1" applyFill="1" applyBorder="1" applyAlignment="1">
      <alignment wrapText="1"/>
    </xf>
    <xf numFmtId="0" fontId="10" fillId="26" borderId="1" xfId="0" applyFont="1" applyFill="1" applyBorder="1" applyAlignment="1">
      <alignment horizontal="left"/>
    </xf>
    <xf numFmtId="0" fontId="19" fillId="22" borderId="1" xfId="0" applyFont="1" applyFill="1" applyBorder="1" applyAlignment="1">
      <alignment horizontal="left" vertical="center"/>
    </xf>
    <xf numFmtId="1" fontId="19" fillId="22" borderId="1" xfId="0" applyNumberFormat="1" applyFont="1" applyFill="1" applyBorder="1" applyAlignment="1">
      <alignment horizontal="left" vertical="center"/>
    </xf>
    <xf numFmtId="0" fontId="28" fillId="0" borderId="2" xfId="0" applyFont="1" applyBorder="1"/>
    <xf numFmtId="0" fontId="19" fillId="7" borderId="0" xfId="0" applyFont="1" applyFill="1"/>
    <xf numFmtId="168" fontId="12" fillId="0" borderId="1" xfId="0" applyNumberFormat="1" applyFont="1" applyBorder="1" applyAlignment="1">
      <alignment vertical="center" wrapText="1"/>
    </xf>
    <xf numFmtId="0" fontId="0" fillId="20" borderId="5" xfId="0" applyFill="1" applyBorder="1"/>
    <xf numFmtId="0" fontId="0" fillId="0" borderId="6" xfId="0" applyBorder="1" applyAlignment="1">
      <alignment vertical="center"/>
    </xf>
    <xf numFmtId="0" fontId="0" fillId="23" borderId="1" xfId="0" applyFill="1" applyBorder="1" applyAlignment="1">
      <alignment vertical="center"/>
    </xf>
    <xf numFmtId="169" fontId="23" fillId="0" borderId="0" xfId="0" applyNumberFormat="1" applyFont="1" applyAlignment="1">
      <alignment wrapText="1"/>
    </xf>
    <xf numFmtId="165" fontId="19" fillId="0" borderId="1" xfId="0" applyNumberFormat="1" applyFont="1" applyBorder="1" applyAlignment="1">
      <alignment horizontal="center" vertical="center" wrapText="1"/>
    </xf>
    <xf numFmtId="181" fontId="4" fillId="0" borderId="1" xfId="0" applyNumberFormat="1" applyFont="1" applyBorder="1"/>
    <xf numFmtId="0" fontId="11" fillId="26" borderId="13" xfId="0" applyFont="1" applyFill="1" applyBorder="1"/>
    <xf numFmtId="0" fontId="18" fillId="26" borderId="4" xfId="0" applyFont="1" applyFill="1" applyBorder="1"/>
    <xf numFmtId="9" fontId="4" fillId="0" borderId="0" xfId="10" applyFont="1" applyAlignment="1">
      <alignment horizontal="center"/>
    </xf>
    <xf numFmtId="9" fontId="4" fillId="0" borderId="0" xfId="10" applyFont="1"/>
    <xf numFmtId="43" fontId="12" fillId="0" borderId="1" xfId="0" applyNumberFormat="1" applyFont="1" applyBorder="1" applyAlignment="1">
      <alignment horizontal="center" vertical="center" wrapText="1"/>
    </xf>
    <xf numFmtId="181" fontId="12" fillId="0" borderId="1" xfId="0" applyNumberFormat="1" applyFont="1" applyBorder="1" applyAlignment="1">
      <alignment horizontal="center" vertical="center" wrapText="1"/>
    </xf>
    <xf numFmtId="9" fontId="12" fillId="0" borderId="0" xfId="10" applyFont="1" applyAlignment="1">
      <alignment horizontal="center" vertical="center" wrapText="1"/>
    </xf>
    <xf numFmtId="0" fontId="12" fillId="38" borderId="0" xfId="0" applyFont="1" applyFill="1" applyAlignment="1">
      <alignment horizontal="center" vertical="center" wrapText="1"/>
    </xf>
    <xf numFmtId="0" fontId="22" fillId="19" borderId="0" xfId="0" applyFont="1" applyFill="1" applyAlignment="1">
      <alignment horizontal="center" vertical="center" wrapText="1"/>
    </xf>
    <xf numFmtId="165" fontId="19" fillId="19" borderId="0" xfId="0" applyNumberFormat="1" applyFont="1" applyFill="1" applyAlignment="1">
      <alignment horizontal="center" vertical="center" wrapText="1"/>
    </xf>
    <xf numFmtId="0" fontId="12" fillId="37" borderId="1" xfId="0" applyFont="1" applyFill="1" applyBorder="1" applyAlignment="1">
      <alignment horizontal="center" vertical="center" wrapText="1"/>
    </xf>
    <xf numFmtId="0" fontId="0" fillId="37" borderId="1" xfId="0" applyFill="1" applyBorder="1" applyAlignment="1">
      <alignment horizontal="center" vertical="center"/>
    </xf>
    <xf numFmtId="0" fontId="12" fillId="37" borderId="1" xfId="0" applyFont="1" applyFill="1" applyBorder="1" applyAlignment="1">
      <alignment horizontal="center" vertical="center"/>
    </xf>
    <xf numFmtId="2" fontId="12" fillId="37" borderId="1" xfId="0" applyNumberFormat="1" applyFont="1" applyFill="1" applyBorder="1" applyAlignment="1">
      <alignment horizontal="center" vertical="center"/>
    </xf>
    <xf numFmtId="9" fontId="0" fillId="37" borderId="1" xfId="0" applyNumberFormat="1" applyFill="1" applyBorder="1" applyAlignment="1">
      <alignment horizontal="center" vertical="center"/>
    </xf>
    <xf numFmtId="1" fontId="12" fillId="37" borderId="1" xfId="0" applyNumberFormat="1" applyFont="1" applyFill="1" applyBorder="1" applyAlignment="1">
      <alignment horizontal="center" vertical="center" wrapText="1"/>
    </xf>
    <xf numFmtId="1" fontId="0" fillId="37" borderId="1" xfId="0" applyNumberFormat="1" applyFill="1" applyBorder="1" applyAlignment="1">
      <alignment horizontal="center" vertical="center"/>
    </xf>
    <xf numFmtId="0" fontId="7" fillId="40" borderId="0" xfId="0" applyFont="1" applyFill="1"/>
    <xf numFmtId="3" fontId="7" fillId="40" borderId="0" xfId="0" applyNumberFormat="1" applyFont="1" applyFill="1"/>
    <xf numFmtId="3" fontId="0" fillId="0" borderId="0" xfId="0" applyNumberFormat="1"/>
    <xf numFmtId="186" fontId="7" fillId="40" borderId="0" xfId="0" applyNumberFormat="1" applyFont="1" applyFill="1"/>
    <xf numFmtId="186" fontId="0" fillId="0" borderId="0" xfId="0" applyNumberFormat="1"/>
    <xf numFmtId="0" fontId="7" fillId="39" borderId="0" xfId="0" applyFont="1" applyFill="1"/>
    <xf numFmtId="43" fontId="0" fillId="0" borderId="0" xfId="0" applyNumberFormat="1"/>
    <xf numFmtId="175" fontId="7" fillId="5" borderId="0" xfId="0" applyNumberFormat="1" applyFont="1" applyFill="1"/>
    <xf numFmtId="43" fontId="0" fillId="0" borderId="1" xfId="12" applyFont="1" applyBorder="1" applyAlignment="1">
      <alignment horizontal="center" vertical="center"/>
    </xf>
    <xf numFmtId="0" fontId="21" fillId="41" borderId="0" xfId="0" applyFont="1" applyFill="1" applyAlignment="1">
      <alignment horizontal="center" vertical="center" wrapText="1"/>
    </xf>
    <xf numFmtId="43" fontId="4" fillId="0" borderId="1" xfId="0" applyNumberFormat="1" applyFont="1" applyBorder="1" applyAlignment="1">
      <alignment horizontal="center" vertical="center"/>
    </xf>
    <xf numFmtId="0" fontId="4" fillId="42" borderId="0" xfId="0" applyFont="1" applyFill="1"/>
    <xf numFmtId="0" fontId="0" fillId="42" borderId="5" xfId="0" applyFill="1" applyBorder="1"/>
    <xf numFmtId="43" fontId="12" fillId="19" borderId="0" xfId="0" applyNumberFormat="1" applyFont="1" applyFill="1" applyAlignment="1">
      <alignment horizontal="center" vertical="center" wrapText="1"/>
    </xf>
    <xf numFmtId="0" fontId="4" fillId="0" borderId="3" xfId="0" applyFont="1" applyBorder="1"/>
    <xf numFmtId="9" fontId="0" fillId="0" borderId="2" xfId="10" applyFont="1" applyBorder="1" applyAlignment="1">
      <alignment horizontal="center" vertical="center"/>
    </xf>
    <xf numFmtId="175" fontId="0" fillId="0" borderId="2" xfId="0" applyNumberFormat="1" applyBorder="1" applyAlignment="1">
      <alignment horizontal="center" vertical="center"/>
    </xf>
    <xf numFmtId="0" fontId="19" fillId="0" borderId="2" xfId="0" applyFont="1" applyBorder="1" applyAlignment="1">
      <alignment horizontal="center" vertical="center" wrapText="1"/>
    </xf>
    <xf numFmtId="0" fontId="22" fillId="0" borderId="1" xfId="0" applyFont="1" applyBorder="1" applyAlignment="1">
      <alignment horizontal="center" vertical="center"/>
    </xf>
    <xf numFmtId="0" fontId="22" fillId="0" borderId="12" xfId="0" applyFont="1" applyBorder="1" applyAlignment="1">
      <alignment horizontal="center" vertical="center" wrapText="1"/>
    </xf>
    <xf numFmtId="0" fontId="22" fillId="0" borderId="3" xfId="0" applyFont="1" applyBorder="1" applyAlignment="1">
      <alignment horizontal="center" vertical="center"/>
    </xf>
    <xf numFmtId="0" fontId="38" fillId="43" borderId="1" xfId="14" applyFont="1" applyFill="1" applyBorder="1" applyAlignment="1">
      <alignment horizontal="center" vertical="center" wrapText="1"/>
    </xf>
    <xf numFmtId="187" fontId="37" fillId="0" borderId="1" xfId="14" applyNumberFormat="1" applyBorder="1" applyAlignment="1">
      <alignment horizontal="center"/>
    </xf>
    <xf numFmtId="188" fontId="37" fillId="37" borderId="1" xfId="14" applyNumberFormat="1" applyFill="1" applyBorder="1" applyAlignment="1">
      <alignment horizontal="center"/>
    </xf>
    <xf numFmtId="189" fontId="37" fillId="0" borderId="1" xfId="14" applyNumberFormat="1" applyBorder="1" applyAlignment="1">
      <alignment horizontal="center"/>
    </xf>
    <xf numFmtId="0" fontId="19" fillId="0" borderId="3" xfId="0" applyFont="1" applyBorder="1" applyAlignment="1">
      <alignment horizontal="center" vertical="center" wrapText="1"/>
    </xf>
    <xf numFmtId="0" fontId="38" fillId="0" borderId="1" xfId="14" applyFont="1" applyBorder="1" applyAlignment="1">
      <alignment horizontal="center" vertical="center" wrapText="1"/>
    </xf>
    <xf numFmtId="0" fontId="37" fillId="43" borderId="1" xfId="14" applyFill="1" applyBorder="1" applyAlignment="1">
      <alignment horizontal="center" vertical="center"/>
    </xf>
    <xf numFmtId="187" fontId="38" fillId="0" borderId="1" xfId="14" applyNumberFormat="1" applyFont="1" applyBorder="1" applyAlignment="1">
      <alignment horizontal="center" vertical="center" wrapText="1"/>
    </xf>
    <xf numFmtId="0" fontId="38" fillId="0" borderId="0" xfId="14" applyFont="1" applyAlignment="1">
      <alignment wrapText="1"/>
    </xf>
    <xf numFmtId="0" fontId="37" fillId="0" borderId="0" xfId="14"/>
    <xf numFmtId="0" fontId="40" fillId="43" borderId="1" xfId="14" applyFont="1" applyFill="1" applyBorder="1" applyAlignment="1">
      <alignment horizontal="center" vertical="center" wrapText="1"/>
    </xf>
    <xf numFmtId="0" fontId="41" fillId="43" borderId="1" xfId="14" applyFont="1" applyFill="1" applyBorder="1" applyAlignment="1">
      <alignment horizontal="center" vertical="center"/>
    </xf>
    <xf numFmtId="0" fontId="41" fillId="44" borderId="12" xfId="17" applyFont="1" applyFill="1" applyBorder="1" applyAlignment="1">
      <alignment horizontal="center" vertical="center" wrapText="1"/>
    </xf>
    <xf numFmtId="0" fontId="40" fillId="45" borderId="1" xfId="14" applyFont="1" applyFill="1" applyBorder="1" applyAlignment="1">
      <alignment horizontal="center" vertical="center" wrapText="1"/>
    </xf>
    <xf numFmtId="0" fontId="2" fillId="0" borderId="1" xfId="17" applyBorder="1" applyAlignment="1">
      <alignment vertical="center"/>
    </xf>
    <xf numFmtId="0" fontId="2" fillId="0" borderId="1" xfId="17" applyBorder="1" applyAlignment="1">
      <alignment horizontal="center" vertical="center"/>
    </xf>
    <xf numFmtId="1" fontId="38" fillId="0" borderId="1" xfId="17" applyNumberFormat="1" applyFont="1" applyBorder="1" applyAlignment="1">
      <alignment horizontal="center" vertical="center"/>
    </xf>
    <xf numFmtId="171" fontId="38" fillId="0" borderId="1" xfId="17" applyNumberFormat="1" applyFont="1" applyBorder="1" applyAlignment="1">
      <alignment horizontal="center" vertical="center"/>
    </xf>
    <xf numFmtId="9" fontId="2" fillId="0" borderId="1" xfId="17" applyNumberFormat="1" applyBorder="1" applyAlignment="1">
      <alignment horizontal="center" vertical="center"/>
    </xf>
    <xf numFmtId="1" fontId="38" fillId="0" borderId="1" xfId="17" applyNumberFormat="1" applyFont="1" applyBorder="1" applyAlignment="1">
      <alignment horizontal="center" vertical="center" wrapText="1"/>
    </xf>
    <xf numFmtId="1" fontId="2" fillId="0" borderId="1" xfId="17" applyNumberFormat="1" applyBorder="1" applyAlignment="1">
      <alignment horizontal="center" vertical="center"/>
    </xf>
    <xf numFmtId="0" fontId="2" fillId="0" borderId="0" xfId="17" applyAlignment="1">
      <alignment vertical="center"/>
    </xf>
    <xf numFmtId="0" fontId="2" fillId="0" borderId="0" xfId="17" applyAlignment="1">
      <alignment horizontal="center" vertical="center"/>
    </xf>
    <xf numFmtId="0" fontId="38" fillId="0" borderId="0" xfId="17" applyFont="1" applyAlignment="1">
      <alignment horizontal="center" vertical="center"/>
    </xf>
    <xf numFmtId="168" fontId="38" fillId="0" borderId="0" xfId="17" applyNumberFormat="1" applyFont="1" applyAlignment="1">
      <alignment horizontal="center" vertical="center"/>
    </xf>
    <xf numFmtId="9" fontId="2" fillId="0" borderId="0" xfId="17" applyNumberFormat="1" applyAlignment="1">
      <alignment horizontal="center" vertical="center"/>
    </xf>
    <xf numFmtId="168" fontId="38" fillId="0" borderId="0" xfId="17" applyNumberFormat="1" applyFont="1" applyAlignment="1">
      <alignment horizontal="center" vertical="center" wrapText="1"/>
    </xf>
    <xf numFmtId="1" fontId="2" fillId="0" borderId="0" xfId="17" applyNumberFormat="1" applyAlignment="1">
      <alignment horizontal="center" vertical="center"/>
    </xf>
    <xf numFmtId="0" fontId="42" fillId="46" borderId="11" xfId="17" applyFont="1" applyFill="1" applyBorder="1" applyAlignment="1">
      <alignment horizontal="center"/>
    </xf>
    <xf numFmtId="0" fontId="16" fillId="47" borderId="1" xfId="17" applyFont="1" applyFill="1" applyBorder="1" applyAlignment="1">
      <alignment horizontal="center" vertical="center"/>
    </xf>
    <xf numFmtId="0" fontId="42" fillId="46" borderId="1" xfId="17" applyFont="1" applyFill="1" applyBorder="1" applyAlignment="1">
      <alignment horizontal="center"/>
    </xf>
    <xf numFmtId="165" fontId="2" fillId="0" borderId="1" xfId="17" applyNumberFormat="1" applyBorder="1" applyAlignment="1">
      <alignment horizontal="center" vertical="center"/>
    </xf>
    <xf numFmtId="0" fontId="38" fillId="0" borderId="1" xfId="17" applyFont="1" applyBorder="1" applyAlignment="1">
      <alignment horizontal="center" vertical="center"/>
    </xf>
    <xf numFmtId="0" fontId="44" fillId="0" borderId="0" xfId="17" applyFont="1" applyAlignment="1">
      <alignment wrapText="1"/>
    </xf>
    <xf numFmtId="43" fontId="12" fillId="0" borderId="1" xfId="0" applyNumberFormat="1" applyFont="1" applyBorder="1" applyAlignment="1">
      <alignment horizontal="center" vertical="center"/>
    </xf>
    <xf numFmtId="0" fontId="7" fillId="49" borderId="0" xfId="0" applyFont="1" applyFill="1"/>
    <xf numFmtId="165" fontId="7" fillId="49" borderId="0" xfId="0" applyNumberFormat="1" applyFont="1" applyFill="1"/>
    <xf numFmtId="43" fontId="0" fillId="0" borderId="0" xfId="12" applyFont="1"/>
    <xf numFmtId="185" fontId="4" fillId="0" borderId="0" xfId="10" applyNumberFormat="1" applyFont="1"/>
    <xf numFmtId="185" fontId="4" fillId="0" borderId="0" xfId="0" applyNumberFormat="1" applyFont="1"/>
    <xf numFmtId="0" fontId="5" fillId="0" borderId="0" xfId="4" applyAlignment="1">
      <alignment horizontal="center" vertical="center"/>
    </xf>
    <xf numFmtId="1" fontId="5" fillId="0" borderId="1" xfId="4" applyNumberFormat="1" applyBorder="1" applyAlignment="1">
      <alignment horizontal="center" vertical="center"/>
    </xf>
    <xf numFmtId="9" fontId="5" fillId="0" borderId="1" xfId="4" applyNumberFormat="1" applyBorder="1" applyAlignment="1">
      <alignment horizontal="center" vertical="center"/>
    </xf>
    <xf numFmtId="2" fontId="49" fillId="0" borderId="1" xfId="4" applyNumberFormat="1" applyFont="1" applyBorder="1" applyAlignment="1">
      <alignment horizontal="center" vertical="center"/>
    </xf>
    <xf numFmtId="0" fontId="49" fillId="50" borderId="1" xfId="4" applyFont="1" applyFill="1" applyBorder="1" applyAlignment="1">
      <alignment horizontal="center" vertical="center" wrapText="1"/>
    </xf>
    <xf numFmtId="0" fontId="53" fillId="51" borderId="1" xfId="4" applyFont="1" applyFill="1" applyBorder="1" applyAlignment="1">
      <alignment horizontal="center" vertical="center" wrapText="1"/>
    </xf>
    <xf numFmtId="0" fontId="50" fillId="51" borderId="1" xfId="4" applyFont="1" applyFill="1" applyBorder="1" applyAlignment="1">
      <alignment horizontal="center" vertical="center"/>
    </xf>
    <xf numFmtId="0" fontId="49" fillId="0" borderId="0" xfId="4" applyFont="1" applyAlignment="1">
      <alignment horizontal="center" vertical="center" wrapText="1"/>
    </xf>
    <xf numFmtId="0" fontId="56" fillId="0" borderId="0" xfId="4" applyFont="1" applyAlignment="1">
      <alignment horizontal="center" vertical="center"/>
    </xf>
    <xf numFmtId="1" fontId="6" fillId="0" borderId="1" xfId="9" applyNumberFormat="1" applyBorder="1" applyAlignment="1">
      <alignment horizontal="center" vertical="center"/>
    </xf>
    <xf numFmtId="1" fontId="57" fillId="0" borderId="1" xfId="9" applyNumberFormat="1" applyFont="1" applyBorder="1" applyAlignment="1">
      <alignment horizontal="center" vertical="center" wrapText="1"/>
    </xf>
    <xf numFmtId="170" fontId="57" fillId="0" borderId="1" xfId="9" applyNumberFormat="1" applyFont="1" applyBorder="1" applyAlignment="1">
      <alignment horizontal="center" vertical="center"/>
    </xf>
    <xf numFmtId="0" fontId="5" fillId="0" borderId="1" xfId="4" applyBorder="1" applyAlignment="1">
      <alignment horizontal="center" vertical="center"/>
    </xf>
    <xf numFmtId="9" fontId="6" fillId="0" borderId="1" xfId="9" applyNumberFormat="1" applyBorder="1" applyAlignment="1">
      <alignment horizontal="center" vertical="center"/>
    </xf>
    <xf numFmtId="0" fontId="5" fillId="0" borderId="18" xfId="4" applyBorder="1" applyAlignment="1">
      <alignment horizontal="center" vertical="center"/>
    </xf>
    <xf numFmtId="0" fontId="16" fillId="47" borderId="6" xfId="9" applyFont="1" applyFill="1" applyBorder="1" applyAlignment="1">
      <alignment horizontal="center" vertical="center"/>
    </xf>
    <xf numFmtId="0" fontId="16" fillId="47" borderId="1" xfId="9" applyFont="1" applyFill="1" applyBorder="1" applyAlignment="1">
      <alignment horizontal="center" vertical="center"/>
    </xf>
    <xf numFmtId="9" fontId="5" fillId="0" borderId="6" xfId="4" applyNumberFormat="1" applyBorder="1" applyAlignment="1">
      <alignment horizontal="center" vertical="center"/>
    </xf>
    <xf numFmtId="0" fontId="50" fillId="21" borderId="1" xfId="4" applyFont="1" applyFill="1" applyBorder="1" applyAlignment="1">
      <alignment horizontal="center" vertical="center" wrapText="1"/>
    </xf>
    <xf numFmtId="0" fontId="59" fillId="43" borderId="1" xfId="19" applyFont="1" applyFill="1" applyBorder="1" applyAlignment="1">
      <alignment horizontal="center" vertical="center" wrapText="1"/>
    </xf>
    <xf numFmtId="0" fontId="59" fillId="45" borderId="1" xfId="19" applyFont="1" applyFill="1" applyBorder="1" applyAlignment="1">
      <alignment horizontal="center" vertical="center" wrapText="1"/>
    </xf>
    <xf numFmtId="0" fontId="60" fillId="44" borderId="12" xfId="9" applyFont="1" applyFill="1" applyBorder="1" applyAlignment="1">
      <alignment horizontal="center" vertical="center" wrapText="1"/>
    </xf>
    <xf numFmtId="0" fontId="61" fillId="0" borderId="0" xfId="4" applyFont="1" applyAlignment="1">
      <alignment vertical="center" wrapText="1"/>
    </xf>
    <xf numFmtId="0" fontId="61" fillId="0" borderId="18" xfId="4" applyFont="1" applyBorder="1" applyAlignment="1">
      <alignment vertical="center" wrapText="1"/>
    </xf>
    <xf numFmtId="0" fontId="57" fillId="0" borderId="1" xfId="19" applyFont="1" applyBorder="1" applyAlignment="1">
      <alignment wrapText="1"/>
    </xf>
    <xf numFmtId="0" fontId="57" fillId="43" borderId="3" xfId="19" applyFont="1" applyFill="1" applyBorder="1" applyAlignment="1">
      <alignment horizontal="center" vertical="center" wrapText="1"/>
    </xf>
    <xf numFmtId="187" fontId="57" fillId="0" borderId="1" xfId="9" applyNumberFormat="1" applyFont="1" applyBorder="1" applyAlignment="1">
      <alignment horizontal="center" vertical="center" wrapText="1"/>
    </xf>
    <xf numFmtId="0" fontId="57" fillId="43" borderId="1" xfId="19" applyFont="1" applyFill="1" applyBorder="1" applyAlignment="1">
      <alignment horizontal="center" vertical="center" wrapText="1"/>
    </xf>
    <xf numFmtId="188" fontId="57" fillId="0" borderId="1" xfId="19" applyNumberFormat="1" applyFont="1" applyBorder="1" applyAlignment="1">
      <alignment horizontal="center" vertical="center" wrapText="1"/>
    </xf>
    <xf numFmtId="187" fontId="57" fillId="0" borderId="1" xfId="19" applyNumberFormat="1" applyFont="1" applyBorder="1" applyAlignment="1">
      <alignment horizontal="center" vertical="center" wrapText="1"/>
    </xf>
    <xf numFmtId="0" fontId="58" fillId="43" borderId="1" xfId="19" applyFill="1" applyBorder="1" applyAlignment="1">
      <alignment horizontal="center" vertical="center"/>
    </xf>
    <xf numFmtId="0" fontId="57" fillId="0" borderId="1" xfId="19" applyFont="1" applyBorder="1" applyAlignment="1">
      <alignment horizontal="center" vertical="center" wrapText="1"/>
    </xf>
    <xf numFmtId="0" fontId="58" fillId="0" borderId="0" xfId="19"/>
    <xf numFmtId="1" fontId="5" fillId="0" borderId="0" xfId="4" applyNumberFormat="1" applyAlignment="1">
      <alignment horizontal="center" vertical="center"/>
    </xf>
    <xf numFmtId="2" fontId="48" fillId="0" borderId="0" xfId="4" applyNumberFormat="1" applyFont="1" applyAlignment="1">
      <alignment horizontal="center" vertical="center" wrapText="1"/>
    </xf>
    <xf numFmtId="9" fontId="5" fillId="0" borderId="0" xfId="4" applyNumberFormat="1" applyAlignment="1">
      <alignment horizontal="center" vertical="center"/>
    </xf>
    <xf numFmtId="165" fontId="49" fillId="0" borderId="0" xfId="11" applyNumberFormat="1" applyFont="1" applyAlignment="1">
      <alignment horizontal="center" vertical="center"/>
    </xf>
    <xf numFmtId="2" fontId="49" fillId="0" borderId="0" xfId="4" applyNumberFormat="1" applyFont="1" applyAlignment="1">
      <alignment horizontal="center" vertical="center"/>
    </xf>
    <xf numFmtId="0" fontId="50" fillId="0" borderId="0" xfId="9" applyFont="1" applyAlignment="1">
      <alignment horizontal="center" vertical="center" wrapText="1"/>
    </xf>
    <xf numFmtId="0" fontId="51" fillId="0" borderId="0" xfId="9" applyFont="1" applyAlignment="1">
      <alignment horizontal="center" vertical="center" wrapText="1" readingOrder="2"/>
    </xf>
    <xf numFmtId="165" fontId="52" fillId="0" borderId="0" xfId="11" applyNumberFormat="1" applyFont="1" applyAlignment="1">
      <alignment horizontal="center" vertical="center" wrapText="1"/>
    </xf>
    <xf numFmtId="0" fontId="53" fillId="0" borderId="0" xfId="4" applyFont="1" applyAlignment="1">
      <alignment horizontal="center" vertical="center" wrapText="1"/>
    </xf>
    <xf numFmtId="0" fontId="50" fillId="0" borderId="0" xfId="4" applyFont="1" applyAlignment="1">
      <alignment horizontal="center" vertical="center"/>
    </xf>
    <xf numFmtId="0" fontId="6" fillId="0" borderId="0" xfId="9"/>
    <xf numFmtId="1" fontId="48" fillId="0" borderId="0" xfId="4" applyNumberFormat="1" applyFont="1" applyAlignment="1">
      <alignment horizontal="center" vertical="center" wrapText="1"/>
    </xf>
    <xf numFmtId="165" fontId="49" fillId="0" borderId="0" xfId="4" applyNumberFormat="1" applyFont="1" applyAlignment="1">
      <alignment horizontal="center" vertical="center"/>
    </xf>
    <xf numFmtId="165" fontId="49" fillId="0" borderId="1" xfId="11" applyNumberFormat="1" applyFont="1" applyBorder="1" applyAlignment="1">
      <alignment horizontal="center" vertical="center" wrapText="1"/>
    </xf>
    <xf numFmtId="0" fontId="49" fillId="0" borderId="2" xfId="4" applyFont="1" applyBorder="1" applyAlignment="1">
      <alignment horizontal="center" vertical="center"/>
    </xf>
    <xf numFmtId="1" fontId="5" fillId="0" borderId="6" xfId="4" applyNumberFormat="1" applyBorder="1" applyAlignment="1">
      <alignment horizontal="center" vertical="center"/>
    </xf>
    <xf numFmtId="165" fontId="49" fillId="0" borderId="6" xfId="11" applyNumberFormat="1" applyFont="1" applyBorder="1" applyAlignment="1">
      <alignment horizontal="center" vertical="center" wrapText="1"/>
    </xf>
    <xf numFmtId="2" fontId="49" fillId="0" borderId="6" xfId="4" applyNumberFormat="1" applyFont="1" applyBorder="1" applyAlignment="1">
      <alignment horizontal="center" vertical="center"/>
    </xf>
    <xf numFmtId="168" fontId="5" fillId="0" borderId="1" xfId="4" applyNumberFormat="1" applyBorder="1" applyAlignment="1">
      <alignment horizontal="center" vertical="center"/>
    </xf>
    <xf numFmtId="0" fontId="49" fillId="0" borderId="6" xfId="4" applyFont="1" applyBorder="1" applyAlignment="1">
      <alignment horizontal="center" vertical="center" wrapText="1"/>
    </xf>
    <xf numFmtId="0" fontId="49" fillId="51" borderId="8" xfId="4" applyFont="1" applyFill="1" applyBorder="1" applyAlignment="1">
      <alignment horizontal="center" vertical="center" wrapText="1"/>
    </xf>
    <xf numFmtId="166" fontId="49" fillId="0" borderId="6" xfId="4" applyNumberFormat="1" applyFont="1" applyBorder="1" applyAlignment="1">
      <alignment horizontal="center" vertical="center" wrapText="1"/>
    </xf>
    <xf numFmtId="0" fontId="49" fillId="51" borderId="1" xfId="4" applyFont="1" applyFill="1" applyBorder="1" applyAlignment="1">
      <alignment horizontal="center" vertical="center" wrapText="1"/>
    </xf>
    <xf numFmtId="166" fontId="5" fillId="0" borderId="0" xfId="4" applyNumberFormat="1" applyAlignment="1">
      <alignment horizontal="center" vertical="center"/>
    </xf>
    <xf numFmtId="165" fontId="49" fillId="0" borderId="1" xfId="4" applyNumberFormat="1" applyFont="1" applyBorder="1" applyAlignment="1">
      <alignment horizontal="center" vertical="center" wrapText="1"/>
    </xf>
    <xf numFmtId="0" fontId="5" fillId="51" borderId="1" xfId="4" applyFill="1" applyBorder="1" applyAlignment="1">
      <alignment horizontal="center" vertical="center"/>
    </xf>
    <xf numFmtId="0" fontId="49" fillId="0" borderId="1" xfId="4" applyFont="1" applyBorder="1" applyAlignment="1">
      <alignment horizontal="center" vertical="center" wrapText="1"/>
    </xf>
    <xf numFmtId="0" fontId="63" fillId="0" borderId="0" xfId="20"/>
    <xf numFmtId="165" fontId="11" fillId="0" borderId="7" xfId="0" applyNumberFormat="1" applyFont="1" applyBorder="1"/>
    <xf numFmtId="3" fontId="7" fillId="0" borderId="1" xfId="0" applyNumberFormat="1" applyFont="1" applyBorder="1"/>
    <xf numFmtId="0" fontId="11" fillId="0" borderId="7" xfId="0" applyFont="1" applyBorder="1"/>
    <xf numFmtId="0" fontId="11" fillId="46" borderId="3" xfId="0" applyFont="1" applyFill="1" applyBorder="1"/>
    <xf numFmtId="1" fontId="7" fillId="49" borderId="0" xfId="0" applyNumberFormat="1" applyFont="1" applyFill="1" applyAlignment="1">
      <alignment horizontal="center"/>
    </xf>
    <xf numFmtId="9" fontId="4" fillId="0" borderId="1" xfId="10" applyFont="1" applyBorder="1" applyAlignment="1">
      <alignment horizontal="center" vertical="center"/>
    </xf>
    <xf numFmtId="165" fontId="66" fillId="16" borderId="7" xfId="0" applyNumberFormat="1" applyFont="1" applyFill="1" applyBorder="1"/>
    <xf numFmtId="0" fontId="0" fillId="52" borderId="0" xfId="0" applyFill="1"/>
    <xf numFmtId="0" fontId="41" fillId="44" borderId="5" xfId="17" applyFont="1" applyFill="1" applyBorder="1" applyAlignment="1">
      <alignment horizontal="center" vertical="center" wrapText="1"/>
    </xf>
    <xf numFmtId="1" fontId="2" fillId="0" borderId="3" xfId="17" applyNumberFormat="1" applyBorder="1" applyAlignment="1">
      <alignment horizontal="center" vertical="center"/>
    </xf>
    <xf numFmtId="187" fontId="38" fillId="0" borderId="6" xfId="17" applyNumberFormat="1" applyFont="1" applyBorder="1" applyAlignment="1">
      <alignment horizontal="center" vertical="center" wrapText="1"/>
    </xf>
    <xf numFmtId="0" fontId="38" fillId="43" borderId="8" xfId="14" applyFont="1" applyFill="1" applyBorder="1" applyAlignment="1">
      <alignment horizontal="center" vertical="center" wrapText="1"/>
    </xf>
    <xf numFmtId="0" fontId="38" fillId="0" borderId="6" xfId="14" applyFont="1" applyBorder="1" applyAlignment="1">
      <alignment wrapText="1"/>
    </xf>
    <xf numFmtId="0" fontId="39" fillId="0" borderId="0" xfId="14" applyFont="1" applyAlignment="1">
      <alignment vertical="center" wrapText="1"/>
    </xf>
    <xf numFmtId="0" fontId="40" fillId="0" borderId="1" xfId="14" applyFont="1" applyBorder="1" applyAlignment="1">
      <alignment horizontal="center" vertical="center" wrapText="1"/>
    </xf>
    <xf numFmtId="0" fontId="41" fillId="0" borderId="1" xfId="14" applyFont="1" applyBorder="1" applyAlignment="1">
      <alignment horizontal="center" vertical="center"/>
    </xf>
    <xf numFmtId="0" fontId="41" fillId="0" borderId="12" xfId="17" applyFont="1" applyBorder="1" applyAlignment="1">
      <alignment horizontal="center" vertical="center" wrapText="1"/>
    </xf>
    <xf numFmtId="0" fontId="41" fillId="0" borderId="5" xfId="17" applyFont="1" applyBorder="1" applyAlignment="1">
      <alignment horizontal="center" vertical="center" wrapText="1"/>
    </xf>
    <xf numFmtId="0" fontId="20" fillId="53" borderId="0" xfId="0" applyFont="1" applyFill="1" applyAlignment="1">
      <alignment horizontal="center" vertical="center" wrapText="1"/>
    </xf>
    <xf numFmtId="0" fontId="21" fillId="53" borderId="0" xfId="0" applyFont="1" applyFill="1" applyAlignment="1">
      <alignment horizontal="center" vertical="center" wrapText="1"/>
    </xf>
    <xf numFmtId="0" fontId="12" fillId="53" borderId="0" xfId="0" applyFont="1" applyFill="1" applyAlignment="1">
      <alignment horizontal="center" vertical="center"/>
    </xf>
    <xf numFmtId="166" fontId="12" fillId="53" borderId="0" xfId="0" applyNumberFormat="1" applyFont="1" applyFill="1" applyAlignment="1">
      <alignment horizontal="center" vertical="center"/>
    </xf>
    <xf numFmtId="0" fontId="4" fillId="53" borderId="0" xfId="0" applyFont="1" applyFill="1"/>
    <xf numFmtId="0" fontId="0" fillId="53" borderId="0" xfId="0" applyFill="1"/>
    <xf numFmtId="0" fontId="4" fillId="37" borderId="1" xfId="0" applyFont="1" applyFill="1" applyBorder="1" applyAlignment="1">
      <alignment horizontal="center" vertical="center"/>
    </xf>
    <xf numFmtId="2" fontId="4" fillId="37" borderId="1" xfId="0" applyNumberFormat="1" applyFont="1" applyFill="1" applyBorder="1" applyAlignment="1">
      <alignment horizontal="center" vertical="center"/>
    </xf>
    <xf numFmtId="9" fontId="4" fillId="37" borderId="1" xfId="10" applyFont="1" applyFill="1" applyBorder="1" applyAlignment="1">
      <alignment horizontal="center" vertical="center"/>
    </xf>
    <xf numFmtId="168" fontId="0" fillId="0" borderId="2" xfId="0" applyNumberFormat="1" applyBorder="1" applyAlignment="1">
      <alignment vertical="center"/>
    </xf>
    <xf numFmtId="0" fontId="66" fillId="37" borderId="7" xfId="0" applyFont="1" applyFill="1" applyBorder="1"/>
    <xf numFmtId="169" fontId="66" fillId="16" borderId="1" xfId="0" applyNumberFormat="1" applyFont="1" applyFill="1" applyBorder="1"/>
    <xf numFmtId="165" fontId="66" fillId="16" borderId="1" xfId="0" applyNumberFormat="1" applyFont="1" applyFill="1" applyBorder="1"/>
    <xf numFmtId="165" fontId="11" fillId="22" borderId="1" xfId="0" applyNumberFormat="1" applyFont="1" applyFill="1" applyBorder="1"/>
    <xf numFmtId="165" fontId="11" fillId="0" borderId="1" xfId="0" applyNumberFormat="1" applyFont="1" applyBorder="1"/>
    <xf numFmtId="0" fontId="11" fillId="0" borderId="1" xfId="0" applyFont="1" applyBorder="1"/>
    <xf numFmtId="165" fontId="11" fillId="0" borderId="1" xfId="17" applyNumberFormat="1" applyFont="1" applyBorder="1" applyAlignment="1">
      <alignment horizontal="center" vertical="center"/>
    </xf>
    <xf numFmtId="165" fontId="66" fillId="48" borderId="1" xfId="18" applyNumberFormat="1" applyFont="1" applyFill="1" applyBorder="1" applyAlignment="1">
      <alignment horizontal="center" vertical="center"/>
    </xf>
    <xf numFmtId="3" fontId="47" fillId="0" borderId="0" xfId="20" applyNumberFormat="1" applyFont="1" applyAlignment="1">
      <alignment horizontal="center" vertical="center"/>
    </xf>
    <xf numFmtId="0" fontId="65" fillId="0" borderId="0" xfId="20" applyFont="1" applyAlignment="1">
      <alignment horizontal="center" vertical="center"/>
    </xf>
    <xf numFmtId="0" fontId="47" fillId="0" borderId="0" xfId="20" applyFont="1" applyAlignment="1">
      <alignment horizontal="left" vertical="center"/>
    </xf>
    <xf numFmtId="186" fontId="46" fillId="0" borderId="0" xfId="20" applyNumberFormat="1" applyFont="1" applyAlignment="1">
      <alignment horizontal="center" vertical="center"/>
    </xf>
    <xf numFmtId="0" fontId="46" fillId="0" borderId="0" xfId="20" applyFont="1" applyAlignment="1">
      <alignment horizontal="center" vertical="center" wrapText="1"/>
    </xf>
    <xf numFmtId="0" fontId="46" fillId="0" borderId="0" xfId="20" applyFont="1" applyAlignment="1">
      <alignment horizontal="center" vertical="center"/>
    </xf>
    <xf numFmtId="0" fontId="47" fillId="0" borderId="0" xfId="20" applyFont="1" applyAlignment="1">
      <alignment horizontal="right" vertical="center"/>
    </xf>
    <xf numFmtId="0" fontId="47" fillId="0" borderId="0" xfId="20" applyFont="1" applyAlignment="1">
      <alignment horizontal="center" vertical="center"/>
    </xf>
    <xf numFmtId="171" fontId="47" fillId="0" borderId="0" xfId="20" applyNumberFormat="1" applyFont="1" applyAlignment="1">
      <alignment horizontal="center" vertical="center"/>
    </xf>
    <xf numFmtId="4" fontId="46" fillId="0" borderId="0" xfId="20" applyNumberFormat="1" applyFont="1" applyAlignment="1">
      <alignment horizontal="center" vertical="center"/>
    </xf>
    <xf numFmtId="0" fontId="68" fillId="0" borderId="0" xfId="20" applyFont="1" applyAlignment="1">
      <alignment horizontal="center" vertical="center"/>
    </xf>
    <xf numFmtId="186" fontId="47" fillId="0" borderId="0" xfId="20" applyNumberFormat="1" applyFont="1" applyAlignment="1">
      <alignment horizontal="center" vertical="center"/>
    </xf>
    <xf numFmtId="0" fontId="4" fillId="0" borderId="0" xfId="20" applyFont="1" applyAlignment="1">
      <alignment horizontal="left" vertical="center"/>
    </xf>
    <xf numFmtId="191" fontId="22" fillId="0" borderId="0" xfId="20" applyNumberFormat="1" applyFont="1" applyAlignment="1">
      <alignment horizontal="center" vertical="center"/>
    </xf>
    <xf numFmtId="0" fontId="64" fillId="0" borderId="0" xfId="20" applyFont="1" applyAlignment="1">
      <alignment vertical="center"/>
    </xf>
    <xf numFmtId="0" fontId="47" fillId="0" borderId="0" xfId="20" applyFont="1" applyAlignment="1">
      <alignment vertical="center"/>
    </xf>
    <xf numFmtId="0" fontId="65" fillId="0" borderId="0" xfId="20" applyFont="1" applyAlignment="1">
      <alignment vertical="center"/>
    </xf>
    <xf numFmtId="0" fontId="55" fillId="0" borderId="0" xfId="20" applyFont="1" applyAlignment="1">
      <alignment vertical="center"/>
    </xf>
    <xf numFmtId="0" fontId="46" fillId="0" borderId="0" xfId="20" applyFont="1" applyAlignment="1">
      <alignment vertical="center"/>
    </xf>
    <xf numFmtId="4" fontId="0" fillId="0" borderId="0" xfId="0" applyNumberFormat="1"/>
    <xf numFmtId="0" fontId="62" fillId="0" borderId="0" xfId="9" applyFont="1"/>
    <xf numFmtId="0" fontId="62" fillId="0" borderId="0" xfId="9" applyFont="1" applyAlignment="1">
      <alignment horizontal="center"/>
    </xf>
    <xf numFmtId="0" fontId="66" fillId="16" borderId="1" xfId="0" applyFont="1" applyFill="1" applyBorder="1"/>
    <xf numFmtId="0" fontId="20" fillId="55" borderId="0" xfId="0" applyFont="1" applyFill="1" applyAlignment="1">
      <alignment horizontal="center" vertical="center" wrapText="1"/>
    </xf>
    <xf numFmtId="0" fontId="4" fillId="55" borderId="0" xfId="0" applyFont="1" applyFill="1" applyAlignment="1">
      <alignment horizontal="center" vertical="center"/>
    </xf>
    <xf numFmtId="0" fontId="21" fillId="55" borderId="0" xfId="0" applyFont="1" applyFill="1" applyAlignment="1">
      <alignment horizontal="center" vertical="center" wrapText="1"/>
    </xf>
    <xf numFmtId="166" fontId="12" fillId="55" borderId="0" xfId="0" applyNumberFormat="1" applyFont="1" applyFill="1" applyAlignment="1">
      <alignment horizontal="center" vertical="center"/>
    </xf>
    <xf numFmtId="9" fontId="0" fillId="55" borderId="0" xfId="0" applyNumberFormat="1" applyFill="1" applyAlignment="1">
      <alignment horizontal="center" vertical="center"/>
    </xf>
    <xf numFmtId="0" fontId="4" fillId="55" borderId="0" xfId="0" applyFont="1" applyFill="1"/>
    <xf numFmtId="0" fontId="0" fillId="55" borderId="0" xfId="0" applyFill="1"/>
    <xf numFmtId="0" fontId="23" fillId="55" borderId="0" xfId="0" applyFont="1" applyFill="1"/>
    <xf numFmtId="165" fontId="66" fillId="37" borderId="1" xfId="17" applyNumberFormat="1" applyFont="1" applyFill="1" applyBorder="1" applyAlignment="1">
      <alignment horizontal="center" vertical="center"/>
    </xf>
    <xf numFmtId="0" fontId="1" fillId="0" borderId="0" xfId="21"/>
    <xf numFmtId="0" fontId="69" fillId="56" borderId="30" xfId="21" applyFont="1" applyFill="1" applyBorder="1" applyAlignment="1">
      <alignment horizontal="center" vertical="center"/>
    </xf>
    <xf numFmtId="0" fontId="69" fillId="0" borderId="30" xfId="21" applyFont="1" applyBorder="1" applyAlignment="1">
      <alignment horizontal="left" vertical="center"/>
    </xf>
    <xf numFmtId="3" fontId="69" fillId="0" borderId="30" xfId="21" applyNumberFormat="1" applyFont="1" applyBorder="1" applyAlignment="1">
      <alignment horizontal="right" vertical="center"/>
    </xf>
    <xf numFmtId="0" fontId="7" fillId="58" borderId="0" xfId="0" applyFont="1" applyFill="1" applyAlignment="1">
      <alignment horizontal="center" vertical="center"/>
    </xf>
    <xf numFmtId="0" fontId="0" fillId="59" borderId="0" xfId="0" applyFill="1"/>
    <xf numFmtId="0" fontId="0" fillId="60" borderId="0" xfId="0" applyFill="1"/>
    <xf numFmtId="0" fontId="0" fillId="61" borderId="0" xfId="0" applyFill="1"/>
    <xf numFmtId="0" fontId="4" fillId="61" borderId="0" xfId="0" applyFont="1" applyFill="1"/>
    <xf numFmtId="0" fontId="0" fillId="62" borderId="0" xfId="0" applyFill="1"/>
    <xf numFmtId="0" fontId="4" fillId="62" borderId="0" xfId="0" applyFont="1" applyFill="1"/>
    <xf numFmtId="0" fontId="0" fillId="63" borderId="0" xfId="0" applyFill="1"/>
    <xf numFmtId="0" fontId="0" fillId="64" borderId="0" xfId="0" applyFill="1"/>
    <xf numFmtId="0" fontId="22" fillId="37" borderId="0" xfId="0" applyFont="1" applyFill="1" applyAlignment="1">
      <alignment horizontal="center" vertical="center"/>
    </xf>
    <xf numFmtId="0" fontId="7" fillId="57" borderId="0" xfId="0" applyFont="1" applyFill="1"/>
    <xf numFmtId="0" fontId="0" fillId="65" borderId="0" xfId="0" applyFill="1"/>
    <xf numFmtId="0" fontId="7" fillId="66" borderId="0" xfId="0" applyFont="1" applyFill="1"/>
    <xf numFmtId="0" fontId="7" fillId="66" borderId="0" xfId="0" applyFont="1" applyFill="1" applyAlignment="1">
      <alignment horizontal="center"/>
    </xf>
    <xf numFmtId="1" fontId="7" fillId="66" borderId="0" xfId="0" applyNumberFormat="1" applyFont="1" applyFill="1" applyAlignment="1">
      <alignment horizontal="center" vertical="center"/>
    </xf>
    <xf numFmtId="0" fontId="0" fillId="67" borderId="0" xfId="0" applyFill="1"/>
    <xf numFmtId="0" fontId="62" fillId="0" borderId="0" xfId="21" applyFont="1"/>
    <xf numFmtId="0" fontId="72" fillId="0" borderId="33" xfId="0" applyFont="1" applyBorder="1" applyAlignment="1">
      <alignment horizontal="center" vertical="center" wrapText="1"/>
    </xf>
    <xf numFmtId="0" fontId="72" fillId="0" borderId="33" xfId="0" applyFont="1" applyBorder="1" applyAlignment="1">
      <alignment horizontal="center" vertical="center"/>
    </xf>
    <xf numFmtId="0" fontId="73" fillId="0" borderId="33" xfId="0" applyFont="1" applyBorder="1" applyAlignment="1">
      <alignment horizontal="center" vertical="center"/>
    </xf>
    <xf numFmtId="0" fontId="72" fillId="38" borderId="33" xfId="0" applyFont="1" applyFill="1" applyBorder="1" applyAlignment="1">
      <alignment horizontal="center" vertical="center" wrapText="1"/>
    </xf>
    <xf numFmtId="0" fontId="74" fillId="68" borderId="33" xfId="0" applyFont="1" applyFill="1" applyBorder="1" applyAlignment="1">
      <alignment horizontal="center" vertical="center"/>
    </xf>
    <xf numFmtId="0" fontId="19" fillId="69" borderId="33" xfId="0" applyFont="1" applyFill="1" applyBorder="1" applyAlignment="1">
      <alignment horizontal="center" vertical="center" wrapText="1"/>
    </xf>
    <xf numFmtId="0" fontId="21" fillId="0" borderId="0" xfId="0" applyFont="1" applyAlignment="1">
      <alignment vertical="center"/>
    </xf>
    <xf numFmtId="0" fontId="74" fillId="68" borderId="33" xfId="0" applyFont="1" applyFill="1" applyBorder="1" applyAlignment="1">
      <alignment horizontal="center" vertical="center" wrapText="1"/>
    </xf>
    <xf numFmtId="0" fontId="75" fillId="70" borderId="0" xfId="0" applyFont="1" applyFill="1" applyAlignment="1">
      <alignment horizontal="center" vertical="center" wrapText="1"/>
    </xf>
    <xf numFmtId="0" fontId="1" fillId="0" borderId="1" xfId="26" applyBorder="1" applyAlignment="1">
      <alignment vertical="center"/>
    </xf>
    <xf numFmtId="0" fontId="1" fillId="0" borderId="1" xfId="26" applyBorder="1" applyAlignment="1">
      <alignment horizontal="center" vertical="center"/>
    </xf>
    <xf numFmtId="1" fontId="38" fillId="0" borderId="1" xfId="26" applyNumberFormat="1" applyFont="1" applyBorder="1" applyAlignment="1">
      <alignment horizontal="center" vertical="center"/>
    </xf>
    <xf numFmtId="9" fontId="1" fillId="0" borderId="1" xfId="26" applyNumberFormat="1" applyBorder="1" applyAlignment="1">
      <alignment horizontal="center" vertical="center"/>
    </xf>
    <xf numFmtId="1" fontId="38" fillId="0" borderId="1" xfId="26" applyNumberFormat="1" applyFont="1" applyBorder="1" applyAlignment="1">
      <alignment horizontal="center" vertical="center" wrapText="1"/>
    </xf>
    <xf numFmtId="1" fontId="1" fillId="0" borderId="1" xfId="26" applyNumberFormat="1" applyBorder="1" applyAlignment="1">
      <alignment horizontal="center" vertical="center"/>
    </xf>
    <xf numFmtId="0" fontId="0" fillId="71" borderId="0" xfId="0" applyFill="1"/>
    <xf numFmtId="0" fontId="62" fillId="0" borderId="30" xfId="21" applyFont="1" applyBorder="1"/>
    <xf numFmtId="0" fontId="5" fillId="57" borderId="0" xfId="4" applyFill="1" applyAlignment="1">
      <alignment horizontal="center" vertical="center"/>
    </xf>
    <xf numFmtId="0" fontId="49" fillId="72" borderId="1" xfId="4" applyFont="1" applyFill="1" applyBorder="1" applyAlignment="1">
      <alignment horizontal="center" vertical="center" wrapText="1"/>
    </xf>
    <xf numFmtId="0" fontId="5" fillId="57" borderId="1" xfId="4" applyFill="1" applyBorder="1" applyAlignment="1">
      <alignment horizontal="center" vertical="center"/>
    </xf>
    <xf numFmtId="0" fontId="12" fillId="57" borderId="0" xfId="0" applyFont="1" applyFill="1" applyAlignment="1">
      <alignment wrapText="1"/>
    </xf>
    <xf numFmtId="0" fontId="0" fillId="57" borderId="0" xfId="0" applyFill="1"/>
    <xf numFmtId="0" fontId="19" fillId="57" borderId="0" xfId="0" applyFont="1" applyFill="1" applyAlignment="1">
      <alignment horizontal="center" vertical="center" wrapText="1"/>
    </xf>
    <xf numFmtId="0" fontId="22" fillId="57" borderId="0" xfId="0" applyFont="1" applyFill="1" applyAlignment="1">
      <alignment horizontal="center" vertical="center"/>
    </xf>
    <xf numFmtId="0" fontId="7" fillId="57" borderId="0" xfId="0" applyFont="1" applyFill="1" applyAlignment="1">
      <alignment horizontal="center" vertical="center"/>
    </xf>
    <xf numFmtId="165" fontId="7" fillId="57" borderId="0" xfId="0" applyNumberFormat="1" applyFont="1" applyFill="1" applyAlignment="1">
      <alignment horizontal="center" vertical="center"/>
    </xf>
    <xf numFmtId="0" fontId="4" fillId="57" borderId="0" xfId="0" applyFont="1" applyFill="1"/>
    <xf numFmtId="0" fontId="74" fillId="68" borderId="33" xfId="0" applyFont="1" applyFill="1" applyBorder="1" applyAlignment="1">
      <alignment vertical="center"/>
    </xf>
    <xf numFmtId="0" fontId="21" fillId="68" borderId="0" xfId="0" applyFont="1" applyFill="1" applyAlignment="1">
      <alignment vertical="center"/>
    </xf>
    <xf numFmtId="0" fontId="0" fillId="68" borderId="0" xfId="0" applyFill="1"/>
    <xf numFmtId="0" fontId="7" fillId="68" borderId="0" xfId="0" applyFont="1" applyFill="1" applyAlignment="1">
      <alignment horizontal="center" vertical="center"/>
    </xf>
    <xf numFmtId="0" fontId="9" fillId="13" borderId="0" xfId="0" applyFont="1" applyFill="1"/>
    <xf numFmtId="165" fontId="9" fillId="13" borderId="0" xfId="0" applyNumberFormat="1" applyFont="1" applyFill="1" applyAlignment="1">
      <alignment horizontal="center" vertical="center"/>
    </xf>
    <xf numFmtId="192" fontId="4" fillId="16" borderId="1" xfId="0" applyNumberFormat="1" applyFont="1" applyFill="1" applyBorder="1"/>
    <xf numFmtId="0" fontId="74" fillId="68" borderId="34" xfId="0" applyFont="1" applyFill="1" applyBorder="1" applyAlignment="1">
      <alignment vertical="center"/>
    </xf>
    <xf numFmtId="0" fontId="27" fillId="73" borderId="0" xfId="0" applyFont="1" applyFill="1" applyAlignment="1">
      <alignment horizontal="center" vertical="center"/>
    </xf>
    <xf numFmtId="43" fontId="4" fillId="0" borderId="0" xfId="0" applyNumberFormat="1" applyFont="1"/>
    <xf numFmtId="0" fontId="69" fillId="56" borderId="1" xfId="21" applyFont="1" applyFill="1" applyBorder="1" applyAlignment="1">
      <alignment horizontal="center" vertical="center"/>
    </xf>
    <xf numFmtId="0" fontId="69" fillId="0" borderId="1" xfId="21" applyFont="1" applyBorder="1" applyAlignment="1">
      <alignment horizontal="left" vertical="center"/>
    </xf>
    <xf numFmtId="0" fontId="62" fillId="0" borderId="1" xfId="21" applyFont="1" applyBorder="1"/>
    <xf numFmtId="3" fontId="69" fillId="0" borderId="1" xfId="21" applyNumberFormat="1" applyFont="1" applyBorder="1" applyAlignment="1">
      <alignment horizontal="right" vertical="center"/>
    </xf>
    <xf numFmtId="0" fontId="16" fillId="0" borderId="0" xfId="9" applyFont="1" applyAlignment="1">
      <alignment horizontal="center" vertical="center"/>
    </xf>
    <xf numFmtId="0" fontId="12" fillId="0" borderId="0" xfId="0" applyFont="1" applyAlignment="1">
      <alignment horizontal="left" vertical="center" wrapText="1"/>
    </xf>
    <xf numFmtId="169" fontId="0" fillId="0" borderId="0" xfId="0" applyNumberFormat="1" applyAlignment="1">
      <alignment vertical="center"/>
    </xf>
    <xf numFmtId="169" fontId="18" fillId="0" borderId="0" xfId="0" applyNumberFormat="1" applyFont="1"/>
    <xf numFmtId="0" fontId="21" fillId="74" borderId="0" xfId="0" applyFont="1" applyFill="1" applyAlignment="1">
      <alignment horizontal="center" vertical="center"/>
    </xf>
    <xf numFmtId="176" fontId="26" fillId="75" borderId="0" xfId="0" applyNumberFormat="1" applyFont="1" applyFill="1"/>
    <xf numFmtId="0" fontId="27" fillId="74" borderId="0" xfId="0" applyFont="1" applyFill="1" applyAlignment="1">
      <alignment horizontal="center" vertical="center"/>
    </xf>
    <xf numFmtId="177" fontId="26" fillId="75" borderId="0" xfId="0" applyNumberFormat="1" applyFont="1" applyFill="1"/>
    <xf numFmtId="169" fontId="26" fillId="75" borderId="0" xfId="0" applyNumberFormat="1" applyFont="1" applyFill="1"/>
    <xf numFmtId="0" fontId="11" fillId="57" borderId="0" xfId="0" applyFont="1" applyFill="1" applyAlignment="1">
      <alignment horizontal="center" vertical="center"/>
    </xf>
    <xf numFmtId="1" fontId="0" fillId="57" borderId="0" xfId="0" applyNumberFormat="1" applyFill="1"/>
    <xf numFmtId="0" fontId="17" fillId="57" borderId="0" xfId="0" applyFont="1" applyFill="1" applyAlignment="1">
      <alignment horizontal="center"/>
    </xf>
    <xf numFmtId="175" fontId="0" fillId="0" borderId="0" xfId="0" applyNumberFormat="1" applyAlignment="1">
      <alignment vertical="center"/>
    </xf>
    <xf numFmtId="9" fontId="0" fillId="0" borderId="0" xfId="0" applyNumberFormat="1" applyAlignment="1">
      <alignment vertical="center"/>
    </xf>
    <xf numFmtId="1" fontId="0" fillId="0" borderId="0" xfId="0" applyNumberFormat="1" applyAlignment="1">
      <alignment vertical="center"/>
    </xf>
    <xf numFmtId="165" fontId="0" fillId="0" borderId="0" xfId="0" applyNumberFormat="1" applyAlignment="1">
      <alignment horizontal="center" vertical="center"/>
    </xf>
    <xf numFmtId="0" fontId="46" fillId="0" borderId="0" xfId="9" applyFont="1" applyAlignment="1">
      <alignment horizontal="left" vertical="center"/>
    </xf>
    <xf numFmtId="0" fontId="54" fillId="0" borderId="0" xfId="9" applyFont="1" applyAlignment="1">
      <alignment horizontal="left" vertical="center"/>
    </xf>
    <xf numFmtId="0" fontId="45" fillId="0" borderId="0" xfId="9" applyFont="1"/>
    <xf numFmtId="170" fontId="54" fillId="0" borderId="0" xfId="9" applyNumberFormat="1" applyFont="1" applyAlignment="1">
      <alignment horizontal="left" vertical="center"/>
    </xf>
    <xf numFmtId="0" fontId="47" fillId="0" borderId="0" xfId="9" applyFont="1" applyAlignment="1">
      <alignment horizontal="left" vertical="center"/>
    </xf>
    <xf numFmtId="0" fontId="46" fillId="0" borderId="0" xfId="9" applyFont="1" applyAlignment="1">
      <alignment horizontal="center" vertical="center" wrapText="1"/>
    </xf>
    <xf numFmtId="4" fontId="47" fillId="0" borderId="0" xfId="9" applyNumberFormat="1" applyFont="1" applyAlignment="1">
      <alignment horizontal="left" vertical="center"/>
    </xf>
    <xf numFmtId="171" fontId="47" fillId="0" borderId="0" xfId="9" applyNumberFormat="1" applyFont="1" applyAlignment="1">
      <alignment horizontal="left" vertical="center"/>
    </xf>
    <xf numFmtId="0" fontId="48" fillId="0" borderId="0" xfId="4" applyFont="1" applyAlignment="1">
      <alignment horizontal="center" vertical="center"/>
    </xf>
    <xf numFmtId="1" fontId="6" fillId="0" borderId="0" xfId="9" applyNumberFormat="1" applyAlignment="1">
      <alignment horizontal="center" vertical="center"/>
    </xf>
    <xf numFmtId="0" fontId="49" fillId="0" borderId="0" xfId="9" applyFont="1" applyAlignment="1">
      <alignment horizontal="center" vertical="center" wrapText="1"/>
    </xf>
    <xf numFmtId="4" fontId="46" fillId="0" borderId="0" xfId="9" applyNumberFormat="1" applyFont="1" applyAlignment="1">
      <alignment horizontal="left" vertical="center"/>
    </xf>
    <xf numFmtId="165" fontId="4" fillId="0" borderId="1" xfId="12" applyNumberFormat="1" applyFont="1" applyBorder="1" applyAlignment="1">
      <alignment horizontal="center"/>
    </xf>
    <xf numFmtId="165" fontId="37" fillId="0" borderId="1" xfId="14" applyNumberFormat="1" applyBorder="1" applyAlignment="1">
      <alignment horizontal="center"/>
    </xf>
    <xf numFmtId="165" fontId="18" fillId="0" borderId="0" xfId="0" applyNumberFormat="1" applyFont="1"/>
    <xf numFmtId="176" fontId="0" fillId="0" borderId="0" xfId="0" applyNumberFormat="1"/>
    <xf numFmtId="181" fontId="26" fillId="32" borderId="0" xfId="0" applyNumberFormat="1" applyFont="1" applyFill="1"/>
    <xf numFmtId="181" fontId="0" fillId="0" borderId="0" xfId="0" applyNumberFormat="1"/>
    <xf numFmtId="181" fontId="12" fillId="0" borderId="0" xfId="0" applyNumberFormat="1" applyFont="1" applyAlignment="1">
      <alignment wrapText="1"/>
    </xf>
    <xf numFmtId="176" fontId="12" fillId="0" borderId="0" xfId="0" applyNumberFormat="1" applyFont="1" applyAlignment="1">
      <alignment wrapText="1"/>
    </xf>
    <xf numFmtId="0" fontId="37" fillId="0" borderId="1" xfId="14" applyBorder="1"/>
    <xf numFmtId="0" fontId="4" fillId="20" borderId="1" xfId="0" applyFont="1" applyFill="1" applyBorder="1"/>
    <xf numFmtId="0" fontId="17" fillId="76" borderId="0" xfId="0" applyFont="1" applyFill="1"/>
    <xf numFmtId="0" fontId="7" fillId="76" borderId="0" xfId="0" applyFont="1" applyFill="1"/>
    <xf numFmtId="193" fontId="26" fillId="32" borderId="0" xfId="0" applyNumberFormat="1" applyFont="1" applyFill="1"/>
    <xf numFmtId="193" fontId="0" fillId="0" borderId="0" xfId="0" applyNumberFormat="1"/>
    <xf numFmtId="193" fontId="12" fillId="0" borderId="0" xfId="0" applyNumberFormat="1" applyFont="1" applyAlignment="1">
      <alignment wrapText="1"/>
    </xf>
    <xf numFmtId="0" fontId="4" fillId="76" borderId="0" xfId="0" applyFont="1" applyFill="1"/>
    <xf numFmtId="0" fontId="4" fillId="76" borderId="1" xfId="0" applyFont="1" applyFill="1" applyBorder="1"/>
    <xf numFmtId="0" fontId="7" fillId="0" borderId="1" xfId="21" applyFont="1" applyBorder="1"/>
    <xf numFmtId="176" fontId="4" fillId="0" borderId="0" xfId="0" applyNumberFormat="1" applyFont="1"/>
    <xf numFmtId="176" fontId="27" fillId="31" borderId="0" xfId="0" applyNumberFormat="1" applyFont="1" applyFill="1" applyAlignment="1">
      <alignment horizontal="center" vertical="center"/>
    </xf>
    <xf numFmtId="176" fontId="27" fillId="73" borderId="0" xfId="0" applyNumberFormat="1" applyFont="1" applyFill="1" applyAlignment="1">
      <alignment horizontal="center" vertical="center"/>
    </xf>
    <xf numFmtId="176" fontId="26" fillId="32" borderId="0" xfId="0" applyNumberFormat="1" applyFont="1" applyFill="1" applyAlignment="1">
      <alignment vertical="center"/>
    </xf>
    <xf numFmtId="176" fontId="0" fillId="0" borderId="0" xfId="0" applyNumberFormat="1" applyAlignment="1">
      <alignment vertical="center"/>
    </xf>
    <xf numFmtId="176" fontId="12" fillId="0" borderId="0" xfId="0" applyNumberFormat="1" applyFont="1" applyAlignment="1">
      <alignment vertical="center" wrapText="1"/>
    </xf>
    <xf numFmtId="176" fontId="4" fillId="0" borderId="0" xfId="0" applyNumberFormat="1" applyFont="1" applyAlignment="1">
      <alignment vertical="center"/>
    </xf>
    <xf numFmtId="176" fontId="19" fillId="15" borderId="1" xfId="0" applyNumberFormat="1" applyFont="1" applyFill="1" applyBorder="1" applyAlignment="1">
      <alignment vertical="center" wrapText="1"/>
    </xf>
    <xf numFmtId="176" fontId="22" fillId="15" borderId="1" xfId="0" applyNumberFormat="1" applyFont="1" applyFill="1" applyBorder="1" applyAlignment="1">
      <alignment vertical="center"/>
    </xf>
    <xf numFmtId="176" fontId="22" fillId="21" borderId="12" xfId="0" applyNumberFormat="1" applyFont="1" applyFill="1" applyBorder="1" applyAlignment="1">
      <alignment vertical="center" wrapText="1"/>
    </xf>
    <xf numFmtId="176" fontId="19" fillId="21" borderId="1" xfId="0" applyNumberFormat="1" applyFont="1" applyFill="1" applyBorder="1" applyAlignment="1">
      <alignment vertical="center" wrapText="1"/>
    </xf>
    <xf numFmtId="176" fontId="12" fillId="0" borderId="1" xfId="0" applyNumberFormat="1" applyFont="1" applyBorder="1" applyAlignment="1">
      <alignment vertical="center" wrapText="1"/>
    </xf>
    <xf numFmtId="176" fontId="12" fillId="0" borderId="1" xfId="0" applyNumberFormat="1" applyFont="1" applyBorder="1" applyAlignment="1">
      <alignment vertical="center"/>
    </xf>
    <xf numFmtId="176" fontId="0" fillId="0" borderId="1" xfId="0" applyNumberFormat="1" applyBorder="1" applyAlignment="1">
      <alignment vertical="center"/>
    </xf>
    <xf numFmtId="176" fontId="21" fillId="31" borderId="0" xfId="0" applyNumberFormat="1" applyFont="1" applyFill="1" applyAlignment="1">
      <alignment vertical="center"/>
    </xf>
    <xf numFmtId="176" fontId="27" fillId="31" borderId="0" xfId="0" applyNumberFormat="1" applyFont="1" applyFill="1" applyAlignment="1">
      <alignment vertical="center"/>
    </xf>
    <xf numFmtId="176" fontId="27" fillId="73" borderId="0" xfId="0" applyNumberFormat="1" applyFont="1" applyFill="1" applyAlignment="1">
      <alignment vertical="center"/>
    </xf>
    <xf numFmtId="0" fontId="17" fillId="76" borderId="0" xfId="0" applyFont="1" applyFill="1" applyAlignment="1">
      <alignment horizontal="center"/>
    </xf>
    <xf numFmtId="0" fontId="7" fillId="78" borderId="1" xfId="0" applyFont="1" applyFill="1" applyBorder="1" applyAlignment="1">
      <alignment horizontal="center"/>
    </xf>
    <xf numFmtId="0" fontId="7" fillId="78" borderId="1" xfId="0" applyFont="1" applyFill="1" applyBorder="1"/>
    <xf numFmtId="0" fontId="7" fillId="78" borderId="1" xfId="0" applyFont="1" applyFill="1" applyBorder="1" applyAlignment="1">
      <alignment horizontal="left"/>
    </xf>
    <xf numFmtId="0" fontId="0" fillId="38" borderId="0" xfId="0" applyFill="1"/>
    <xf numFmtId="0" fontId="69" fillId="0" borderId="0" xfId="21" applyFont="1" applyAlignment="1">
      <alignment horizontal="center" vertical="center"/>
    </xf>
    <xf numFmtId="0" fontId="69" fillId="0" borderId="0" xfId="21" applyFont="1" applyAlignment="1">
      <alignment horizontal="left" vertical="center"/>
    </xf>
    <xf numFmtId="3" fontId="69" fillId="0" borderId="0" xfId="21" applyNumberFormat="1" applyFont="1" applyAlignment="1">
      <alignment horizontal="right" vertical="center"/>
    </xf>
    <xf numFmtId="3" fontId="7" fillId="0" borderId="0" xfId="0" applyNumberFormat="1" applyFont="1"/>
    <xf numFmtId="0" fontId="7" fillId="0" borderId="0" xfId="0" applyFont="1" applyAlignment="1">
      <alignment horizontal="left"/>
    </xf>
    <xf numFmtId="0" fontId="7" fillId="0" borderId="0" xfId="21" applyFont="1"/>
    <xf numFmtId="0" fontId="7" fillId="79" borderId="0" xfId="0" applyFont="1" applyFill="1"/>
    <xf numFmtId="0" fontId="7" fillId="43" borderId="0" xfId="0" applyFont="1" applyFill="1"/>
    <xf numFmtId="194" fontId="4" fillId="0" borderId="1" xfId="12" applyNumberFormat="1" applyFont="1" applyBorder="1" applyAlignment="1">
      <alignment horizontal="center"/>
    </xf>
    <xf numFmtId="0" fontId="7" fillId="76" borderId="1" xfId="0" applyFont="1" applyFill="1" applyBorder="1"/>
    <xf numFmtId="166" fontId="49" fillId="0" borderId="1" xfId="4" applyNumberFormat="1" applyFont="1" applyBorder="1" applyAlignment="1">
      <alignment horizontal="center" vertical="center" wrapText="1"/>
    </xf>
    <xf numFmtId="0" fontId="49" fillId="51" borderId="3" xfId="4" applyFont="1" applyFill="1" applyBorder="1" applyAlignment="1">
      <alignment horizontal="center" vertical="center" wrapText="1"/>
    </xf>
    <xf numFmtId="0" fontId="19" fillId="14" borderId="1" xfId="9" applyFont="1" applyFill="1" applyBorder="1" applyAlignment="1">
      <alignment horizontal="center" vertical="center" wrapText="1"/>
    </xf>
    <xf numFmtId="0" fontId="12" fillId="21" borderId="0" xfId="9" applyFont="1" applyFill="1" applyAlignment="1">
      <alignment horizontal="center" vertical="center" wrapText="1"/>
    </xf>
    <xf numFmtId="0" fontId="22" fillId="43" borderId="0" xfId="4" applyFont="1" applyFill="1" applyAlignment="1">
      <alignment horizontal="center" vertical="center"/>
    </xf>
    <xf numFmtId="0" fontId="22" fillId="37" borderId="0" xfId="4" applyFont="1" applyFill="1" applyAlignment="1">
      <alignment horizontal="center" vertical="center"/>
    </xf>
    <xf numFmtId="0" fontId="61" fillId="20" borderId="5" xfId="4" applyFont="1" applyFill="1" applyBorder="1" applyAlignment="1">
      <alignment vertical="center" wrapText="1"/>
    </xf>
    <xf numFmtId="0" fontId="53" fillId="21" borderId="1" xfId="4" applyFont="1" applyFill="1" applyBorder="1" applyAlignment="1">
      <alignment horizontal="center" vertical="center" wrapText="1"/>
    </xf>
    <xf numFmtId="165" fontId="53" fillId="51" borderId="1" xfId="11" applyNumberFormat="1" applyFont="1" applyFill="1" applyBorder="1" applyAlignment="1">
      <alignment horizontal="center" vertical="center" wrapText="1"/>
    </xf>
    <xf numFmtId="0" fontId="38" fillId="57" borderId="1" xfId="4" applyFont="1" applyFill="1" applyBorder="1" applyAlignment="1">
      <alignment horizontal="center" vertical="center" wrapText="1"/>
    </xf>
    <xf numFmtId="0" fontId="38" fillId="0" borderId="1" xfId="4" applyFont="1" applyBorder="1" applyAlignment="1">
      <alignment horizontal="center" vertical="center"/>
    </xf>
    <xf numFmtId="166" fontId="5" fillId="0" borderId="1" xfId="4" applyNumberFormat="1" applyBorder="1" applyAlignment="1">
      <alignment horizontal="center" vertical="center"/>
    </xf>
    <xf numFmtId="165" fontId="5" fillId="0" borderId="1" xfId="4" applyNumberFormat="1" applyBorder="1" applyAlignment="1">
      <alignment horizontal="center" vertical="center"/>
    </xf>
    <xf numFmtId="0" fontId="49" fillId="0" borderId="1" xfId="4" applyFont="1" applyBorder="1" applyAlignment="1">
      <alignment horizontal="center" vertical="center"/>
    </xf>
    <xf numFmtId="166" fontId="49" fillId="0" borderId="1" xfId="11" applyFont="1" applyBorder="1" applyAlignment="1">
      <alignment horizontal="center" vertical="center" wrapText="1"/>
    </xf>
    <xf numFmtId="0" fontId="16" fillId="47" borderId="11" xfId="9" applyFont="1" applyFill="1" applyBorder="1" applyAlignment="1">
      <alignment horizontal="center" vertical="center"/>
    </xf>
    <xf numFmtId="175" fontId="5" fillId="0" borderId="1" xfId="4" applyNumberFormat="1" applyBorder="1" applyAlignment="1">
      <alignment horizontal="center" vertical="center"/>
    </xf>
    <xf numFmtId="0" fontId="20" fillId="28" borderId="1" xfId="9" applyFont="1" applyFill="1" applyBorder="1" applyAlignment="1">
      <alignment wrapText="1"/>
    </xf>
    <xf numFmtId="9" fontId="5" fillId="37" borderId="0" xfId="4" applyNumberFormat="1" applyFill="1" applyAlignment="1">
      <alignment horizontal="center" vertical="center"/>
    </xf>
    <xf numFmtId="165" fontId="6" fillId="0" borderId="0" xfId="11" applyNumberFormat="1" applyAlignment="1">
      <alignment horizontal="center" vertical="center"/>
    </xf>
    <xf numFmtId="165" fontId="6" fillId="0" borderId="0" xfId="9" applyNumberFormat="1" applyAlignment="1">
      <alignment horizontal="center" vertical="center"/>
    </xf>
    <xf numFmtId="0" fontId="14" fillId="0" borderId="0" xfId="9" applyFont="1" applyAlignment="1">
      <alignment horizontal="center" vertical="center"/>
    </xf>
    <xf numFmtId="0" fontId="6" fillId="0" borderId="0" xfId="9" applyAlignment="1">
      <alignment horizontal="center" vertical="center"/>
    </xf>
    <xf numFmtId="0" fontId="5" fillId="77" borderId="0" xfId="4" applyFill="1" applyAlignment="1">
      <alignment horizontal="center" vertical="center"/>
    </xf>
    <xf numFmtId="0" fontId="49" fillId="50" borderId="1" xfId="4" applyFont="1" applyFill="1" applyBorder="1" applyAlignment="1">
      <alignment vertical="center" wrapText="1"/>
    </xf>
    <xf numFmtId="175" fontId="49" fillId="0" borderId="1" xfId="4" applyNumberFormat="1" applyFont="1" applyBorder="1" applyAlignment="1">
      <alignment vertical="center"/>
    </xf>
    <xf numFmtId="9" fontId="5" fillId="0" borderId="1" xfId="4" applyNumberFormat="1" applyBorder="1" applyAlignment="1">
      <alignment vertical="center"/>
    </xf>
    <xf numFmtId="175" fontId="49" fillId="0" borderId="1" xfId="4" applyNumberFormat="1" applyFont="1" applyBorder="1" applyAlignment="1">
      <alignment horizontal="center" vertical="center"/>
    </xf>
    <xf numFmtId="0" fontId="38" fillId="0" borderId="1" xfId="4" applyFont="1" applyBorder="1" applyAlignment="1">
      <alignment horizontal="center" vertical="center" wrapText="1"/>
    </xf>
    <xf numFmtId="43" fontId="5" fillId="0" borderId="0" xfId="4" applyNumberFormat="1" applyAlignment="1">
      <alignment horizontal="center" vertical="center"/>
    </xf>
    <xf numFmtId="0" fontId="78" fillId="0" borderId="1" xfId="0" applyFont="1" applyBorder="1" applyAlignment="1">
      <alignment horizontal="center" wrapText="1"/>
    </xf>
    <xf numFmtId="194" fontId="5" fillId="0" borderId="0" xfId="12" applyNumberFormat="1" applyFont="1" applyAlignment="1">
      <alignment horizontal="center" vertical="center"/>
    </xf>
    <xf numFmtId="9" fontId="49" fillId="0" borderId="1" xfId="10" applyFont="1" applyBorder="1" applyAlignment="1">
      <alignment vertical="center"/>
    </xf>
    <xf numFmtId="2" fontId="49" fillId="0" borderId="1" xfId="4" applyNumberFormat="1" applyFont="1" applyBorder="1" applyAlignment="1">
      <alignment vertical="center" wrapText="1"/>
    </xf>
    <xf numFmtId="9" fontId="49" fillId="0" borderId="1" xfId="10" applyFont="1" applyBorder="1" applyAlignment="1">
      <alignment horizontal="center" vertical="center"/>
    </xf>
    <xf numFmtId="0" fontId="7" fillId="80" borderId="0" xfId="0" applyFont="1" applyFill="1" applyAlignment="1">
      <alignment horizontal="center" vertical="center" wrapText="1"/>
    </xf>
    <xf numFmtId="0" fontId="7" fillId="80" borderId="0" xfId="0" applyFont="1" applyFill="1" applyAlignment="1">
      <alignment horizontal="center" vertical="center"/>
    </xf>
    <xf numFmtId="165" fontId="80" fillId="0" borderId="0" xfId="0" applyNumberFormat="1" applyFont="1"/>
    <xf numFmtId="166" fontId="80" fillId="0" borderId="0" xfId="0" applyNumberFormat="1" applyFont="1"/>
    <xf numFmtId="168" fontId="7" fillId="5" borderId="0" xfId="0" applyNumberFormat="1" applyFont="1" applyFill="1"/>
    <xf numFmtId="0" fontId="80" fillId="0" borderId="0" xfId="0" applyFont="1"/>
    <xf numFmtId="0" fontId="7" fillId="37" borderId="0" xfId="0" applyFont="1" applyFill="1"/>
    <xf numFmtId="168" fontId="12" fillId="37" borderId="1" xfId="0" applyNumberFormat="1" applyFont="1" applyFill="1" applyBorder="1" applyAlignment="1">
      <alignment horizontal="center" vertical="center" wrapText="1"/>
    </xf>
    <xf numFmtId="166" fontId="7" fillId="12" borderId="0" xfId="0" applyNumberFormat="1" applyFont="1" applyFill="1" applyAlignment="1">
      <alignment horizontal="center" vertical="center"/>
    </xf>
    <xf numFmtId="168" fontId="7" fillId="4" borderId="0" xfId="0" applyNumberFormat="1" applyFont="1" applyFill="1" applyAlignment="1">
      <alignment horizontal="center"/>
    </xf>
    <xf numFmtId="165" fontId="7" fillId="81" borderId="0" xfId="0" applyNumberFormat="1" applyFont="1" applyFill="1" applyAlignment="1">
      <alignment horizontal="center" vertical="center"/>
    </xf>
    <xf numFmtId="166" fontId="7" fillId="81" borderId="0" xfId="0" applyNumberFormat="1" applyFont="1" applyFill="1" applyAlignment="1">
      <alignment horizontal="center" vertical="center"/>
    </xf>
    <xf numFmtId="2" fontId="7" fillId="82" borderId="0" xfId="0" applyNumberFormat="1" applyFont="1" applyFill="1" applyAlignment="1">
      <alignment horizontal="center" vertical="center"/>
    </xf>
    <xf numFmtId="166" fontId="7" fillId="9" borderId="0" xfId="0" applyNumberFormat="1" applyFont="1" applyFill="1" applyAlignment="1">
      <alignment horizontal="center" vertical="center"/>
    </xf>
    <xf numFmtId="166" fontId="7" fillId="10" borderId="0" xfId="0" applyNumberFormat="1" applyFont="1" applyFill="1" applyAlignment="1">
      <alignment horizontal="center" vertical="center"/>
    </xf>
    <xf numFmtId="166" fontId="7" fillId="8" borderId="0" xfId="0" applyNumberFormat="1" applyFont="1" applyFill="1" applyAlignment="1">
      <alignment horizontal="center" vertical="center"/>
    </xf>
    <xf numFmtId="0" fontId="7" fillId="83" borderId="0" xfId="0" applyFont="1" applyFill="1" applyAlignment="1">
      <alignment horizontal="left"/>
    </xf>
    <xf numFmtId="0" fontId="7" fillId="83" borderId="0" xfId="0" applyFont="1" applyFill="1"/>
    <xf numFmtId="0" fontId="7" fillId="83" borderId="0" xfId="0" applyFont="1" applyFill="1" applyAlignment="1">
      <alignment horizontal="center"/>
    </xf>
    <xf numFmtId="1" fontId="7" fillId="83" borderId="0" xfId="0" applyNumberFormat="1" applyFont="1" applyFill="1" applyAlignment="1">
      <alignment horizontal="center" vertical="center"/>
    </xf>
    <xf numFmtId="165" fontId="7" fillId="83" borderId="0" xfId="0" applyNumberFormat="1" applyFont="1" applyFill="1"/>
    <xf numFmtId="2" fontId="7" fillId="83" borderId="0" xfId="0" applyNumberFormat="1" applyFont="1" applyFill="1" applyAlignment="1">
      <alignment horizontal="center" vertical="center"/>
    </xf>
    <xf numFmtId="165" fontId="79" fillId="83" borderId="0" xfId="0" applyNumberFormat="1" applyFont="1" applyFill="1" applyAlignment="1">
      <alignment horizontal="center" vertical="center"/>
    </xf>
    <xf numFmtId="166" fontId="79" fillId="83" borderId="0" xfId="0" applyNumberFormat="1" applyFont="1" applyFill="1" applyAlignment="1">
      <alignment horizontal="center" vertical="center"/>
    </xf>
    <xf numFmtId="0" fontId="7" fillId="84" borderId="0" xfId="0" applyFont="1" applyFill="1"/>
    <xf numFmtId="0" fontId="7" fillId="84" borderId="0" xfId="0" applyFont="1" applyFill="1" applyAlignment="1">
      <alignment horizontal="center"/>
    </xf>
    <xf numFmtId="1" fontId="7" fillId="84" borderId="0" xfId="0" applyNumberFormat="1" applyFont="1" applyFill="1" applyAlignment="1">
      <alignment horizontal="center" vertical="center"/>
    </xf>
    <xf numFmtId="165" fontId="7" fillId="84" borderId="0" xfId="0" applyNumberFormat="1" applyFont="1" applyFill="1"/>
    <xf numFmtId="2" fontId="7" fillId="84" borderId="0" xfId="0" applyNumberFormat="1" applyFont="1" applyFill="1" applyAlignment="1">
      <alignment horizontal="center" vertical="center"/>
    </xf>
    <xf numFmtId="165" fontId="7" fillId="84" borderId="0" xfId="0" applyNumberFormat="1" applyFont="1" applyFill="1" applyAlignment="1">
      <alignment horizontal="center" vertical="center"/>
    </xf>
    <xf numFmtId="166" fontId="7" fillId="84" borderId="0" xfId="0" applyNumberFormat="1" applyFont="1" applyFill="1" applyAlignment="1">
      <alignment horizontal="center" vertical="center"/>
    </xf>
    <xf numFmtId="0" fontId="7" fillId="85" borderId="0" xfId="0" applyFont="1" applyFill="1"/>
    <xf numFmtId="0" fontId="7" fillId="85" borderId="0" xfId="0" applyFont="1" applyFill="1" applyAlignment="1">
      <alignment horizontal="center"/>
    </xf>
    <xf numFmtId="1" fontId="7" fillId="85" borderId="0" xfId="0" applyNumberFormat="1" applyFont="1" applyFill="1" applyAlignment="1">
      <alignment horizontal="center" vertical="center"/>
    </xf>
    <xf numFmtId="165" fontId="7" fillId="85" borderId="0" xfId="0" applyNumberFormat="1" applyFont="1" applyFill="1"/>
    <xf numFmtId="2" fontId="7" fillId="85" borderId="0" xfId="0" applyNumberFormat="1" applyFont="1" applyFill="1" applyAlignment="1">
      <alignment horizontal="center" vertical="center"/>
    </xf>
    <xf numFmtId="168" fontId="7" fillId="85" borderId="0" xfId="0" applyNumberFormat="1" applyFont="1" applyFill="1" applyAlignment="1">
      <alignment horizontal="center"/>
    </xf>
    <xf numFmtId="165" fontId="7" fillId="85" borderId="0" xfId="0" applyNumberFormat="1" applyFont="1" applyFill="1" applyAlignment="1">
      <alignment horizontal="center" vertical="center"/>
    </xf>
    <xf numFmtId="0" fontId="7" fillId="86" borderId="0" xfId="0" applyFont="1" applyFill="1"/>
    <xf numFmtId="0" fontId="7" fillId="86" borderId="0" xfId="0" applyFont="1" applyFill="1" applyAlignment="1">
      <alignment horizontal="center"/>
    </xf>
    <xf numFmtId="1" fontId="7" fillId="86" borderId="0" xfId="0" applyNumberFormat="1" applyFont="1" applyFill="1" applyAlignment="1">
      <alignment horizontal="center" vertical="center"/>
    </xf>
    <xf numFmtId="165" fontId="7" fillId="86" borderId="0" xfId="0" applyNumberFormat="1" applyFont="1" applyFill="1"/>
    <xf numFmtId="2" fontId="7" fillId="86" borderId="0" xfId="0" applyNumberFormat="1" applyFont="1" applyFill="1" applyAlignment="1">
      <alignment horizontal="center" vertical="center"/>
    </xf>
    <xf numFmtId="165" fontId="7" fillId="86" borderId="0" xfId="0" applyNumberFormat="1" applyFont="1" applyFill="1" applyAlignment="1">
      <alignment horizontal="center" vertical="center"/>
    </xf>
    <xf numFmtId="166" fontId="7" fillId="86" borderId="0" xfId="0" applyNumberFormat="1" applyFont="1" applyFill="1" applyAlignment="1">
      <alignment horizontal="center" vertical="center"/>
    </xf>
    <xf numFmtId="0" fontId="7" fillId="87" borderId="0" xfId="0" applyFont="1" applyFill="1"/>
    <xf numFmtId="0" fontId="7" fillId="87" borderId="0" xfId="0" applyFont="1" applyFill="1" applyAlignment="1">
      <alignment horizontal="center"/>
    </xf>
    <xf numFmtId="1" fontId="7" fillId="87" borderId="0" xfId="0" applyNumberFormat="1" applyFont="1" applyFill="1" applyAlignment="1">
      <alignment horizontal="center" vertical="center"/>
    </xf>
    <xf numFmtId="165" fontId="7" fillId="87" borderId="0" xfId="0" applyNumberFormat="1" applyFont="1" applyFill="1"/>
    <xf numFmtId="2" fontId="7" fillId="87" borderId="0" xfId="0" applyNumberFormat="1" applyFont="1" applyFill="1" applyAlignment="1">
      <alignment horizontal="center" vertical="center"/>
    </xf>
    <xf numFmtId="165" fontId="7" fillId="87" borderId="0" xfId="0" applyNumberFormat="1" applyFont="1" applyFill="1" applyAlignment="1">
      <alignment horizontal="center" vertical="center"/>
    </xf>
    <xf numFmtId="166" fontId="7" fillId="87" borderId="0" xfId="0" applyNumberFormat="1" applyFont="1" applyFill="1" applyAlignment="1">
      <alignment horizontal="center" vertical="center"/>
    </xf>
    <xf numFmtId="0" fontId="7" fillId="88" borderId="0" xfId="0" applyFont="1" applyFill="1"/>
    <xf numFmtId="0" fontId="7" fillId="88" borderId="0" xfId="0" applyFont="1" applyFill="1" applyAlignment="1">
      <alignment horizontal="center"/>
    </xf>
    <xf numFmtId="1" fontId="7" fillId="88" borderId="0" xfId="0" applyNumberFormat="1" applyFont="1" applyFill="1" applyAlignment="1">
      <alignment horizontal="center"/>
    </xf>
    <xf numFmtId="165" fontId="7" fillId="88" borderId="0" xfId="0" applyNumberFormat="1" applyFont="1" applyFill="1"/>
    <xf numFmtId="166" fontId="7" fillId="88" borderId="0" xfId="0" applyNumberFormat="1" applyFont="1" applyFill="1"/>
    <xf numFmtId="0" fontId="14" fillId="89" borderId="0" xfId="0" applyFont="1" applyFill="1" applyAlignment="1">
      <alignment horizontal="center" vertical="center"/>
    </xf>
    <xf numFmtId="0" fontId="14" fillId="89" borderId="0" xfId="0" applyFont="1" applyFill="1" applyAlignment="1">
      <alignment horizontal="center" vertical="center" wrapText="1"/>
    </xf>
    <xf numFmtId="0" fontId="7" fillId="89" borderId="0" xfId="0" applyFont="1" applyFill="1" applyAlignment="1">
      <alignment horizontal="center" vertical="center" wrapText="1"/>
    </xf>
    <xf numFmtId="0" fontId="7" fillId="89" borderId="0" xfId="0" applyFont="1" applyFill="1" applyAlignment="1">
      <alignment horizontal="center" vertical="center"/>
    </xf>
    <xf numFmtId="0" fontId="14" fillId="90" borderId="0" xfId="0" applyFont="1" applyFill="1"/>
    <xf numFmtId="0" fontId="14" fillId="90" borderId="0" xfId="0" applyFont="1" applyFill="1" applyAlignment="1">
      <alignment horizontal="center"/>
    </xf>
    <xf numFmtId="1" fontId="14" fillId="90" borderId="0" xfId="0" applyNumberFormat="1" applyFont="1" applyFill="1" applyAlignment="1">
      <alignment horizontal="center"/>
    </xf>
    <xf numFmtId="1" fontId="14" fillId="90" borderId="0" xfId="0" applyNumberFormat="1" applyFont="1" applyFill="1"/>
    <xf numFmtId="0" fontId="7" fillId="90" borderId="0" xfId="0" applyFont="1" applyFill="1" applyAlignment="1">
      <alignment horizontal="center"/>
    </xf>
    <xf numFmtId="168" fontId="7" fillId="90" borderId="0" xfId="0" applyNumberFormat="1" applyFont="1" applyFill="1" applyAlignment="1">
      <alignment horizontal="center"/>
    </xf>
    <xf numFmtId="2" fontId="14" fillId="90" borderId="0" xfId="0" applyNumberFormat="1" applyFont="1" applyFill="1"/>
    <xf numFmtId="0" fontId="7" fillId="91" borderId="0" xfId="0" applyFont="1" applyFill="1"/>
    <xf numFmtId="0" fontId="7" fillId="91" borderId="0" xfId="0" applyFont="1" applyFill="1" applyAlignment="1">
      <alignment horizontal="center"/>
    </xf>
    <xf numFmtId="1" fontId="14" fillId="91" borderId="0" xfId="0" applyNumberFormat="1" applyFont="1" applyFill="1" applyAlignment="1">
      <alignment horizontal="center"/>
    </xf>
    <xf numFmtId="1" fontId="14" fillId="91" borderId="0" xfId="0" applyNumberFormat="1" applyFont="1" applyFill="1"/>
    <xf numFmtId="0" fontId="14" fillId="91" borderId="0" xfId="0" applyFont="1" applyFill="1"/>
    <xf numFmtId="0" fontId="14" fillId="92" borderId="0" xfId="0" applyFont="1" applyFill="1"/>
    <xf numFmtId="0" fontId="14" fillId="92" borderId="0" xfId="0" applyFont="1" applyFill="1" applyAlignment="1">
      <alignment horizontal="center"/>
    </xf>
    <xf numFmtId="1" fontId="14" fillId="92" borderId="0" xfId="0" applyNumberFormat="1" applyFont="1" applyFill="1" applyAlignment="1">
      <alignment horizontal="center"/>
    </xf>
    <xf numFmtId="1" fontId="14" fillId="92" borderId="0" xfId="0" applyNumberFormat="1" applyFont="1" applyFill="1"/>
    <xf numFmtId="0" fontId="7" fillId="92" borderId="0" xfId="0" applyFont="1" applyFill="1" applyAlignment="1">
      <alignment horizontal="center"/>
    </xf>
    <xf numFmtId="2" fontId="14" fillId="92" borderId="0" xfId="0" applyNumberFormat="1" applyFont="1" applyFill="1"/>
    <xf numFmtId="0" fontId="15" fillId="92" borderId="0" xfId="0" applyFont="1" applyFill="1"/>
    <xf numFmtId="0" fontId="14" fillId="93" borderId="0" xfId="0" applyFont="1" applyFill="1"/>
    <xf numFmtId="0" fontId="7" fillId="93" borderId="0" xfId="0" applyFont="1" applyFill="1"/>
    <xf numFmtId="0" fontId="14" fillId="93" borderId="0" xfId="0" applyFont="1" applyFill="1" applyAlignment="1">
      <alignment horizontal="center"/>
    </xf>
    <xf numFmtId="1" fontId="14" fillId="93" borderId="0" xfId="0" applyNumberFormat="1" applyFont="1" applyFill="1" applyAlignment="1">
      <alignment horizontal="center"/>
    </xf>
    <xf numFmtId="1" fontId="14" fillId="93" borderId="0" xfId="0" applyNumberFormat="1" applyFont="1" applyFill="1"/>
    <xf numFmtId="0" fontId="7" fillId="93" borderId="0" xfId="0" applyFont="1" applyFill="1" applyAlignment="1">
      <alignment horizontal="center"/>
    </xf>
    <xf numFmtId="2" fontId="14" fillId="93" borderId="0" xfId="0" applyNumberFormat="1" applyFont="1" applyFill="1"/>
    <xf numFmtId="0" fontId="14" fillId="94" borderId="0" xfId="0" applyFont="1" applyFill="1"/>
    <xf numFmtId="0" fontId="14" fillId="94" borderId="0" xfId="0" applyFont="1" applyFill="1" applyAlignment="1">
      <alignment horizontal="center"/>
    </xf>
    <xf numFmtId="1" fontId="14" fillId="94" borderId="0" xfId="0" applyNumberFormat="1" applyFont="1" applyFill="1" applyAlignment="1">
      <alignment horizontal="center"/>
    </xf>
    <xf numFmtId="1" fontId="14" fillId="94" borderId="0" xfId="0" applyNumberFormat="1" applyFont="1" applyFill="1"/>
    <xf numFmtId="0" fontId="7" fillId="94" borderId="0" xfId="0" applyFont="1" applyFill="1" applyAlignment="1">
      <alignment horizontal="center"/>
    </xf>
    <xf numFmtId="2" fontId="14" fillId="94" borderId="0" xfId="0" applyNumberFormat="1" applyFont="1" applyFill="1"/>
    <xf numFmtId="0" fontId="14" fillId="95" borderId="0" xfId="0" applyFont="1" applyFill="1"/>
    <xf numFmtId="0" fontId="14" fillId="95" borderId="0" xfId="0" applyFont="1" applyFill="1" applyAlignment="1">
      <alignment horizontal="center"/>
    </xf>
    <xf numFmtId="1" fontId="14" fillId="95" borderId="0" xfId="0" applyNumberFormat="1" applyFont="1" applyFill="1" applyAlignment="1">
      <alignment horizontal="center"/>
    </xf>
    <xf numFmtId="1" fontId="14" fillId="95" borderId="0" xfId="0" applyNumberFormat="1" applyFont="1" applyFill="1"/>
    <xf numFmtId="2" fontId="14" fillId="95" borderId="0" xfId="0" applyNumberFormat="1" applyFont="1" applyFill="1"/>
    <xf numFmtId="2" fontId="0" fillId="0" borderId="0" xfId="0" applyNumberFormat="1" applyAlignment="1">
      <alignment horizontal="center" vertical="center"/>
    </xf>
    <xf numFmtId="165" fontId="7" fillId="88" borderId="0" xfId="0" applyNumberFormat="1" applyFont="1" applyFill="1" applyAlignment="1">
      <alignment horizontal="center" vertical="center"/>
    </xf>
    <xf numFmtId="165" fontId="7" fillId="6" borderId="0" xfId="0" applyNumberFormat="1" applyFont="1" applyFill="1" applyAlignment="1">
      <alignment horizontal="center" vertical="center"/>
    </xf>
    <xf numFmtId="165" fontId="80" fillId="0" borderId="0" xfId="0" applyNumberFormat="1" applyFont="1" applyAlignment="1">
      <alignment horizontal="center" vertical="center"/>
    </xf>
    <xf numFmtId="165" fontId="7" fillId="5" borderId="0" xfId="0" applyNumberFormat="1" applyFont="1" applyFill="1" applyAlignment="1">
      <alignment horizontal="center" vertical="center"/>
    </xf>
    <xf numFmtId="1" fontId="7" fillId="86" borderId="0" xfId="0" applyNumberFormat="1" applyFont="1" applyFill="1" applyAlignment="1">
      <alignment horizontal="center"/>
    </xf>
    <xf numFmtId="166" fontId="7" fillId="13" borderId="0" xfId="0" applyNumberFormat="1" applyFont="1" applyFill="1"/>
    <xf numFmtId="0" fontId="7" fillId="86" borderId="0" xfId="0" applyFont="1" applyFill="1" applyAlignment="1">
      <alignment horizontal="right" vertical="center"/>
    </xf>
    <xf numFmtId="0" fontId="7" fillId="85" borderId="0" xfId="0" applyFont="1" applyFill="1" applyAlignment="1">
      <alignment horizontal="right" vertical="center"/>
    </xf>
    <xf numFmtId="165" fontId="7" fillId="84" borderId="0" xfId="0" applyNumberFormat="1" applyFont="1" applyFill="1" applyAlignment="1">
      <alignment horizontal="right" vertical="center"/>
    </xf>
    <xf numFmtId="0" fontId="22" fillId="56" borderId="1" xfId="21" applyFont="1" applyFill="1" applyBorder="1" applyAlignment="1">
      <alignment vertical="center"/>
    </xf>
    <xf numFmtId="175" fontId="7" fillId="0" borderId="0" xfId="0" applyNumberFormat="1" applyFont="1"/>
    <xf numFmtId="171" fontId="14" fillId="94" borderId="0" xfId="0" applyNumberFormat="1" applyFont="1" applyFill="1"/>
    <xf numFmtId="1" fontId="37" fillId="0" borderId="0" xfId="14" applyNumberFormat="1"/>
    <xf numFmtId="1" fontId="38" fillId="37" borderId="1" xfId="17" applyNumberFormat="1" applyFont="1" applyFill="1" applyBorder="1" applyAlignment="1">
      <alignment horizontal="center" vertical="center"/>
    </xf>
    <xf numFmtId="194" fontId="37" fillId="0" borderId="0" xfId="12" applyNumberFormat="1" applyFont="1"/>
    <xf numFmtId="43" fontId="37" fillId="0" borderId="0" xfId="14" applyNumberFormat="1"/>
    <xf numFmtId="0" fontId="0" fillId="0" borderId="0" xfId="0" applyAlignment="1">
      <alignment horizontal="left"/>
    </xf>
    <xf numFmtId="0" fontId="11" fillId="29" borderId="3" xfId="0" applyFont="1" applyFill="1" applyBorder="1" applyAlignment="1">
      <alignment horizontal="left"/>
    </xf>
    <xf numFmtId="0" fontId="0" fillId="0" borderId="1" xfId="0" applyBorder="1" applyAlignment="1">
      <alignment horizontal="left" vertical="center"/>
    </xf>
    <xf numFmtId="0" fontId="21" fillId="31" borderId="0" xfId="0" applyFont="1" applyFill="1" applyAlignment="1">
      <alignment horizontal="left" vertical="center"/>
    </xf>
    <xf numFmtId="176" fontId="26" fillId="32" borderId="0" xfId="0" applyNumberFormat="1" applyFont="1" applyFill="1" applyAlignment="1">
      <alignment horizontal="left"/>
    </xf>
    <xf numFmtId="0" fontId="0" fillId="37" borderId="0" xfId="0" applyFill="1"/>
    <xf numFmtId="0" fontId="0" fillId="49" borderId="0" xfId="0" applyFill="1"/>
    <xf numFmtId="2" fontId="7" fillId="49" borderId="0" xfId="0" applyNumberFormat="1" applyFont="1" applyFill="1"/>
    <xf numFmtId="165" fontId="7" fillId="96" borderId="0" xfId="0" applyNumberFormat="1" applyFont="1" applyFill="1"/>
    <xf numFmtId="175" fontId="7" fillId="96" borderId="0" xfId="0" applyNumberFormat="1" applyFont="1" applyFill="1"/>
    <xf numFmtId="171" fontId="22" fillId="0" borderId="0" xfId="0" applyNumberFormat="1" applyFont="1"/>
    <xf numFmtId="1" fontId="12" fillId="37" borderId="1" xfId="0" applyNumberFormat="1" applyFont="1" applyFill="1" applyBorder="1" applyAlignment="1">
      <alignment horizontal="center" vertical="center"/>
    </xf>
    <xf numFmtId="1" fontId="0" fillId="0" borderId="7" xfId="0" applyNumberFormat="1" applyBorder="1"/>
    <xf numFmtId="169" fontId="19" fillId="0" borderId="7" xfId="0" applyNumberFormat="1" applyFont="1" applyBorder="1"/>
    <xf numFmtId="164" fontId="4" fillId="0" borderId="0" xfId="0" applyNumberFormat="1" applyFont="1"/>
    <xf numFmtId="195" fontId="4" fillId="0" borderId="0" xfId="0" applyNumberFormat="1" applyFont="1"/>
    <xf numFmtId="196" fontId="4" fillId="0" borderId="0" xfId="0" applyNumberFormat="1" applyFont="1"/>
    <xf numFmtId="171" fontId="22" fillId="9" borderId="1" xfId="0" applyNumberFormat="1" applyFont="1" applyFill="1" applyBorder="1"/>
    <xf numFmtId="0" fontId="12" fillId="0" borderId="1" xfId="0" applyFont="1" applyBorder="1" applyAlignment="1">
      <alignment horizontal="center" wrapText="1"/>
    </xf>
    <xf numFmtId="197" fontId="4" fillId="0" borderId="3" xfId="0" applyNumberFormat="1" applyFont="1" applyBorder="1"/>
    <xf numFmtId="0" fontId="4" fillId="97" borderId="0" xfId="0" applyFont="1" applyFill="1"/>
    <xf numFmtId="1" fontId="7" fillId="93" borderId="0" xfId="0" applyNumberFormat="1" applyFont="1" applyFill="1" applyAlignment="1">
      <alignment horizontal="center"/>
    </xf>
    <xf numFmtId="165" fontId="7" fillId="93" borderId="0" xfId="0" applyNumberFormat="1" applyFont="1" applyFill="1"/>
    <xf numFmtId="165" fontId="7" fillId="93" borderId="0" xfId="0" applyNumberFormat="1" applyFont="1" applyFill="1" applyAlignment="1">
      <alignment horizontal="center" vertical="center"/>
    </xf>
    <xf numFmtId="166" fontId="7" fillId="93" borderId="0" xfId="0" applyNumberFormat="1" applyFont="1" applyFill="1"/>
    <xf numFmtId="175" fontId="7" fillId="93" borderId="0" xfId="0" applyNumberFormat="1" applyFont="1" applyFill="1"/>
    <xf numFmtId="0" fontId="7" fillId="98" borderId="0" xfId="0" applyFont="1" applyFill="1"/>
    <xf numFmtId="0" fontId="7" fillId="98" borderId="0" xfId="0" applyFont="1" applyFill="1" applyAlignment="1">
      <alignment horizontal="center"/>
    </xf>
    <xf numFmtId="1" fontId="7" fillId="98" borderId="0" xfId="0" applyNumberFormat="1" applyFont="1" applyFill="1" applyAlignment="1">
      <alignment horizontal="center"/>
    </xf>
    <xf numFmtId="165" fontId="7" fillId="98" borderId="0" xfId="0" applyNumberFormat="1" applyFont="1" applyFill="1"/>
    <xf numFmtId="165" fontId="7" fillId="98" borderId="0" xfId="0" applyNumberFormat="1" applyFont="1" applyFill="1" applyAlignment="1">
      <alignment horizontal="center" vertical="center"/>
    </xf>
    <xf numFmtId="166" fontId="7" fillId="98" borderId="0" xfId="0" applyNumberFormat="1" applyFont="1" applyFill="1"/>
    <xf numFmtId="0" fontId="7" fillId="99" borderId="0" xfId="0" applyFont="1" applyFill="1"/>
    <xf numFmtId="0" fontId="7" fillId="99" borderId="0" xfId="0" applyFont="1" applyFill="1" applyAlignment="1">
      <alignment horizontal="center"/>
    </xf>
    <xf numFmtId="1" fontId="7" fillId="99" borderId="0" xfId="0" applyNumberFormat="1" applyFont="1" applyFill="1" applyAlignment="1">
      <alignment horizontal="center"/>
    </xf>
    <xf numFmtId="165" fontId="7" fillId="99" borderId="0" xfId="0" applyNumberFormat="1" applyFont="1" applyFill="1"/>
    <xf numFmtId="165" fontId="7" fillId="99" borderId="0" xfId="0" applyNumberFormat="1" applyFont="1" applyFill="1" applyAlignment="1">
      <alignment horizontal="center" vertical="center"/>
    </xf>
    <xf numFmtId="166" fontId="7" fillId="99" borderId="0" xfId="0" applyNumberFormat="1" applyFont="1" applyFill="1"/>
    <xf numFmtId="167" fontId="7" fillId="98" borderId="0" xfId="0" applyNumberFormat="1" applyFont="1" applyFill="1"/>
    <xf numFmtId="1" fontId="72" fillId="0" borderId="33" xfId="0" applyNumberFormat="1" applyFont="1" applyBorder="1" applyAlignment="1">
      <alignment horizontal="center" vertical="center" wrapText="1"/>
    </xf>
    <xf numFmtId="196" fontId="4" fillId="0" borderId="1" xfId="0" applyNumberFormat="1" applyFont="1" applyBorder="1"/>
    <xf numFmtId="164" fontId="4" fillId="0" borderId="1" xfId="0" applyNumberFormat="1" applyFont="1" applyBorder="1"/>
    <xf numFmtId="170" fontId="0" fillId="0" borderId="0" xfId="0" applyNumberFormat="1" applyAlignment="1">
      <alignment horizontal="center" vertical="center"/>
    </xf>
    <xf numFmtId="0" fontId="41" fillId="0" borderId="0" xfId="17" applyFont="1" applyAlignment="1">
      <alignment horizontal="center" vertical="center" wrapText="1"/>
    </xf>
    <xf numFmtId="0" fontId="41" fillId="0" borderId="0" xfId="17" applyFont="1" applyAlignment="1">
      <alignment horizontal="center" vertical="center"/>
    </xf>
    <xf numFmtId="170" fontId="38" fillId="0" borderId="0" xfId="17" applyNumberFormat="1" applyFont="1" applyAlignment="1">
      <alignment horizontal="center" vertical="center"/>
    </xf>
    <xf numFmtId="1" fontId="38" fillId="0" borderId="0" xfId="17" applyNumberFormat="1" applyFont="1" applyAlignment="1">
      <alignment horizontal="center" vertical="center" wrapText="1"/>
    </xf>
    <xf numFmtId="188" fontId="2" fillId="0" borderId="0" xfId="17" applyNumberFormat="1" applyAlignment="1">
      <alignment vertical="center"/>
    </xf>
    <xf numFmtId="9" fontId="2" fillId="0" borderId="0" xfId="17" applyNumberFormat="1" applyAlignment="1">
      <alignment vertical="center"/>
    </xf>
    <xf numFmtId="9" fontId="0" fillId="0" borderId="0" xfId="10" applyFont="1"/>
    <xf numFmtId="171" fontId="4" fillId="0" borderId="0" xfId="0" applyNumberFormat="1" applyFont="1"/>
    <xf numFmtId="0" fontId="4" fillId="97" borderId="5" xfId="0" applyFont="1" applyFill="1" applyBorder="1"/>
    <xf numFmtId="0" fontId="22" fillId="25" borderId="0" xfId="0" applyFont="1" applyFill="1" applyAlignment="1">
      <alignment horizontal="center"/>
    </xf>
    <xf numFmtId="0" fontId="22" fillId="16" borderId="0" xfId="0" applyFont="1" applyFill="1" applyAlignment="1">
      <alignment horizontal="center"/>
    </xf>
    <xf numFmtId="0" fontId="22" fillId="25" borderId="6" xfId="0" applyFont="1" applyFill="1" applyBorder="1" applyAlignment="1">
      <alignment horizontal="center"/>
    </xf>
    <xf numFmtId="0" fontId="22" fillId="25" borderId="1" xfId="0" applyFont="1" applyFill="1" applyBorder="1" applyAlignment="1">
      <alignment horizontal="center"/>
    </xf>
    <xf numFmtId="0" fontId="4" fillId="25" borderId="0" xfId="0" applyFont="1" applyFill="1" applyAlignment="1">
      <alignment horizontal="center"/>
    </xf>
    <xf numFmtId="2" fontId="22" fillId="100" borderId="0" xfId="0" applyNumberFormat="1" applyFont="1" applyFill="1" applyAlignment="1">
      <alignment horizontal="center"/>
    </xf>
    <xf numFmtId="2" fontId="22" fillId="16" borderId="2" xfId="0" applyNumberFormat="1" applyFont="1" applyFill="1" applyBorder="1" applyAlignment="1">
      <alignment horizontal="center"/>
    </xf>
    <xf numFmtId="2" fontId="22" fillId="16" borderId="1" xfId="0" applyNumberFormat="1" applyFont="1" applyFill="1" applyBorder="1" applyAlignment="1">
      <alignment horizontal="center"/>
    </xf>
    <xf numFmtId="170" fontId="22" fillId="0" borderId="1" xfId="0" applyNumberFormat="1" applyFont="1" applyBorder="1" applyAlignment="1">
      <alignment horizontal="center"/>
    </xf>
    <xf numFmtId="2" fontId="22" fillId="101" borderId="0" xfId="0" applyNumberFormat="1" applyFont="1" applyFill="1" applyAlignment="1">
      <alignment horizontal="center"/>
    </xf>
    <xf numFmtId="2" fontId="22" fillId="0" borderId="2" xfId="0" applyNumberFormat="1" applyFont="1" applyBorder="1" applyAlignment="1">
      <alignment horizontal="center"/>
    </xf>
    <xf numFmtId="2" fontId="22" fillId="0" borderId="1" xfId="0" applyNumberFormat="1" applyFont="1" applyBorder="1" applyAlignment="1">
      <alignment horizontal="center"/>
    </xf>
    <xf numFmtId="9" fontId="22" fillId="0" borderId="1" xfId="0" applyNumberFormat="1" applyFont="1" applyBorder="1" applyAlignment="1">
      <alignment horizontal="center"/>
    </xf>
    <xf numFmtId="171" fontId="22" fillId="0" borderId="11" xfId="0" applyNumberFormat="1" applyFont="1" applyBorder="1" applyAlignment="1">
      <alignment horizontal="center"/>
    </xf>
    <xf numFmtId="171" fontId="22" fillId="9" borderId="1" xfId="0" applyNumberFormat="1" applyFont="1" applyFill="1" applyBorder="1" applyAlignment="1">
      <alignment horizontal="center"/>
    </xf>
    <xf numFmtId="171" fontId="22" fillId="0" borderId="1" xfId="0" applyNumberFormat="1" applyFont="1" applyBorder="1" applyAlignment="1">
      <alignment horizontal="center"/>
    </xf>
    <xf numFmtId="199" fontId="22" fillId="0" borderId="1" xfId="0" applyNumberFormat="1" applyFont="1" applyBorder="1" applyAlignment="1">
      <alignment horizontal="center"/>
    </xf>
    <xf numFmtId="1" fontId="22" fillId="16" borderId="1" xfId="0" applyNumberFormat="1" applyFont="1" applyFill="1" applyBorder="1"/>
    <xf numFmtId="199" fontId="22" fillId="9" borderId="1" xfId="0" applyNumberFormat="1" applyFont="1" applyFill="1" applyBorder="1"/>
    <xf numFmtId="164" fontId="22" fillId="9" borderId="1" xfId="0" applyNumberFormat="1" applyFont="1" applyFill="1" applyBorder="1"/>
    <xf numFmtId="173" fontId="19" fillId="0" borderId="7" xfId="0" applyNumberFormat="1" applyFont="1" applyBorder="1"/>
    <xf numFmtId="164" fontId="22" fillId="0" borderId="1" xfId="0" applyNumberFormat="1" applyFont="1" applyBorder="1"/>
    <xf numFmtId="0" fontId="4" fillId="101" borderId="0" xfId="0" applyFont="1" applyFill="1"/>
    <xf numFmtId="0" fontId="4" fillId="46" borderId="0" xfId="0" applyFont="1" applyFill="1"/>
    <xf numFmtId="170" fontId="22" fillId="9" borderId="1" xfId="0" applyNumberFormat="1" applyFont="1" applyFill="1" applyBorder="1"/>
    <xf numFmtId="43" fontId="49" fillId="0" borderId="1" xfId="4" applyNumberFormat="1" applyFont="1" applyBorder="1" applyAlignment="1">
      <alignment horizontal="center" vertical="center"/>
    </xf>
    <xf numFmtId="188" fontId="57" fillId="0" borderId="1" xfId="9" applyNumberFormat="1" applyFont="1" applyBorder="1" applyAlignment="1">
      <alignment horizontal="center" vertical="center" wrapText="1"/>
    </xf>
    <xf numFmtId="189" fontId="57" fillId="0" borderId="1" xfId="19" applyNumberFormat="1" applyFont="1" applyBorder="1" applyAlignment="1">
      <alignment horizontal="center" vertical="center" wrapText="1"/>
    </xf>
    <xf numFmtId="198" fontId="0" fillId="0" borderId="0" xfId="0" applyNumberFormat="1"/>
    <xf numFmtId="166" fontId="0" fillId="0" borderId="7" xfId="0" applyNumberFormat="1" applyBorder="1"/>
    <xf numFmtId="0" fontId="0" fillId="46" borderId="0" xfId="0" applyFill="1"/>
    <xf numFmtId="194" fontId="0" fillId="0" borderId="3" xfId="12" applyNumberFormat="1" applyFont="1" applyBorder="1" applyAlignment="1">
      <alignment horizontal="center" vertical="center"/>
    </xf>
    <xf numFmtId="183" fontId="0" fillId="0" borderId="1" xfId="0" applyNumberFormat="1" applyBorder="1"/>
    <xf numFmtId="0" fontId="12" fillId="102" borderId="0" xfId="0" applyFont="1" applyFill="1" applyAlignment="1">
      <alignment horizontal="center" vertical="center" wrapText="1"/>
    </xf>
    <xf numFmtId="175" fontId="0" fillId="0" borderId="7" xfId="0" applyNumberFormat="1" applyBorder="1"/>
    <xf numFmtId="167" fontId="0" fillId="0" borderId="7" xfId="0" applyNumberFormat="1" applyBorder="1"/>
    <xf numFmtId="198" fontId="22" fillId="0" borderId="1" xfId="0" applyNumberFormat="1" applyFont="1" applyBorder="1" applyAlignment="1">
      <alignment horizontal="center"/>
    </xf>
    <xf numFmtId="9" fontId="22" fillId="0" borderId="1" xfId="10" applyFont="1" applyBorder="1"/>
    <xf numFmtId="10" fontId="22" fillId="0" borderId="1" xfId="0" applyNumberFormat="1" applyFont="1" applyBorder="1"/>
    <xf numFmtId="172" fontId="22" fillId="0" borderId="1" xfId="0" applyNumberFormat="1" applyFont="1" applyBorder="1"/>
    <xf numFmtId="165" fontId="22" fillId="16" borderId="0" xfId="0" applyNumberFormat="1" applyFont="1" applyFill="1"/>
    <xf numFmtId="9" fontId="22" fillId="0" borderId="1" xfId="10" applyFont="1" applyBorder="1" applyAlignment="1">
      <alignment horizontal="center"/>
    </xf>
    <xf numFmtId="201" fontId="22" fillId="16" borderId="1" xfId="0" applyNumberFormat="1" applyFont="1" applyFill="1" applyBorder="1"/>
    <xf numFmtId="2" fontId="22" fillId="16" borderId="0" xfId="0" applyNumberFormat="1" applyFont="1" applyFill="1"/>
    <xf numFmtId="0" fontId="4" fillId="45" borderId="0" xfId="0" applyFont="1" applyFill="1"/>
    <xf numFmtId="1" fontId="4" fillId="0" borderId="0" xfId="0" applyNumberFormat="1" applyFont="1" applyAlignment="1">
      <alignment horizontal="center"/>
    </xf>
    <xf numFmtId="171" fontId="22" fillId="16" borderId="0" xfId="0" applyNumberFormat="1" applyFont="1" applyFill="1"/>
    <xf numFmtId="173" fontId="22" fillId="0" borderId="7" xfId="0" applyNumberFormat="1" applyFont="1" applyBorder="1"/>
    <xf numFmtId="192" fontId="22" fillId="0" borderId="7" xfId="0" applyNumberFormat="1" applyFont="1" applyBorder="1"/>
    <xf numFmtId="192" fontId="19" fillId="0" borderId="7" xfId="0" applyNumberFormat="1" applyFont="1" applyBorder="1"/>
    <xf numFmtId="173" fontId="12" fillId="0" borderId="7" xfId="0" applyNumberFormat="1" applyFont="1" applyBorder="1"/>
    <xf numFmtId="199" fontId="4" fillId="45" borderId="0" xfId="0" applyNumberFormat="1" applyFont="1" applyFill="1"/>
    <xf numFmtId="2" fontId="4" fillId="45" borderId="0" xfId="0" applyNumberFormat="1" applyFont="1" applyFill="1"/>
    <xf numFmtId="0" fontId="22" fillId="0" borderId="11" xfId="0" applyFont="1" applyBorder="1" applyAlignment="1">
      <alignment horizontal="center"/>
    </xf>
    <xf numFmtId="165" fontId="0" fillId="0" borderId="7" xfId="0" applyNumberFormat="1" applyBorder="1" applyAlignment="1">
      <alignment horizontal="center" vertical="center"/>
    </xf>
    <xf numFmtId="0" fontId="0" fillId="0" borderId="7" xfId="0" applyBorder="1" applyAlignment="1">
      <alignment horizontal="center" vertical="center"/>
    </xf>
    <xf numFmtId="183" fontId="0" fillId="0" borderId="7" xfId="0" applyNumberFormat="1" applyBorder="1" applyAlignment="1">
      <alignment horizontal="center" vertical="center"/>
    </xf>
    <xf numFmtId="166" fontId="0" fillId="0" borderId="7" xfId="0" applyNumberFormat="1" applyBorder="1" applyAlignment="1">
      <alignment horizontal="center" vertical="center"/>
    </xf>
    <xf numFmtId="175" fontId="0" fillId="0" borderId="7" xfId="0" applyNumberFormat="1" applyBorder="1" applyAlignment="1">
      <alignment horizontal="center" vertical="center"/>
    </xf>
    <xf numFmtId="1" fontId="22" fillId="37" borderId="0" xfId="0" applyNumberFormat="1" applyFont="1" applyFill="1" applyAlignment="1">
      <alignment horizontal="center" vertical="center"/>
    </xf>
    <xf numFmtId="200" fontId="22" fillId="16" borderId="0" xfId="0" applyNumberFormat="1" applyFont="1" applyFill="1"/>
    <xf numFmtId="12" fontId="0" fillId="0" borderId="0" xfId="12" applyNumberFormat="1" applyFont="1"/>
    <xf numFmtId="0" fontId="4" fillId="103" borderId="0" xfId="0" applyFont="1" applyFill="1"/>
    <xf numFmtId="0" fontId="37" fillId="57" borderId="0" xfId="14" applyFill="1"/>
    <xf numFmtId="0" fontId="38" fillId="57" borderId="0" xfId="14" applyFont="1" applyFill="1" applyAlignment="1">
      <alignment wrapText="1"/>
    </xf>
    <xf numFmtId="0" fontId="44" fillId="57" borderId="0" xfId="17" applyFont="1" applyFill="1" applyAlignment="1">
      <alignment wrapText="1"/>
    </xf>
    <xf numFmtId="176" fontId="26" fillId="57" borderId="0" xfId="0" applyNumberFormat="1" applyFont="1" applyFill="1"/>
    <xf numFmtId="0" fontId="19" fillId="105" borderId="0" xfId="0" applyFont="1" applyFill="1" applyAlignment="1">
      <alignment horizontal="center" vertical="center" wrapText="1"/>
    </xf>
    <xf numFmtId="0" fontId="41" fillId="106" borderId="0" xfId="17" applyFont="1" applyFill="1" applyAlignment="1">
      <alignment horizontal="center" vertical="center" wrapText="1"/>
    </xf>
    <xf numFmtId="0" fontId="41" fillId="106" borderId="0" xfId="17" applyFont="1" applyFill="1" applyAlignment="1">
      <alignment horizontal="center" vertical="center"/>
    </xf>
    <xf numFmtId="0" fontId="2" fillId="57" borderId="0" xfId="17" applyFill="1" applyAlignment="1">
      <alignment vertical="center"/>
    </xf>
    <xf numFmtId="170" fontId="38" fillId="57" borderId="0" xfId="17" applyNumberFormat="1" applyFont="1" applyFill="1" applyAlignment="1">
      <alignment horizontal="center" vertical="center"/>
    </xf>
    <xf numFmtId="9" fontId="2" fillId="57" borderId="0" xfId="17" applyNumberFormat="1" applyFill="1" applyAlignment="1">
      <alignment horizontal="center" vertical="center"/>
    </xf>
    <xf numFmtId="1" fontId="38" fillId="57" borderId="0" xfId="17" applyNumberFormat="1" applyFont="1" applyFill="1" applyAlignment="1">
      <alignment horizontal="center" vertical="center" wrapText="1"/>
    </xf>
    <xf numFmtId="1" fontId="2" fillId="57" borderId="0" xfId="17" applyNumberFormat="1" applyFill="1" applyAlignment="1">
      <alignment horizontal="center" vertical="center"/>
    </xf>
    <xf numFmtId="188" fontId="2" fillId="57" borderId="0" xfId="17" applyNumberFormat="1" applyFill="1" applyAlignment="1">
      <alignment vertical="center"/>
    </xf>
    <xf numFmtId="9" fontId="2" fillId="57" borderId="0" xfId="17" applyNumberFormat="1" applyFill="1" applyAlignment="1">
      <alignment vertical="center"/>
    </xf>
    <xf numFmtId="0" fontId="22" fillId="105" borderId="0" xfId="0" applyFont="1" applyFill="1" applyAlignment="1">
      <alignment horizontal="center" vertical="center" wrapText="1"/>
    </xf>
    <xf numFmtId="0" fontId="22" fillId="105" borderId="0" xfId="0" applyFont="1" applyFill="1" applyAlignment="1">
      <alignment horizontal="center" vertical="center"/>
    </xf>
    <xf numFmtId="0" fontId="22" fillId="107" borderId="0" xfId="0" applyFont="1" applyFill="1" applyAlignment="1">
      <alignment horizontal="center" vertical="center" wrapText="1"/>
    </xf>
    <xf numFmtId="0" fontId="0" fillId="57" borderId="0" xfId="0" applyFill="1" applyAlignment="1">
      <alignment vertical="center"/>
    </xf>
    <xf numFmtId="170" fontId="12" fillId="57" borderId="0" xfId="0" applyNumberFormat="1" applyFont="1" applyFill="1" applyAlignment="1">
      <alignment horizontal="center" vertical="center"/>
    </xf>
    <xf numFmtId="9" fontId="0" fillId="57" borderId="0" xfId="0" applyNumberFormat="1" applyFill="1" applyAlignment="1">
      <alignment horizontal="center" vertical="center"/>
    </xf>
    <xf numFmtId="1" fontId="12" fillId="57" borderId="0" xfId="0" applyNumberFormat="1" applyFont="1" applyFill="1" applyAlignment="1">
      <alignment horizontal="center" vertical="center" wrapText="1"/>
    </xf>
    <xf numFmtId="1" fontId="0" fillId="57" borderId="0" xfId="0" applyNumberFormat="1" applyFill="1" applyAlignment="1">
      <alignment horizontal="center" vertical="center"/>
    </xf>
    <xf numFmtId="1" fontId="12" fillId="57" borderId="0" xfId="0" applyNumberFormat="1" applyFont="1" applyFill="1" applyAlignment="1">
      <alignment horizontal="center" vertical="center"/>
    </xf>
    <xf numFmtId="2" fontId="12" fillId="57" borderId="0" xfId="0" applyNumberFormat="1" applyFont="1" applyFill="1" applyAlignment="1">
      <alignment horizontal="center" vertical="center"/>
    </xf>
    <xf numFmtId="168" fontId="12" fillId="57" borderId="0" xfId="0" applyNumberFormat="1" applyFont="1" applyFill="1" applyAlignment="1">
      <alignment horizontal="center" vertical="center"/>
    </xf>
    <xf numFmtId="2" fontId="0" fillId="57" borderId="0" xfId="0" applyNumberFormat="1" applyFill="1"/>
    <xf numFmtId="0" fontId="24" fillId="57" borderId="0" xfId="0" applyFont="1" applyFill="1" applyAlignment="1">
      <alignment wrapText="1"/>
    </xf>
    <xf numFmtId="165" fontId="7" fillId="0" borderId="6" xfId="0" applyNumberFormat="1" applyFont="1" applyBorder="1"/>
    <xf numFmtId="0" fontId="11" fillId="57" borderId="0" xfId="0" applyFont="1" applyFill="1" applyAlignment="1">
      <alignment vertical="center"/>
    </xf>
    <xf numFmtId="175" fontId="0" fillId="57" borderId="0" xfId="0" applyNumberFormat="1" applyFill="1" applyAlignment="1">
      <alignment vertical="center"/>
    </xf>
    <xf numFmtId="9" fontId="0" fillId="57" borderId="0" xfId="0" applyNumberFormat="1" applyFill="1" applyAlignment="1">
      <alignment vertical="center"/>
    </xf>
    <xf numFmtId="170" fontId="12" fillId="57" borderId="0" xfId="0" applyNumberFormat="1" applyFont="1" applyFill="1" applyAlignment="1">
      <alignment horizontal="center" vertical="center" wrapText="1"/>
    </xf>
    <xf numFmtId="170" fontId="0" fillId="57" borderId="0" xfId="0" applyNumberFormat="1" applyFill="1" applyAlignment="1">
      <alignment horizontal="center" vertical="center"/>
    </xf>
    <xf numFmtId="165" fontId="7" fillId="108" borderId="0" xfId="0" applyNumberFormat="1" applyFont="1" applyFill="1" applyAlignment="1">
      <alignment horizontal="center" vertical="center"/>
    </xf>
    <xf numFmtId="165" fontId="7" fillId="108" borderId="0" xfId="0" applyNumberFormat="1" applyFont="1" applyFill="1"/>
    <xf numFmtId="166" fontId="7" fillId="108" borderId="0" xfId="0" applyNumberFormat="1" applyFont="1" applyFill="1"/>
    <xf numFmtId="169" fontId="19" fillId="0" borderId="7" xfId="0" applyNumberFormat="1" applyFont="1" applyBorder="1" applyAlignment="1">
      <alignment horizontal="center"/>
    </xf>
    <xf numFmtId="0" fontId="4" fillId="45" borderId="0" xfId="0" applyFont="1" applyFill="1" applyAlignment="1">
      <alignment horizontal="center"/>
    </xf>
    <xf numFmtId="0" fontId="0" fillId="45" borderId="0" xfId="0" applyFill="1"/>
    <xf numFmtId="0" fontId="5" fillId="45" borderId="0" xfId="4" applyFill="1" applyAlignment="1">
      <alignment horizontal="center" vertical="center"/>
    </xf>
    <xf numFmtId="0" fontId="12" fillId="109" borderId="0" xfId="0" applyFont="1" applyFill="1" applyAlignment="1">
      <alignment horizontal="center" vertical="center" wrapText="1"/>
    </xf>
    <xf numFmtId="202" fontId="22" fillId="0" borderId="1" xfId="0" applyNumberFormat="1" applyFont="1" applyBorder="1" applyAlignment="1">
      <alignment horizontal="center"/>
    </xf>
    <xf numFmtId="203" fontId="19" fillId="0" borderId="7" xfId="0" applyNumberFormat="1" applyFont="1" applyBorder="1"/>
    <xf numFmtId="2" fontId="22" fillId="9" borderId="1" xfId="0" applyNumberFormat="1" applyFont="1" applyFill="1" applyBorder="1"/>
    <xf numFmtId="0" fontId="37" fillId="45" borderId="0" xfId="14" applyFill="1"/>
    <xf numFmtId="198" fontId="22" fillId="9" borderId="1" xfId="0" applyNumberFormat="1" applyFont="1" applyFill="1" applyBorder="1" applyAlignment="1">
      <alignment horizontal="center"/>
    </xf>
    <xf numFmtId="174" fontId="4" fillId="0" borderId="1" xfId="0" applyNumberFormat="1" applyFont="1" applyBorder="1"/>
    <xf numFmtId="2" fontId="72" fillId="0" borderId="33" xfId="0" applyNumberFormat="1" applyFont="1" applyBorder="1" applyAlignment="1">
      <alignment horizontal="center" vertical="center" wrapText="1"/>
    </xf>
    <xf numFmtId="0" fontId="0" fillId="29" borderId="7" xfId="0" applyFill="1" applyBorder="1"/>
    <xf numFmtId="165" fontId="0" fillId="29" borderId="1" xfId="0" applyNumberFormat="1" applyFill="1" applyBorder="1"/>
    <xf numFmtId="0" fontId="22" fillId="16" borderId="1" xfId="0" applyFont="1" applyFill="1" applyBorder="1" applyAlignment="1">
      <alignment horizontal="center"/>
    </xf>
    <xf numFmtId="199" fontId="22" fillId="9" borderId="1" xfId="0" applyNumberFormat="1" applyFont="1" applyFill="1" applyBorder="1" applyAlignment="1">
      <alignment horizontal="center"/>
    </xf>
    <xf numFmtId="1" fontId="22" fillId="16" borderId="1" xfId="0" applyNumberFormat="1" applyFont="1" applyFill="1" applyBorder="1" applyAlignment="1">
      <alignment horizontal="center"/>
    </xf>
    <xf numFmtId="1" fontId="22" fillId="0" borderId="1" xfId="0" applyNumberFormat="1" applyFont="1" applyBorder="1" applyAlignment="1">
      <alignment horizontal="center"/>
    </xf>
    <xf numFmtId="204" fontId="4" fillId="0" borderId="0" xfId="0" applyNumberFormat="1" applyFont="1"/>
    <xf numFmtId="164" fontId="22" fillId="16" borderId="0" xfId="0" applyNumberFormat="1" applyFont="1" applyFill="1"/>
    <xf numFmtId="205" fontId="4" fillId="0" borderId="0" xfId="0" applyNumberFormat="1" applyFont="1"/>
    <xf numFmtId="175" fontId="19" fillId="0" borderId="7" xfId="0" applyNumberFormat="1" applyFont="1" applyBorder="1"/>
    <xf numFmtId="199" fontId="4" fillId="0" borderId="0" xfId="0" applyNumberFormat="1" applyFont="1"/>
    <xf numFmtId="0" fontId="0" fillId="46" borderId="0" xfId="0" applyFill="1" applyAlignment="1">
      <alignment horizontal="center"/>
    </xf>
    <xf numFmtId="0" fontId="20" fillId="27" borderId="0" xfId="0" applyFont="1" applyFill="1" applyAlignment="1">
      <alignment horizontal="center"/>
    </xf>
    <xf numFmtId="43" fontId="22" fillId="16" borderId="0" xfId="0" applyNumberFormat="1" applyFont="1" applyFill="1"/>
    <xf numFmtId="1" fontId="22" fillId="0" borderId="1" xfId="0" applyNumberFormat="1" applyFont="1" applyBorder="1"/>
    <xf numFmtId="180" fontId="0" fillId="0" borderId="7" xfId="0" applyNumberFormat="1" applyBorder="1"/>
    <xf numFmtId="165" fontId="0" fillId="54" borderId="1" xfId="0" applyNumberFormat="1" applyFill="1" applyBorder="1"/>
    <xf numFmtId="169" fontId="0" fillId="54" borderId="1" xfId="0" applyNumberFormat="1" applyFill="1" applyBorder="1"/>
    <xf numFmtId="165" fontId="0" fillId="57" borderId="6" xfId="0" applyNumberFormat="1" applyFill="1" applyBorder="1"/>
    <xf numFmtId="0" fontId="0" fillId="57" borderId="15" xfId="0" applyFill="1" applyBorder="1"/>
    <xf numFmtId="0" fontId="0" fillId="57" borderId="11" xfId="0" applyFill="1" applyBorder="1"/>
    <xf numFmtId="169" fontId="19" fillId="57" borderId="7" xfId="0" applyNumberFormat="1" applyFont="1" applyFill="1" applyBorder="1"/>
    <xf numFmtId="0" fontId="4" fillId="25" borderId="1" xfId="0" applyFont="1" applyFill="1" applyBorder="1"/>
    <xf numFmtId="0" fontId="4" fillId="101" borderId="1" xfId="0" applyFont="1" applyFill="1" applyBorder="1"/>
    <xf numFmtId="173" fontId="19" fillId="57" borderId="7" xfId="0" applyNumberFormat="1" applyFont="1" applyFill="1" applyBorder="1"/>
    <xf numFmtId="175" fontId="0" fillId="0" borderId="1" xfId="0" applyNumberFormat="1" applyBorder="1" applyAlignment="1">
      <alignment horizontal="center" vertical="center"/>
    </xf>
    <xf numFmtId="9" fontId="0" fillId="0" borderId="1" xfId="10" applyFont="1" applyBorder="1" applyAlignment="1">
      <alignment horizontal="center" vertical="center"/>
    </xf>
    <xf numFmtId="0" fontId="0" fillId="0" borderId="5" xfId="0" applyBorder="1"/>
    <xf numFmtId="0" fontId="19" fillId="37" borderId="0" xfId="0" applyFont="1" applyFill="1" applyAlignment="1">
      <alignment wrapText="1"/>
    </xf>
    <xf numFmtId="0" fontId="72" fillId="37" borderId="33" xfId="0" applyFont="1" applyFill="1" applyBorder="1" applyAlignment="1">
      <alignment horizontal="center" vertical="center" wrapText="1"/>
    </xf>
    <xf numFmtId="0" fontId="24" fillId="37" borderId="0" xfId="0" applyFont="1" applyFill="1"/>
    <xf numFmtId="165" fontId="7" fillId="0" borderId="0" xfId="0" applyNumberFormat="1" applyFont="1" applyAlignment="1">
      <alignment horizontal="center"/>
    </xf>
    <xf numFmtId="2" fontId="7" fillId="88" borderId="0" xfId="0" applyNumberFormat="1" applyFont="1" applyFill="1" applyAlignment="1">
      <alignment horizontal="center"/>
    </xf>
    <xf numFmtId="2" fontId="7" fillId="6" borderId="0" xfId="0" applyNumberFormat="1" applyFont="1" applyFill="1" applyAlignment="1">
      <alignment horizontal="center"/>
    </xf>
    <xf numFmtId="2" fontId="11" fillId="0" borderId="0" xfId="0" applyNumberFormat="1" applyFont="1" applyAlignment="1">
      <alignment horizontal="center"/>
    </xf>
    <xf numFmtId="2" fontId="7" fillId="5" borderId="0" xfId="0" applyNumberFormat="1" applyFont="1" applyFill="1" applyAlignment="1">
      <alignment horizontal="center"/>
    </xf>
    <xf numFmtId="2" fontId="7" fillId="93" borderId="0" xfId="0" applyNumberFormat="1" applyFont="1" applyFill="1" applyAlignment="1">
      <alignment horizontal="center"/>
    </xf>
    <xf numFmtId="2" fontId="7" fillId="98" borderId="0" xfId="0" applyNumberFormat="1" applyFont="1" applyFill="1" applyAlignment="1">
      <alignment horizontal="center"/>
    </xf>
    <xf numFmtId="2" fontId="9" fillId="93" borderId="0" xfId="0" applyNumberFormat="1" applyFont="1" applyFill="1" applyAlignment="1">
      <alignment horizontal="center"/>
    </xf>
    <xf numFmtId="2" fontId="7" fillId="99" borderId="0" xfId="0" applyNumberFormat="1" applyFont="1" applyFill="1" applyAlignment="1">
      <alignment horizontal="center"/>
    </xf>
    <xf numFmtId="2" fontId="9" fillId="98" borderId="0" xfId="0" applyNumberFormat="1" applyFont="1" applyFill="1" applyAlignment="1">
      <alignment horizontal="center"/>
    </xf>
    <xf numFmtId="2" fontId="81" fillId="10" borderId="0" xfId="0" applyNumberFormat="1" applyFont="1" applyFill="1" applyAlignment="1">
      <alignment horizontal="center" vertical="center"/>
    </xf>
    <xf numFmtId="0" fontId="0" fillId="57" borderId="2" xfId="0" applyFill="1" applyBorder="1" applyAlignment="1">
      <alignment horizontal="left"/>
    </xf>
    <xf numFmtId="169" fontId="11" fillId="0" borderId="7" xfId="0" applyNumberFormat="1" applyFont="1" applyBorder="1"/>
    <xf numFmtId="165" fontId="66" fillId="0" borderId="7" xfId="0" applyNumberFormat="1" applyFont="1" applyBorder="1"/>
    <xf numFmtId="43" fontId="11" fillId="0" borderId="7" xfId="0" applyNumberFormat="1" applyFont="1" applyBorder="1"/>
    <xf numFmtId="190" fontId="18" fillId="0" borderId="0" xfId="0" applyNumberFormat="1" applyFont="1"/>
    <xf numFmtId="165" fontId="11" fillId="0" borderId="7" xfId="0" applyNumberFormat="1" applyFont="1" applyBorder="1" applyAlignment="1">
      <alignment horizontal="center" vertical="center"/>
    </xf>
    <xf numFmtId="166" fontId="11" fillId="0" borderId="7" xfId="0" applyNumberFormat="1" applyFont="1" applyBorder="1" applyAlignment="1">
      <alignment horizontal="center" vertical="center"/>
    </xf>
    <xf numFmtId="1" fontId="11" fillId="0" borderId="7" xfId="0" applyNumberFormat="1" applyFont="1" applyBorder="1" applyAlignment="1">
      <alignment horizontal="center" vertical="center"/>
    </xf>
    <xf numFmtId="175" fontId="11" fillId="0" borderId="7" xfId="0" applyNumberFormat="1" applyFont="1" applyBorder="1"/>
    <xf numFmtId="166" fontId="66" fillId="16" borderId="7" xfId="0" applyNumberFormat="1" applyFont="1" applyFill="1" applyBorder="1" applyAlignment="1">
      <alignment horizontal="center" vertical="center"/>
    </xf>
    <xf numFmtId="175" fontId="66" fillId="16" borderId="7" xfId="0" applyNumberFormat="1" applyFont="1" applyFill="1" applyBorder="1" applyAlignment="1">
      <alignment horizontal="center" vertical="center"/>
    </xf>
    <xf numFmtId="183" fontId="66" fillId="16" borderId="7" xfId="0" applyNumberFormat="1" applyFont="1" applyFill="1" applyBorder="1"/>
    <xf numFmtId="0" fontId="66" fillId="16" borderId="7" xfId="0" applyFont="1" applyFill="1" applyBorder="1"/>
    <xf numFmtId="165" fontId="11" fillId="22" borderId="7" xfId="0" applyNumberFormat="1" applyFont="1" applyFill="1" applyBorder="1"/>
    <xf numFmtId="165" fontId="11" fillId="0" borderId="7" xfId="0" applyNumberFormat="1" applyFont="1" applyBorder="1" applyAlignment="1">
      <alignment horizontal="center"/>
    </xf>
    <xf numFmtId="0" fontId="11" fillId="0" borderId="7" xfId="0" applyFont="1" applyBorder="1" applyAlignment="1">
      <alignment horizontal="center"/>
    </xf>
    <xf numFmtId="169" fontId="11" fillId="0" borderId="7" xfId="0" applyNumberFormat="1" applyFont="1" applyBorder="1" applyAlignment="1">
      <alignment horizontal="center"/>
    </xf>
    <xf numFmtId="165" fontId="66" fillId="16" borderId="7" xfId="0" applyNumberFormat="1" applyFont="1" applyFill="1" applyBorder="1" applyAlignment="1">
      <alignment horizontal="center"/>
    </xf>
    <xf numFmtId="169" fontId="11" fillId="0" borderId="1" xfId="0" applyNumberFormat="1" applyFont="1" applyBorder="1"/>
    <xf numFmtId="165" fontId="0" fillId="16" borderId="7" xfId="0" applyNumberFormat="1" applyFill="1" applyBorder="1" applyAlignment="1">
      <alignment horizontal="center" vertical="center"/>
    </xf>
    <xf numFmtId="169" fontId="0" fillId="0" borderId="7" xfId="0" applyNumberFormat="1" applyBorder="1" applyAlignment="1">
      <alignment horizontal="center" vertical="center"/>
    </xf>
    <xf numFmtId="1" fontId="37" fillId="111" borderId="17" xfId="14" applyNumberFormat="1" applyFill="1" applyBorder="1"/>
    <xf numFmtId="165" fontId="66" fillId="16" borderId="7" xfId="0" applyNumberFormat="1" applyFont="1" applyFill="1" applyBorder="1" applyAlignment="1">
      <alignment horizontal="center" vertical="center"/>
    </xf>
    <xf numFmtId="182" fontId="82" fillId="112" borderId="1" xfId="10" applyNumberFormat="1" applyFont="1" applyFill="1" applyBorder="1"/>
    <xf numFmtId="0" fontId="4" fillId="37" borderId="0" xfId="0" applyFont="1" applyFill="1"/>
    <xf numFmtId="165" fontId="11" fillId="54" borderId="7" xfId="0" applyNumberFormat="1" applyFont="1" applyFill="1" applyBorder="1"/>
    <xf numFmtId="1" fontId="11" fillId="0" borderId="7" xfId="0" applyNumberFormat="1" applyFont="1" applyBorder="1"/>
    <xf numFmtId="1" fontId="66" fillId="16" borderId="7" xfId="0" applyNumberFormat="1" applyFont="1" applyFill="1" applyBorder="1"/>
    <xf numFmtId="0" fontId="66" fillId="37" borderId="7" xfId="0" applyFont="1" applyFill="1" applyBorder="1" applyAlignment="1">
      <alignment horizontal="center"/>
    </xf>
    <xf numFmtId="165" fontId="66" fillId="37" borderId="7" xfId="0" applyNumberFormat="1" applyFont="1" applyFill="1" applyBorder="1"/>
    <xf numFmtId="0" fontId="12" fillId="0" borderId="1" xfId="4" applyFont="1" applyBorder="1" applyAlignment="1">
      <alignment vertical="center"/>
    </xf>
    <xf numFmtId="166" fontId="12" fillId="0" borderId="1" xfId="4" applyNumberFormat="1" applyFont="1" applyBorder="1" applyAlignment="1">
      <alignment vertical="center"/>
    </xf>
    <xf numFmtId="165" fontId="35" fillId="0" borderId="1" xfId="9" applyNumberFormat="1" applyFont="1" applyBorder="1" applyAlignment="1">
      <alignment vertical="center"/>
    </xf>
    <xf numFmtId="165" fontId="12" fillId="0" borderId="1" xfId="4" applyNumberFormat="1" applyFont="1" applyBorder="1" applyAlignment="1">
      <alignment vertical="center"/>
    </xf>
    <xf numFmtId="199" fontId="22" fillId="16" borderId="0" xfId="0" applyNumberFormat="1" applyFont="1" applyFill="1"/>
    <xf numFmtId="165" fontId="11" fillId="36" borderId="7" xfId="0" applyNumberFormat="1" applyFont="1" applyFill="1" applyBorder="1"/>
    <xf numFmtId="165" fontId="66" fillId="48" borderId="1" xfId="11" applyNumberFormat="1" applyFont="1" applyFill="1" applyBorder="1" applyAlignment="1">
      <alignment horizontal="center" vertical="center"/>
    </xf>
    <xf numFmtId="165" fontId="66" fillId="37" borderId="1" xfId="9" applyNumberFormat="1" applyFont="1" applyFill="1" applyBorder="1" applyAlignment="1">
      <alignment horizontal="center" vertical="center"/>
    </xf>
    <xf numFmtId="43" fontId="18" fillId="0" borderId="1" xfId="4" applyNumberFormat="1" applyFont="1" applyBorder="1" applyAlignment="1">
      <alignment horizontal="center" vertical="center"/>
    </xf>
    <xf numFmtId="206" fontId="22" fillId="16" borderId="0" xfId="0" applyNumberFormat="1" applyFont="1" applyFill="1"/>
    <xf numFmtId="9" fontId="5" fillId="0" borderId="0" xfId="10" applyFont="1" applyAlignment="1">
      <alignment horizontal="center" vertical="center"/>
    </xf>
    <xf numFmtId="10" fontId="5" fillId="0" borderId="0" xfId="10" applyNumberFormat="1" applyFont="1" applyAlignment="1">
      <alignment horizontal="center" vertical="center"/>
    </xf>
    <xf numFmtId="9" fontId="0" fillId="0" borderId="7" xfId="0" applyNumberFormat="1" applyBorder="1"/>
    <xf numFmtId="175" fontId="11" fillId="0" borderId="1" xfId="11" applyNumberFormat="1" applyFont="1" applyBorder="1" applyAlignment="1">
      <alignment vertical="center"/>
    </xf>
    <xf numFmtId="0" fontId="18" fillId="0" borderId="1" xfId="4" applyFont="1" applyBorder="1" applyAlignment="1">
      <alignment vertical="center"/>
    </xf>
    <xf numFmtId="165" fontId="11" fillId="54" borderId="1" xfId="0" applyNumberFormat="1" applyFont="1" applyFill="1" applyBorder="1"/>
    <xf numFmtId="169" fontId="11" fillId="54" borderId="1" xfId="0" applyNumberFormat="1" applyFont="1" applyFill="1" applyBorder="1"/>
    <xf numFmtId="43" fontId="23" fillId="0" borderId="1" xfId="4" applyNumberFormat="1" applyFont="1" applyBorder="1" applyAlignment="1">
      <alignment horizontal="center" vertical="center"/>
    </xf>
    <xf numFmtId="0" fontId="23" fillId="0" borderId="1" xfId="4" applyFont="1" applyBorder="1" applyAlignment="1">
      <alignment horizontal="center" vertical="center"/>
    </xf>
    <xf numFmtId="165" fontId="28" fillId="0" borderId="6" xfId="9" applyNumberFormat="1" applyFont="1" applyBorder="1" applyAlignment="1">
      <alignment horizontal="center" vertical="center"/>
    </xf>
    <xf numFmtId="0" fontId="23" fillId="0" borderId="0" xfId="4" applyFont="1" applyAlignment="1">
      <alignment horizontal="center" vertical="center"/>
    </xf>
    <xf numFmtId="0" fontId="12" fillId="38" borderId="1" xfId="0" applyFont="1" applyFill="1" applyBorder="1" applyAlignment="1">
      <alignment horizontal="center" vertical="center"/>
    </xf>
    <xf numFmtId="0" fontId="1" fillId="0" borderId="1" xfId="17" applyFont="1" applyBorder="1" applyAlignment="1">
      <alignment horizontal="center" vertical="center"/>
    </xf>
    <xf numFmtId="1" fontId="11" fillId="57" borderId="7" xfId="0" applyNumberFormat="1" applyFont="1" applyFill="1" applyBorder="1"/>
    <xf numFmtId="165" fontId="11" fillId="57" borderId="7" xfId="0" applyNumberFormat="1" applyFont="1" applyFill="1" applyBorder="1"/>
    <xf numFmtId="165" fontId="11" fillId="57" borderId="1" xfId="0" applyNumberFormat="1" applyFont="1" applyFill="1" applyBorder="1"/>
    <xf numFmtId="165" fontId="11" fillId="57" borderId="1" xfId="17" applyNumberFormat="1" applyFont="1" applyFill="1" applyBorder="1" applyAlignment="1">
      <alignment horizontal="center" vertical="center"/>
    </xf>
    <xf numFmtId="0" fontId="11" fillId="57" borderId="7" xfId="0" applyFont="1" applyFill="1" applyBorder="1"/>
    <xf numFmtId="165" fontId="11" fillId="57" borderId="7" xfId="0" applyNumberFormat="1" applyFont="1" applyFill="1" applyBorder="1" applyAlignment="1">
      <alignment horizontal="center"/>
    </xf>
    <xf numFmtId="1" fontId="11" fillId="54" borderId="7" xfId="0" applyNumberFormat="1" applyFont="1" applyFill="1" applyBorder="1"/>
    <xf numFmtId="0" fontId="18" fillId="57" borderId="0" xfId="0" applyFont="1" applyFill="1"/>
    <xf numFmtId="166" fontId="11" fillId="57" borderId="7" xfId="0" applyNumberFormat="1" applyFont="1" applyFill="1" applyBorder="1"/>
    <xf numFmtId="0" fontId="11" fillId="57" borderId="0" xfId="0" applyFont="1" applyFill="1"/>
    <xf numFmtId="170" fontId="11" fillId="57" borderId="0" xfId="0" applyNumberFormat="1" applyFont="1" applyFill="1"/>
    <xf numFmtId="0" fontId="11" fillId="57" borderId="1" xfId="0" applyFont="1" applyFill="1" applyBorder="1"/>
    <xf numFmtId="169" fontId="11" fillId="57" borderId="7" xfId="0" applyNumberFormat="1" applyFont="1" applyFill="1" applyBorder="1"/>
    <xf numFmtId="168" fontId="11" fillId="57" borderId="7" xfId="0" applyNumberFormat="1" applyFont="1" applyFill="1" applyBorder="1"/>
    <xf numFmtId="0" fontId="11" fillId="54" borderId="7" xfId="0" applyFont="1" applyFill="1" applyBorder="1"/>
    <xf numFmtId="0" fontId="83" fillId="57" borderId="0" xfId="14" applyFont="1" applyFill="1"/>
    <xf numFmtId="165" fontId="42" fillId="57" borderId="1" xfId="17" applyNumberFormat="1" applyFont="1" applyFill="1" applyBorder="1" applyAlignment="1">
      <alignment horizontal="center" vertical="center"/>
    </xf>
    <xf numFmtId="0" fontId="84" fillId="57" borderId="0" xfId="4" applyFont="1" applyFill="1" applyAlignment="1">
      <alignment horizontal="center" vertical="center"/>
    </xf>
    <xf numFmtId="169" fontId="84" fillId="57" borderId="0" xfId="4" applyNumberFormat="1" applyFont="1" applyFill="1" applyAlignment="1">
      <alignment horizontal="center" vertical="center"/>
    </xf>
    <xf numFmtId="165" fontId="16" fillId="57" borderId="1" xfId="9" applyNumberFormat="1" applyFont="1" applyFill="1" applyBorder="1" applyAlignment="1">
      <alignment horizontal="center" vertical="center"/>
    </xf>
    <xf numFmtId="0" fontId="84" fillId="57" borderId="1" xfId="4" applyFont="1" applyFill="1" applyBorder="1" applyAlignment="1">
      <alignment horizontal="center" vertical="center"/>
    </xf>
    <xf numFmtId="0" fontId="11" fillId="57" borderId="7" xfId="0" applyFont="1" applyFill="1" applyBorder="1" applyAlignment="1">
      <alignment horizontal="center"/>
    </xf>
    <xf numFmtId="165" fontId="11" fillId="54" borderId="7" xfId="0" applyNumberFormat="1" applyFont="1" applyFill="1" applyBorder="1" applyAlignment="1">
      <alignment horizontal="center"/>
    </xf>
    <xf numFmtId="165" fontId="0" fillId="57" borderId="7" xfId="0" applyNumberFormat="1" applyFill="1" applyBorder="1"/>
    <xf numFmtId="165" fontId="16" fillId="113" borderId="1" xfId="11" applyNumberFormat="1" applyFont="1" applyFill="1" applyBorder="1" applyAlignment="1">
      <alignment horizontal="center" vertical="center"/>
    </xf>
    <xf numFmtId="43" fontId="84" fillId="57" borderId="1" xfId="4" applyNumberFormat="1" applyFont="1" applyFill="1" applyBorder="1" applyAlignment="1">
      <alignment horizontal="center" vertical="center"/>
    </xf>
    <xf numFmtId="165" fontId="85" fillId="57" borderId="1" xfId="9" applyNumberFormat="1" applyFont="1" applyFill="1" applyBorder="1" applyAlignment="1">
      <alignment horizontal="center" vertical="center"/>
    </xf>
    <xf numFmtId="165" fontId="28" fillId="57" borderId="1" xfId="0" applyNumberFormat="1" applyFont="1" applyFill="1" applyBorder="1"/>
    <xf numFmtId="169" fontId="69" fillId="57" borderId="7" xfId="0" applyNumberFormat="1" applyFont="1" applyFill="1" applyBorder="1"/>
    <xf numFmtId="0" fontId="86" fillId="57" borderId="0" xfId="14" applyFont="1" applyFill="1"/>
    <xf numFmtId="165" fontId="0" fillId="57" borderId="1" xfId="0" applyNumberFormat="1" applyFill="1" applyBorder="1"/>
    <xf numFmtId="9" fontId="12" fillId="0" borderId="1" xfId="10" applyFont="1" applyBorder="1" applyAlignment="1">
      <alignment vertical="center" wrapText="1"/>
    </xf>
    <xf numFmtId="0" fontId="14" fillId="93" borderId="0" xfId="0" applyFont="1" applyFill="1" applyAlignment="1">
      <alignment horizontal="left"/>
    </xf>
    <xf numFmtId="164" fontId="0" fillId="0" borderId="0" xfId="0" applyNumberFormat="1"/>
    <xf numFmtId="164" fontId="12" fillId="0" borderId="0" xfId="0" applyNumberFormat="1" applyFont="1" applyAlignment="1">
      <alignment horizontal="center" wrapText="1"/>
    </xf>
    <xf numFmtId="165" fontId="11" fillId="16" borderId="1" xfId="0" applyNumberFormat="1" applyFont="1" applyFill="1" applyBorder="1"/>
    <xf numFmtId="166" fontId="11" fillId="22" borderId="7" xfId="0" applyNumberFormat="1" applyFont="1" applyFill="1" applyBorder="1"/>
    <xf numFmtId="0" fontId="7" fillId="88" borderId="0" xfId="0" applyFont="1" applyFill="1" applyAlignment="1">
      <alignment horizontal="left"/>
    </xf>
    <xf numFmtId="3" fontId="4" fillId="38" borderId="0" xfId="0" applyNumberFormat="1" applyFont="1" applyFill="1"/>
    <xf numFmtId="169" fontId="4" fillId="57" borderId="1" xfId="0" applyNumberFormat="1" applyFont="1" applyFill="1" applyBorder="1"/>
    <xf numFmtId="0" fontId="87" fillId="0" borderId="0" xfId="0" applyFont="1"/>
    <xf numFmtId="0" fontId="74" fillId="0" borderId="0" xfId="0" applyFont="1" applyAlignment="1">
      <alignment wrapText="1"/>
    </xf>
    <xf numFmtId="0" fontId="74" fillId="0" borderId="0" xfId="0" applyFont="1" applyAlignment="1">
      <alignment horizontal="center" vertical="center"/>
    </xf>
    <xf numFmtId="168" fontId="74" fillId="0" borderId="0" xfId="0" applyNumberFormat="1" applyFont="1" applyAlignment="1">
      <alignment horizontal="center" vertical="center"/>
    </xf>
    <xf numFmtId="9" fontId="74" fillId="0" borderId="0" xfId="0" applyNumberFormat="1" applyFont="1" applyAlignment="1">
      <alignment horizontal="center" vertical="center"/>
    </xf>
    <xf numFmtId="175" fontId="87" fillId="0" borderId="0" xfId="0" applyNumberFormat="1" applyFont="1" applyAlignment="1">
      <alignment horizontal="center"/>
    </xf>
    <xf numFmtId="166" fontId="87" fillId="0" borderId="0" xfId="0" applyNumberFormat="1" applyFont="1" applyAlignment="1">
      <alignment horizontal="center"/>
    </xf>
    <xf numFmtId="183" fontId="12" fillId="0" borderId="1" xfId="0" applyNumberFormat="1" applyFont="1" applyBorder="1" applyAlignment="1">
      <alignment horizontal="center" vertical="center" wrapText="1"/>
    </xf>
    <xf numFmtId="2" fontId="7" fillId="13" borderId="0" xfId="0" applyNumberFormat="1" applyFont="1" applyFill="1" applyAlignment="1">
      <alignment horizontal="center"/>
    </xf>
    <xf numFmtId="0" fontId="14" fillId="0" borderId="0" xfId="0" applyFont="1" applyAlignment="1">
      <alignment horizontal="center"/>
    </xf>
    <xf numFmtId="171" fontId="14" fillId="0" borderId="0" xfId="0" applyNumberFormat="1" applyFont="1"/>
    <xf numFmtId="166" fontId="0" fillId="57" borderId="7" xfId="0" applyNumberFormat="1" applyFill="1" applyBorder="1"/>
    <xf numFmtId="207" fontId="7" fillId="93" borderId="0" xfId="0" applyNumberFormat="1" applyFont="1" applyFill="1"/>
    <xf numFmtId="0" fontId="22" fillId="0" borderId="0" xfId="21" applyFont="1" applyAlignment="1">
      <alignment horizontal="center" vertical="center"/>
    </xf>
    <xf numFmtId="0" fontId="62" fillId="0" borderId="0" xfId="21" applyFont="1"/>
    <xf numFmtId="0" fontId="7" fillId="0" borderId="0" xfId="21" applyFont="1"/>
    <xf numFmtId="0" fontId="7" fillId="0" borderId="0" xfId="0" applyFont="1" applyAlignment="1">
      <alignment horizontal="center"/>
    </xf>
    <xf numFmtId="0" fontId="7" fillId="78" borderId="1" xfId="0" applyFont="1" applyFill="1" applyBorder="1" applyAlignment="1">
      <alignment horizontal="center"/>
    </xf>
    <xf numFmtId="0" fontId="22" fillId="56" borderId="1" xfId="21" applyFont="1" applyFill="1" applyBorder="1" applyAlignment="1">
      <alignment horizontal="center" vertical="center"/>
    </xf>
    <xf numFmtId="0" fontId="7" fillId="0" borderId="1" xfId="21" applyFont="1" applyBorder="1"/>
    <xf numFmtId="0" fontId="22" fillId="56" borderId="30" xfId="21" applyFont="1" applyFill="1" applyBorder="1" applyAlignment="1">
      <alignment horizontal="center" vertical="center"/>
    </xf>
    <xf numFmtId="0" fontId="62" fillId="0" borderId="1" xfId="21" applyFont="1" applyBorder="1"/>
    <xf numFmtId="0" fontId="36" fillId="39" borderId="0" xfId="0" applyFont="1" applyFill="1" applyAlignment="1">
      <alignment horizontal="center"/>
    </xf>
    <xf numFmtId="0" fontId="0" fillId="0" borderId="0" xfId="0" applyAlignment="1">
      <alignment horizontal="center"/>
    </xf>
    <xf numFmtId="0" fontId="22" fillId="56" borderId="31" xfId="21" applyFont="1" applyFill="1" applyBorder="1" applyAlignment="1">
      <alignment horizontal="center" vertical="center"/>
    </xf>
    <xf numFmtId="0" fontId="22" fillId="56" borderId="32" xfId="21" applyFont="1" applyFill="1" applyBorder="1" applyAlignment="1">
      <alignment horizontal="center" vertical="center"/>
    </xf>
    <xf numFmtId="0" fontId="25" fillId="30" borderId="4" xfId="0" applyFont="1" applyFill="1" applyBorder="1" applyAlignment="1">
      <alignment horizontal="center" vertical="center" wrapText="1"/>
    </xf>
    <xf numFmtId="0" fontId="0" fillId="77" borderId="4" xfId="0" applyFill="1" applyBorder="1"/>
    <xf numFmtId="0" fontId="25" fillId="30" borderId="5" xfId="0" applyFont="1" applyFill="1" applyBorder="1" applyAlignment="1">
      <alignment horizontal="center" vertical="center" wrapText="1"/>
    </xf>
    <xf numFmtId="0" fontId="0" fillId="77" borderId="5" xfId="0" applyFill="1" applyBorder="1"/>
    <xf numFmtId="0" fontId="21" fillId="24" borderId="5" xfId="0" applyFont="1" applyFill="1" applyBorder="1" applyAlignment="1">
      <alignment horizontal="center"/>
    </xf>
    <xf numFmtId="0" fontId="74" fillId="68" borderId="34" xfId="0" applyFont="1" applyFill="1" applyBorder="1" applyAlignment="1">
      <alignment horizontal="center" vertical="center"/>
    </xf>
    <xf numFmtId="0" fontId="21" fillId="18" borderId="0" xfId="0" applyFont="1" applyFill="1" applyAlignment="1">
      <alignment horizontal="center" vertical="center" wrapText="1"/>
    </xf>
    <xf numFmtId="0" fontId="21" fillId="20" borderId="4" xfId="0" applyFont="1" applyFill="1" applyBorder="1" applyAlignment="1">
      <alignment horizontal="center" vertical="center" wrapText="1"/>
    </xf>
    <xf numFmtId="0" fontId="0" fillId="0" borderId="5" xfId="0" applyBorder="1"/>
    <xf numFmtId="0" fontId="11" fillId="26" borderId="3" xfId="0" applyFont="1" applyFill="1" applyBorder="1" applyAlignment="1">
      <alignment horizontal="center"/>
    </xf>
    <xf numFmtId="0" fontId="0" fillId="0" borderId="4" xfId="0" applyBorder="1"/>
    <xf numFmtId="0" fontId="25" fillId="30" borderId="0" xfId="0" applyFont="1" applyFill="1" applyAlignment="1">
      <alignment horizontal="center" vertical="center" wrapText="1"/>
    </xf>
    <xf numFmtId="0" fontId="4" fillId="77" borderId="0" xfId="0" applyFont="1" applyFill="1" applyAlignment="1">
      <alignment horizontal="center"/>
    </xf>
    <xf numFmtId="0" fontId="21" fillId="20" borderId="18" xfId="0" applyFont="1" applyFill="1" applyBorder="1" applyAlignment="1">
      <alignment horizontal="center" vertical="center" wrapText="1"/>
    </xf>
    <xf numFmtId="0" fontId="21" fillId="20" borderId="5" xfId="0" applyFont="1" applyFill="1" applyBorder="1" applyAlignment="1">
      <alignment horizontal="center" vertical="center" wrapText="1"/>
    </xf>
    <xf numFmtId="0" fontId="18" fillId="26" borderId="0" xfId="0" applyFont="1" applyFill="1" applyAlignment="1">
      <alignment horizontal="center"/>
    </xf>
    <xf numFmtId="0" fontId="4" fillId="0" borderId="0" xfId="0" applyFont="1" applyAlignment="1">
      <alignment horizontal="center"/>
    </xf>
    <xf numFmtId="0" fontId="74" fillId="68" borderId="35" xfId="0" applyFont="1" applyFill="1" applyBorder="1" applyAlignment="1">
      <alignment horizontal="center" vertical="center"/>
    </xf>
    <xf numFmtId="0" fontId="74" fillId="68" borderId="36" xfId="0" applyFont="1" applyFill="1" applyBorder="1" applyAlignment="1">
      <alignment horizontal="center" vertical="center"/>
    </xf>
    <xf numFmtId="0" fontId="74" fillId="68" borderId="37" xfId="0" applyFont="1" applyFill="1" applyBorder="1" applyAlignment="1">
      <alignment horizontal="center" vertical="center"/>
    </xf>
    <xf numFmtId="0" fontId="0" fillId="77" borderId="0" xfId="0" applyFill="1"/>
    <xf numFmtId="0" fontId="21" fillId="0" borderId="0" xfId="0" applyFont="1" applyAlignment="1">
      <alignment horizontal="center" vertical="center" wrapText="1"/>
    </xf>
    <xf numFmtId="0" fontId="0" fillId="0" borderId="0" xfId="0"/>
    <xf numFmtId="0" fontId="11" fillId="26" borderId="10" xfId="0" applyFont="1" applyFill="1" applyBorder="1" applyAlignment="1">
      <alignment horizontal="center"/>
    </xf>
    <xf numFmtId="0" fontId="4" fillId="0" borderId="0" xfId="0" applyFont="1"/>
    <xf numFmtId="0" fontId="4" fillId="77" borderId="0" xfId="0" applyFont="1" applyFill="1"/>
    <xf numFmtId="0" fontId="21" fillId="20" borderId="1" xfId="0" applyFont="1" applyFill="1" applyBorder="1" applyAlignment="1">
      <alignment horizontal="center" vertical="center" wrapText="1"/>
    </xf>
    <xf numFmtId="0" fontId="0" fillId="0" borderId="11" xfId="0" applyBorder="1"/>
    <xf numFmtId="0" fontId="21" fillId="24" borderId="4" xfId="0" applyFont="1" applyFill="1" applyBorder="1" applyAlignment="1">
      <alignment horizontal="center"/>
    </xf>
    <xf numFmtId="0" fontId="25" fillId="0" borderId="0" xfId="0" applyFont="1" applyAlignment="1">
      <alignment horizontal="center" vertical="center" wrapText="1"/>
    </xf>
    <xf numFmtId="0" fontId="0" fillId="0" borderId="18" xfId="0" applyBorder="1"/>
    <xf numFmtId="0" fontId="18" fillId="26" borderId="5" xfId="0" applyFont="1" applyFill="1" applyBorder="1" applyAlignment="1">
      <alignment horizontal="center"/>
    </xf>
    <xf numFmtId="0" fontId="61" fillId="20" borderId="5" xfId="4" applyFont="1" applyFill="1" applyBorder="1" applyAlignment="1">
      <alignment horizontal="center" vertical="center" wrapText="1"/>
    </xf>
    <xf numFmtId="0" fontId="61" fillId="20" borderId="18" xfId="4" applyFont="1" applyFill="1" applyBorder="1" applyAlignment="1">
      <alignment horizontal="center" vertical="center" wrapText="1"/>
    </xf>
    <xf numFmtId="0" fontId="61" fillId="0" borderId="18" xfId="4" applyFont="1" applyBorder="1" applyAlignment="1">
      <alignment horizontal="center" vertical="center" wrapText="1"/>
    </xf>
    <xf numFmtId="0" fontId="61" fillId="0" borderId="0" xfId="4" applyFont="1" applyAlignment="1">
      <alignment horizontal="center" vertical="center" wrapText="1"/>
    </xf>
    <xf numFmtId="0" fontId="16" fillId="47" borderId="10" xfId="9" applyFont="1" applyFill="1" applyBorder="1" applyAlignment="1">
      <alignment horizontal="center" vertical="center"/>
    </xf>
    <xf numFmtId="0" fontId="16" fillId="47" borderId="5" xfId="9" applyFont="1" applyFill="1" applyBorder="1" applyAlignment="1">
      <alignment horizontal="center" vertical="center"/>
    </xf>
    <xf numFmtId="0" fontId="16" fillId="0" borderId="0" xfId="9" applyFont="1" applyAlignment="1">
      <alignment horizontal="center" vertical="center"/>
    </xf>
    <xf numFmtId="0" fontId="25" fillId="104" borderId="0" xfId="0" applyFont="1" applyFill="1" applyAlignment="1">
      <alignment horizontal="center" vertical="center" wrapText="1"/>
    </xf>
    <xf numFmtId="0" fontId="0" fillId="57" borderId="0" xfId="0" applyFill="1"/>
    <xf numFmtId="0" fontId="18" fillId="26" borderId="4" xfId="0" applyFont="1" applyFill="1" applyBorder="1" applyAlignment="1">
      <alignment horizontal="center"/>
    </xf>
    <xf numFmtId="0" fontId="39" fillId="42" borderId="18" xfId="14" applyFont="1" applyFill="1" applyBorder="1" applyAlignment="1">
      <alignment horizontal="center" vertical="center" wrapText="1"/>
    </xf>
    <xf numFmtId="0" fontId="39" fillId="42" borderId="5" xfId="14" applyFont="1" applyFill="1" applyBorder="1" applyAlignment="1">
      <alignment horizontal="center" vertical="center" wrapText="1"/>
    </xf>
    <xf numFmtId="0" fontId="16" fillId="47" borderId="1" xfId="17" applyFont="1" applyFill="1" applyBorder="1" applyAlignment="1">
      <alignment horizontal="center" vertical="center"/>
    </xf>
    <xf numFmtId="0" fontId="25" fillId="30" borderId="0" xfId="0" applyFont="1" applyFill="1" applyAlignment="1">
      <alignment horizontal="center" vertical="center" wrapText="1" readingOrder="2"/>
    </xf>
    <xf numFmtId="0" fontId="18" fillId="26" borderId="1" xfId="0" applyFont="1" applyFill="1" applyBorder="1" applyAlignment="1">
      <alignment horizontal="center"/>
    </xf>
    <xf numFmtId="0" fontId="0" fillId="0" borderId="2" xfId="0" applyBorder="1"/>
    <xf numFmtId="0" fontId="74" fillId="68" borderId="33" xfId="0" applyFont="1" applyFill="1" applyBorder="1" applyAlignment="1">
      <alignment horizontal="center" vertical="center"/>
    </xf>
    <xf numFmtId="1" fontId="4" fillId="0" borderId="0" xfId="0" applyNumberFormat="1" applyFont="1"/>
    <xf numFmtId="1" fontId="4" fillId="77" borderId="0" xfId="0" applyNumberFormat="1" applyFont="1" applyFill="1"/>
    <xf numFmtId="0" fontId="21" fillId="20" borderId="12" xfId="0" applyFont="1" applyFill="1" applyBorder="1" applyAlignment="1">
      <alignment horizontal="center" vertical="center" wrapText="1"/>
    </xf>
    <xf numFmtId="0" fontId="0" fillId="0" borderId="20" xfId="0" applyBorder="1"/>
    <xf numFmtId="0" fontId="0" fillId="0" borderId="12" xfId="0" applyBorder="1"/>
    <xf numFmtId="0" fontId="27" fillId="76" borderId="4" xfId="0" applyFont="1" applyFill="1" applyBorder="1" applyAlignment="1">
      <alignment horizontal="center" vertical="center" wrapText="1"/>
    </xf>
    <xf numFmtId="0" fontId="27" fillId="20" borderId="4" xfId="0" applyFont="1" applyFill="1" applyBorder="1" applyAlignment="1">
      <alignment horizontal="center" vertical="center" wrapText="1"/>
    </xf>
    <xf numFmtId="0" fontId="21" fillId="18" borderId="5" xfId="0" applyFont="1" applyFill="1" applyBorder="1" applyAlignment="1">
      <alignment horizontal="center" vertical="center" wrapText="1"/>
    </xf>
    <xf numFmtId="0" fontId="25" fillId="0" borderId="0" xfId="0" applyFont="1" applyAlignment="1">
      <alignment horizontal="center" vertical="center" wrapText="1" readingOrder="2"/>
    </xf>
    <xf numFmtId="176" fontId="25" fillId="30" borderId="5" xfId="0" applyNumberFormat="1" applyFont="1" applyFill="1" applyBorder="1" applyAlignment="1">
      <alignment horizontal="center" vertical="center" wrapText="1"/>
    </xf>
    <xf numFmtId="176" fontId="0" fillId="77" borderId="5" xfId="0" applyNumberFormat="1" applyFill="1" applyBorder="1" applyAlignment="1">
      <alignment horizontal="center" vertical="center"/>
    </xf>
    <xf numFmtId="176" fontId="25" fillId="30" borderId="4" xfId="0" applyNumberFormat="1" applyFont="1" applyFill="1" applyBorder="1" applyAlignment="1">
      <alignment horizontal="center" vertical="center" wrapText="1"/>
    </xf>
    <xf numFmtId="176" fontId="0" fillId="77" borderId="4" xfId="0" applyNumberFormat="1" applyFill="1" applyBorder="1" applyAlignment="1">
      <alignment horizontal="center" vertical="center"/>
    </xf>
    <xf numFmtId="0" fontId="21" fillId="20" borderId="0" xfId="0" applyFont="1" applyFill="1" applyAlignment="1">
      <alignment horizontal="center" vertical="center" wrapText="1"/>
    </xf>
    <xf numFmtId="0" fontId="25" fillId="30" borderId="2" xfId="0" applyFont="1" applyFill="1" applyBorder="1" applyAlignment="1">
      <alignment horizontal="center" vertical="center" wrapText="1"/>
    </xf>
    <xf numFmtId="0" fontId="0" fillId="77" borderId="2" xfId="0" applyFill="1" applyBorder="1"/>
    <xf numFmtId="0" fontId="21" fillId="20" borderId="3" xfId="0" applyFont="1" applyFill="1" applyBorder="1" applyAlignment="1">
      <alignment horizontal="center" vertical="center" wrapText="1"/>
    </xf>
    <xf numFmtId="0" fontId="0" fillId="0" borderId="10" xfId="0" applyBorder="1"/>
    <xf numFmtId="0" fontId="25" fillId="30" borderId="12" xfId="0" applyFont="1" applyFill="1" applyBorder="1" applyAlignment="1">
      <alignment horizontal="center" vertical="center" wrapText="1"/>
    </xf>
    <xf numFmtId="0" fontId="0" fillId="77" borderId="12" xfId="0" applyFill="1" applyBorder="1"/>
    <xf numFmtId="0" fontId="4" fillId="0" borderId="0" xfId="0" applyFont="1" applyAlignment="1">
      <alignment horizontal="center" vertical="center"/>
    </xf>
    <xf numFmtId="0" fontId="11" fillId="26" borderId="10" xfId="0" applyFont="1" applyFill="1" applyBorder="1" applyAlignment="1">
      <alignment horizontal="center" vertical="center"/>
    </xf>
    <xf numFmtId="0" fontId="21" fillId="24" borderId="5" xfId="0" applyFont="1" applyFill="1" applyBorder="1" applyAlignment="1">
      <alignment horizontal="center" vertical="center"/>
    </xf>
    <xf numFmtId="0" fontId="25" fillId="30" borderId="3" xfId="0" applyFont="1" applyFill="1" applyBorder="1" applyAlignment="1">
      <alignment horizontal="center" vertical="center" wrapText="1"/>
    </xf>
    <xf numFmtId="0" fontId="51" fillId="30" borderId="0" xfId="9" applyFont="1" applyFill="1" applyAlignment="1">
      <alignment horizontal="center" vertical="center" wrapText="1" readingOrder="2"/>
    </xf>
    <xf numFmtId="0" fontId="6" fillId="0" borderId="5" xfId="9" applyBorder="1"/>
    <xf numFmtId="0" fontId="16" fillId="47" borderId="3" xfId="9" applyFont="1" applyFill="1" applyBorder="1" applyAlignment="1">
      <alignment horizontal="center" vertical="center"/>
    </xf>
    <xf numFmtId="0" fontId="16" fillId="47" borderId="4" xfId="9" applyFont="1" applyFill="1" applyBorder="1" applyAlignment="1">
      <alignment horizontal="center" vertical="center"/>
    </xf>
    <xf numFmtId="0" fontId="16" fillId="47" borderId="2" xfId="9" applyFont="1" applyFill="1" applyBorder="1" applyAlignment="1">
      <alignment horizontal="center" vertical="center"/>
    </xf>
    <xf numFmtId="0" fontId="5" fillId="0" borderId="0" xfId="4" applyAlignment="1">
      <alignment horizontal="center" vertical="center"/>
    </xf>
    <xf numFmtId="0" fontId="4" fillId="46" borderId="0" xfId="0" applyFont="1" applyFill="1"/>
    <xf numFmtId="0" fontId="0" fillId="46" borderId="5" xfId="0" applyFill="1" applyBorder="1"/>
    <xf numFmtId="0" fontId="27" fillId="20" borderId="5" xfId="0" applyFont="1" applyFill="1" applyBorder="1" applyAlignment="1">
      <alignment horizontal="center" vertical="center" wrapText="1"/>
    </xf>
    <xf numFmtId="0" fontId="10" fillId="26" borderId="3" xfId="0" applyFont="1" applyFill="1" applyBorder="1" applyAlignment="1">
      <alignment horizontal="center"/>
    </xf>
    <xf numFmtId="0" fontId="21" fillId="24" borderId="0" xfId="0" applyFont="1" applyFill="1" applyAlignment="1">
      <alignment horizontal="center"/>
    </xf>
    <xf numFmtId="0" fontId="11" fillId="26" borderId="5" xfId="0" applyFont="1" applyFill="1" applyBorder="1" applyAlignment="1">
      <alignment horizontal="center"/>
    </xf>
    <xf numFmtId="0" fontId="0" fillId="46" borderId="4" xfId="0" applyFill="1" applyBorder="1"/>
    <xf numFmtId="0" fontId="21" fillId="57" borderId="0" xfId="0" applyFont="1" applyFill="1" applyAlignment="1">
      <alignment horizontal="center" vertical="center"/>
    </xf>
    <xf numFmtId="0" fontId="21" fillId="20" borderId="2" xfId="0" applyFont="1" applyFill="1" applyBorder="1" applyAlignment="1">
      <alignment horizontal="center" vertical="center" wrapText="1"/>
    </xf>
    <xf numFmtId="0" fontId="0" fillId="0" borderId="19" xfId="0" applyBorder="1"/>
    <xf numFmtId="0" fontId="10" fillId="26" borderId="4" xfId="0" applyFont="1" applyFill="1" applyBorder="1" applyAlignment="1">
      <alignment horizontal="center"/>
    </xf>
    <xf numFmtId="0" fontId="10" fillId="26" borderId="5" xfId="0" applyFont="1" applyFill="1" applyBorder="1" applyAlignment="1">
      <alignment horizontal="center"/>
    </xf>
    <xf numFmtId="0" fontId="10" fillId="26" borderId="10" xfId="0" applyFont="1" applyFill="1" applyBorder="1" applyAlignment="1">
      <alignment horizontal="center"/>
    </xf>
    <xf numFmtId="0" fontId="21" fillId="110" borderId="5" xfId="0" applyFont="1" applyFill="1" applyBorder="1" applyAlignment="1">
      <alignment horizontal="center"/>
    </xf>
    <xf numFmtId="0" fontId="0" fillId="46" borderId="4" xfId="0" applyFill="1" applyBorder="1" applyAlignment="1">
      <alignment horizontal="center"/>
    </xf>
    <xf numFmtId="0" fontId="0" fillId="46" borderId="5" xfId="0" applyFill="1" applyBorder="1" applyAlignment="1">
      <alignment horizontal="center"/>
    </xf>
    <xf numFmtId="0" fontId="61" fillId="20" borderId="0" xfId="4" applyFont="1" applyFill="1" applyAlignment="1">
      <alignment horizontal="center" vertical="center" wrapText="1"/>
    </xf>
    <xf numFmtId="0" fontId="16" fillId="47" borderId="1" xfId="9" applyFont="1" applyFill="1" applyBorder="1" applyAlignment="1">
      <alignment horizontal="center" vertical="center"/>
    </xf>
    <xf numFmtId="0" fontId="55" fillId="0" borderId="0" xfId="9" applyFont="1" applyAlignment="1">
      <alignment horizontal="center" vertical="center"/>
    </xf>
    <xf numFmtId="0" fontId="18" fillId="26" borderId="3" xfId="0" applyFont="1" applyFill="1" applyBorder="1" applyAlignment="1">
      <alignment horizontal="center"/>
    </xf>
  </cellXfs>
  <cellStyles count="28">
    <cellStyle name="Comma" xfId="12" builtinId="3"/>
    <cellStyle name="Comma 2" xfId="11" xr:uid="{18EA1BA5-0704-41E7-A012-391B0077F9D3}"/>
    <cellStyle name="Comma 3" xfId="16" xr:uid="{3D365F4C-4208-4309-B57A-8044CE14F6C7}"/>
    <cellStyle name="Comma 3 2" xfId="27" xr:uid="{214CECBC-8A4C-4039-A34E-24E358261D53}"/>
    <cellStyle name="Comma 4" xfId="18" xr:uid="{0A675ED8-89BB-4079-AB9D-B7D3C6E0BDDA}"/>
    <cellStyle name="Normal" xfId="0" builtinId="0"/>
    <cellStyle name="Normal 2" xfId="1" xr:uid="{00000000-0005-0000-0000-000006000000}"/>
    <cellStyle name="Normal 2 2" xfId="2" xr:uid="{00000000-0005-0000-0000-000007000000}"/>
    <cellStyle name="Normal 2 2 2" xfId="3" xr:uid="{00000000-0005-0000-0000-000008000000}"/>
    <cellStyle name="Normal 2 2 2 2" xfId="4" xr:uid="{00000000-0005-0000-0000-000009000000}"/>
    <cellStyle name="Normal 2 2 2 3" xfId="19" xr:uid="{A0C47EFC-8466-4B3C-BBF0-A07CFD00619B}"/>
    <cellStyle name="Normal 2 2 3" xfId="5" xr:uid="{00000000-0005-0000-0000-00000A000000}"/>
    <cellStyle name="Normal 2 2 4" xfId="14" xr:uid="{15999F1B-21DE-4099-99DA-8C6F2A7F4172}"/>
    <cellStyle name="Normal 2 3" xfId="6" xr:uid="{00000000-0005-0000-0000-00000B000000}"/>
    <cellStyle name="Normal 2 3 2" xfId="7" xr:uid="{00000000-0005-0000-0000-00000C000000}"/>
    <cellStyle name="Normal 2 4" xfId="8" xr:uid="{00000000-0005-0000-0000-00000D000000}"/>
    <cellStyle name="Normal 2 5" xfId="13" xr:uid="{BEDDAC02-889E-4940-884F-A3E6BC16C164}"/>
    <cellStyle name="Normal 2 6" xfId="23" xr:uid="{C4FC1722-6972-4885-843A-4C1F9DFDAACC}"/>
    <cellStyle name="Normal 2 7" xfId="25" xr:uid="{D2C94E10-B01C-4ECA-A68A-C8134B54DF30}"/>
    <cellStyle name="Normal 3" xfId="9" xr:uid="{00000000-0005-0000-0000-00000E000000}"/>
    <cellStyle name="Normal 4" xfId="15" xr:uid="{47F5779C-A916-404B-AF62-18779521A302}"/>
    <cellStyle name="Normal 4 2" xfId="26" xr:uid="{1E752618-0C21-4AB7-888E-88B7BDFBA922}"/>
    <cellStyle name="Normal 5" xfId="17" xr:uid="{8A243A6A-FF21-4FC6-85D5-99D85DC12BEF}"/>
    <cellStyle name="Normal 6" xfId="20" xr:uid="{02B9C210-B94F-482B-80C3-4A7C1E9CAFE5}"/>
    <cellStyle name="Normal 7" xfId="21" xr:uid="{01C06B8A-553A-4B42-9E90-C9726582D414}"/>
    <cellStyle name="Normal 8" xfId="22" xr:uid="{2F3A9262-5A8A-4FBD-B51F-A19E9BD9BA98}"/>
    <cellStyle name="Normal 9" xfId="24" xr:uid="{A9FECBB2-4940-49A4-AD68-E3CDD267D5A0}"/>
    <cellStyle name="Percent" xfId="10" builtinId="5"/>
  </cellStyles>
  <dxfs count="0"/>
  <tableStyles count="0" defaultTableStyle="TableStyleMedium2" defaultPivotStyle="PivotStyleLight16"/>
  <colors>
    <indexedColors>
      <rgbColor rgb="FF000000"/>
      <rgbColor rgb="FFFFFFFF"/>
      <rgbColor rgb="FFFF0000"/>
      <rgbColor rgb="FFFBE5D6"/>
      <rgbColor rgb="FF0000FF"/>
      <rgbColor rgb="FFFFFF00"/>
      <rgbColor rgb="FFFFCCFF"/>
      <rgbColor rgb="FFE7E6E6"/>
      <rgbColor rgb="FFC00000"/>
      <rgbColor rgb="FF008000"/>
      <rgbColor rgb="FF000080"/>
      <rgbColor rgb="FFC55A11"/>
      <rgbColor rgb="FF9966FF"/>
      <rgbColor rgb="FF2F5597"/>
      <rgbColor rgb="FFC9C9C9"/>
      <rgbColor rgb="FF7C7C7C"/>
      <rgbColor rgb="FFADB9CA"/>
      <rgbColor rgb="FF7030A0"/>
      <rgbColor rgb="FFFFF2CC"/>
      <rgbColor rgb="FFDEEBF7"/>
      <rgbColor rgb="FF660066"/>
      <rgbColor rgb="FFF4B183"/>
      <rgbColor rgb="FF0070C0"/>
      <rgbColor rgb="FFB4C7E7"/>
      <rgbColor rgb="FF000080"/>
      <rgbColor rgb="FFFF00FF"/>
      <rgbColor rgb="FFC5E0B4"/>
      <rgbColor rgb="FFF2F2F2"/>
      <rgbColor rgb="FF800080"/>
      <rgbColor rgb="FF800000"/>
      <rgbColor rgb="FF008080"/>
      <rgbColor rgb="FF0000FF"/>
      <rgbColor rgb="FFD6DCE5"/>
      <rgbColor rgb="FFDAE3F3"/>
      <rgbColor rgb="FFE2F0D9"/>
      <rgbColor rgb="FFFFE699"/>
      <rgbColor rgb="FF9DC3E6"/>
      <rgbColor rgb="FFFF99CC"/>
      <rgbColor rgb="FFAFABAB"/>
      <rgbColor rgb="FFF8CBAD"/>
      <rgbColor rgb="FF2E75B6"/>
      <rgbColor rgb="FFA9D18E"/>
      <rgbColor rgb="FF92D050"/>
      <rgbColor rgb="FFFFC000"/>
      <rgbColor rgb="FFBF9000"/>
      <rgbColor rgb="FFED7D31"/>
      <rgbColor rgb="FF595959"/>
      <rgbColor rgb="FFA6A6A6"/>
      <rgbColor rgb="FF002060"/>
      <rgbColor rgb="FF00B050"/>
      <rgbColor rgb="FF0D0D0D"/>
      <rgbColor rgb="FF333300"/>
      <rgbColor rgb="FF843C0B"/>
      <rgbColor rgb="FF833C0C"/>
      <rgbColor rgb="FF203864"/>
      <rgbColor rgb="FF333F50"/>
      <rgbColor rgb="00003366"/>
      <rgbColor rgb="00339966"/>
      <rgbColor rgb="00003300"/>
      <rgbColor rgb="00333300"/>
      <rgbColor rgb="00993300"/>
      <rgbColor rgb="00993366"/>
      <rgbColor rgb="00333399"/>
      <rgbColor rgb="00333333"/>
    </indexedColors>
    <mruColors>
      <color rgb="FFFF7C80"/>
      <color rgb="FF66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theme" Target="theme/theme1.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styles" Target="styles.xml"/><Relationship Id="rId95" Type="http://schemas.microsoft.com/office/2006/relationships/vbaProject" Target="vbaProject.bin"/><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microsoft.com/office/2017/10/relationships/person" Target="persons/perso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sheetMetadata" Target="metadata.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6</xdr:col>
      <xdr:colOff>203200</xdr:colOff>
      <xdr:row>0</xdr:row>
      <xdr:rowOff>95250</xdr:rowOff>
    </xdr:from>
    <xdr:to>
      <xdr:col>6</xdr:col>
      <xdr:colOff>1117600</xdr:colOff>
      <xdr:row>4</xdr:row>
      <xdr:rowOff>177800</xdr:rowOff>
    </xdr:to>
    <xdr:pic macro="[0]!RefreshButchery_Click">
      <xdr:nvPicPr>
        <xdr:cNvPr id="4" name="Graphic 3" descr="Cow with solid fill">
          <a:extLst>
            <a:ext uri="{FF2B5EF4-FFF2-40B4-BE49-F238E27FC236}">
              <a16:creationId xmlns:a16="http://schemas.microsoft.com/office/drawing/2014/main" id="{579707F3-D0DA-2D8C-9591-F66E923D7BA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82300" y="95250"/>
          <a:ext cx="914400" cy="914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16</xdr:col>
      <xdr:colOff>465404</xdr:colOff>
      <xdr:row>140</xdr:row>
      <xdr:rowOff>134494</xdr:rowOff>
    </xdr:from>
    <xdr:to>
      <xdr:col>16</xdr:col>
      <xdr:colOff>1056443</xdr:colOff>
      <xdr:row>144</xdr:row>
      <xdr:rowOff>24839</xdr:rowOff>
    </xdr:to>
    <xdr:pic macro="[0]!RecalcMasterSheet">
      <xdr:nvPicPr>
        <xdr:cNvPr id="2" name="Graphic 1" descr="Salt And Pepper with solid fill">
          <a:extLst>
            <a:ext uri="{FF2B5EF4-FFF2-40B4-BE49-F238E27FC236}">
              <a16:creationId xmlns:a16="http://schemas.microsoft.com/office/drawing/2014/main" id="{ABA56C9B-A484-41FA-83AE-502A6803B4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7410833" y="25851994"/>
          <a:ext cx="591039" cy="616060"/>
        </a:xfrm>
        <a:prstGeom prst="rect">
          <a:avLst/>
        </a:prstGeom>
      </xdr:spPr>
    </xdr:pic>
    <xdr:clientData/>
  </xdr:twoCellAnchor>
  <xdr:twoCellAnchor>
    <xdr:from>
      <xdr:col>34</xdr:col>
      <xdr:colOff>15393</xdr:colOff>
      <xdr:row>2</xdr:row>
      <xdr:rowOff>153940</xdr:rowOff>
    </xdr:from>
    <xdr:to>
      <xdr:col>34</xdr:col>
      <xdr:colOff>623454</xdr:colOff>
      <xdr:row>7</xdr:row>
      <xdr:rowOff>153941</xdr:rowOff>
    </xdr:to>
    <xdr:sp macro="[0]!UpdateRecipeData" textlink="">
      <xdr:nvSpPr>
        <xdr:cNvPr id="4" name="Lightning Bolt 3">
          <a:extLst>
            <a:ext uri="{FF2B5EF4-FFF2-40B4-BE49-F238E27FC236}">
              <a16:creationId xmlns:a16="http://schemas.microsoft.com/office/drawing/2014/main" id="{585151FD-718F-C171-B5DB-B132B1F544A4}"/>
            </a:ext>
          </a:extLst>
        </xdr:cNvPr>
        <xdr:cNvSpPr/>
      </xdr:nvSpPr>
      <xdr:spPr>
        <a:xfrm>
          <a:off x="31388242" y="846667"/>
          <a:ext cx="608061" cy="885152"/>
        </a:xfrm>
        <a:prstGeom prst="lightningBol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2144059</xdr:colOff>
      <xdr:row>2</xdr:row>
      <xdr:rowOff>141941</xdr:rowOff>
    </xdr:from>
    <xdr:to>
      <xdr:col>21</xdr:col>
      <xdr:colOff>1053353</xdr:colOff>
      <xdr:row>4</xdr:row>
      <xdr:rowOff>97118</xdr:rowOff>
    </xdr:to>
    <xdr:sp macro="[0]!ExportBatchTablesToPDF" textlink="">
      <xdr:nvSpPr>
        <xdr:cNvPr id="5" name="Rectangle: Rounded Corners 4">
          <a:extLst>
            <a:ext uri="{FF2B5EF4-FFF2-40B4-BE49-F238E27FC236}">
              <a16:creationId xmlns:a16="http://schemas.microsoft.com/office/drawing/2014/main" id="{99EFFE51-3113-E070-6305-A24352284241}"/>
            </a:ext>
          </a:extLst>
        </xdr:cNvPr>
        <xdr:cNvSpPr/>
      </xdr:nvSpPr>
      <xdr:spPr>
        <a:xfrm>
          <a:off x="21649765" y="836706"/>
          <a:ext cx="1068294" cy="313765"/>
        </a:xfrm>
        <a:prstGeom prst="roundRect">
          <a:avLst/>
        </a:prstGeom>
        <a:solidFill>
          <a:schemeClr val="tx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a:r>
            <a:rPr lang="en-AE" sz="1100" b="1">
              <a:solidFill>
                <a:schemeClr val="bg1"/>
              </a:solidFill>
            </a:rPr>
            <a:t>Batch Tables</a:t>
          </a:r>
          <a:endParaRPr lang="ar-EG" sz="1100" b="1">
            <a:solidFill>
              <a:schemeClr val="bg1"/>
            </a:solidFill>
          </a:endParaRPr>
        </a:p>
      </xdr:txBody>
    </xdr:sp>
    <xdr:clientData/>
  </xdr:twoCellAnchor>
  <xdr:twoCellAnchor>
    <xdr:from>
      <xdr:col>20</xdr:col>
      <xdr:colOff>2157755</xdr:colOff>
      <xdr:row>5</xdr:row>
      <xdr:rowOff>17930</xdr:rowOff>
    </xdr:from>
    <xdr:to>
      <xdr:col>22</xdr:col>
      <xdr:colOff>6226</xdr:colOff>
      <xdr:row>6</xdr:row>
      <xdr:rowOff>152401</xdr:rowOff>
    </xdr:to>
    <xdr:sp macro="[0]!Module9.ExportSpecialTablesToPDF" textlink="">
      <xdr:nvSpPr>
        <xdr:cNvPr id="6" name="Rectangle: Rounded Corners 5">
          <a:extLst>
            <a:ext uri="{FF2B5EF4-FFF2-40B4-BE49-F238E27FC236}">
              <a16:creationId xmlns:a16="http://schemas.microsoft.com/office/drawing/2014/main" id="{CD6C6886-EA98-4210-AC84-79A389E84128}"/>
            </a:ext>
          </a:extLst>
        </xdr:cNvPr>
        <xdr:cNvSpPr/>
      </xdr:nvSpPr>
      <xdr:spPr>
        <a:xfrm>
          <a:off x="21652255" y="1241363"/>
          <a:ext cx="1065804" cy="312271"/>
        </a:xfrm>
        <a:prstGeom prst="roundRect">
          <a:avLst/>
        </a:prstGeom>
        <a:solidFill>
          <a:schemeClr val="tx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a:r>
            <a:rPr lang="en-AE" sz="1100" b="1">
              <a:solidFill>
                <a:schemeClr val="bg1"/>
              </a:solidFill>
            </a:rPr>
            <a:t>Special Tables</a:t>
          </a:r>
          <a:endParaRPr lang="ar-EG" sz="1100" b="1">
            <a:solidFill>
              <a:schemeClr val="bg1"/>
            </a:solidFill>
          </a:endParaRPr>
        </a:p>
      </xdr:txBody>
    </xdr:sp>
    <xdr:clientData/>
  </xdr:twoCellAnchor>
  <xdr:twoCellAnchor>
    <xdr:from>
      <xdr:col>20</xdr:col>
      <xdr:colOff>2150036</xdr:colOff>
      <xdr:row>7</xdr:row>
      <xdr:rowOff>58271</xdr:rowOff>
    </xdr:from>
    <xdr:to>
      <xdr:col>21</xdr:col>
      <xdr:colOff>1059330</xdr:colOff>
      <xdr:row>9</xdr:row>
      <xdr:rowOff>13447</xdr:rowOff>
    </xdr:to>
    <xdr:sp macro="[0]!Module8.ExportGarnishToPDF" textlink="">
      <xdr:nvSpPr>
        <xdr:cNvPr id="7" name="Rectangle: Rounded Corners 6">
          <a:extLst>
            <a:ext uri="{FF2B5EF4-FFF2-40B4-BE49-F238E27FC236}">
              <a16:creationId xmlns:a16="http://schemas.microsoft.com/office/drawing/2014/main" id="{5780ACDF-4056-451E-9C7F-8A8C1728BAC5}"/>
            </a:ext>
          </a:extLst>
        </xdr:cNvPr>
        <xdr:cNvSpPr/>
      </xdr:nvSpPr>
      <xdr:spPr>
        <a:xfrm>
          <a:off x="21655742" y="1649506"/>
          <a:ext cx="1068294" cy="313765"/>
        </a:xfrm>
        <a:prstGeom prst="roundRect">
          <a:avLst/>
        </a:prstGeom>
        <a:solidFill>
          <a:schemeClr val="tx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a:r>
            <a:rPr lang="en-AE" sz="1100" b="1">
              <a:solidFill>
                <a:schemeClr val="bg1"/>
              </a:solidFill>
            </a:rPr>
            <a:t>Garnish Tables</a:t>
          </a:r>
          <a:endParaRPr lang="ar-EG" sz="1100" b="1">
            <a:solidFill>
              <a:schemeClr val="bg1"/>
            </a:solidFill>
          </a:endParaRPr>
        </a:p>
      </xdr:txBody>
    </xdr:sp>
    <xdr:clientData/>
  </xdr:twoCellAnchor>
  <xdr:twoCellAnchor>
    <xdr:from>
      <xdr:col>20</xdr:col>
      <xdr:colOff>2157506</xdr:colOff>
      <xdr:row>9</xdr:row>
      <xdr:rowOff>95623</xdr:rowOff>
    </xdr:from>
    <xdr:to>
      <xdr:col>22</xdr:col>
      <xdr:colOff>5977</xdr:colOff>
      <xdr:row>11</xdr:row>
      <xdr:rowOff>50800</xdr:rowOff>
    </xdr:to>
    <xdr:sp macro="[0]!Module10.ExportActualsToPDF" textlink="">
      <xdr:nvSpPr>
        <xdr:cNvPr id="8" name="Rectangle: Rounded Corners 7">
          <a:extLst>
            <a:ext uri="{FF2B5EF4-FFF2-40B4-BE49-F238E27FC236}">
              <a16:creationId xmlns:a16="http://schemas.microsoft.com/office/drawing/2014/main" id="{8F014FB4-C4F6-44FF-8D79-F5AC66738A25}"/>
            </a:ext>
          </a:extLst>
        </xdr:cNvPr>
        <xdr:cNvSpPr/>
      </xdr:nvSpPr>
      <xdr:spPr>
        <a:xfrm>
          <a:off x="21663212" y="2045447"/>
          <a:ext cx="1068294" cy="313765"/>
        </a:xfrm>
        <a:prstGeom prst="roundRect">
          <a:avLst/>
        </a:prstGeom>
        <a:solidFill>
          <a:schemeClr val="tx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a:r>
            <a:rPr lang="en-AE" sz="1100" b="1">
              <a:solidFill>
                <a:schemeClr val="bg1"/>
              </a:solidFill>
            </a:rPr>
            <a:t>Actuals Tables</a:t>
          </a:r>
          <a:endParaRPr lang="ar-EG" sz="1100" b="1">
            <a:solidFill>
              <a:schemeClr val="bg1"/>
            </a:solidFill>
          </a:endParaRPr>
        </a:p>
      </xdr:txBody>
    </xdr:sp>
    <xdr:clientData/>
  </xdr:twoCellAnchor>
  <xdr:twoCellAnchor editAs="oneCell">
    <xdr:from>
      <xdr:col>16</xdr:col>
      <xdr:colOff>460375</xdr:colOff>
      <xdr:row>7</xdr:row>
      <xdr:rowOff>63500</xdr:rowOff>
    </xdr:from>
    <xdr:to>
      <xdr:col>16</xdr:col>
      <xdr:colOff>1051414</xdr:colOff>
      <xdr:row>10</xdr:row>
      <xdr:rowOff>128470</xdr:rowOff>
    </xdr:to>
    <xdr:pic macro="[0]!RecalcMasterSheet">
      <xdr:nvPicPr>
        <xdr:cNvPr id="9" name="Graphic 8" descr="Salt And Pepper with solid fill">
          <a:extLst>
            <a:ext uri="{FF2B5EF4-FFF2-40B4-BE49-F238E27FC236}">
              <a16:creationId xmlns:a16="http://schemas.microsoft.com/office/drawing/2014/main" id="{923609EB-09ED-4D20-9519-2D1BDCC84E1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0431125" y="1619250"/>
          <a:ext cx="591039" cy="58884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16</xdr:col>
      <xdr:colOff>546000</xdr:colOff>
      <xdr:row>2</xdr:row>
      <xdr:rowOff>75900</xdr:rowOff>
    </xdr:from>
    <xdr:to>
      <xdr:col>18</xdr:col>
      <xdr:colOff>215566</xdr:colOff>
      <xdr:row>6</xdr:row>
      <xdr:rowOff>75900</xdr:rowOff>
    </xdr:to>
    <xdr:pic macro="[0]!RecalcMarinationSheet">
      <xdr:nvPicPr>
        <xdr:cNvPr id="2" name="Graphic 2" descr="Chicken leg with solid fill">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a:stretch>
          <a:fillRect/>
        </a:stretch>
      </xdr:blipFill>
      <xdr:spPr>
        <a:xfrm>
          <a:off x="15468500" y="755350"/>
          <a:ext cx="717050" cy="721280"/>
        </a:xfrm>
        <a:prstGeom prst="rect">
          <a:avLst/>
        </a:prstGeom>
        <a:ln w="0">
          <a:noFill/>
          <a:prstDash val="solid"/>
        </a:ln>
      </xdr:spPr>
    </xdr:pic>
    <xdr:clientData/>
  </xdr:twoCellAnchor>
  <xdr:twoCellAnchor>
    <xdr:from>
      <xdr:col>21</xdr:col>
      <xdr:colOff>127000</xdr:colOff>
      <xdr:row>2</xdr:row>
      <xdr:rowOff>36286</xdr:rowOff>
    </xdr:from>
    <xdr:to>
      <xdr:col>22</xdr:col>
      <xdr:colOff>589643</xdr:colOff>
      <xdr:row>4</xdr:row>
      <xdr:rowOff>154215</xdr:rowOff>
    </xdr:to>
    <xdr:sp macro="[0]!Module5.ExportMarinationToPDF" textlink="">
      <xdr:nvSpPr>
        <xdr:cNvPr id="3" name="Rectangle: Rounded Corners 2">
          <a:extLst>
            <a:ext uri="{FF2B5EF4-FFF2-40B4-BE49-F238E27FC236}">
              <a16:creationId xmlns:a16="http://schemas.microsoft.com/office/drawing/2014/main" id="{1157AAB6-A2A8-46A6-8748-8A65382F2F13}"/>
            </a:ext>
          </a:extLst>
        </xdr:cNvPr>
        <xdr:cNvSpPr/>
      </xdr:nvSpPr>
      <xdr:spPr>
        <a:xfrm>
          <a:off x="18297071" y="716643"/>
          <a:ext cx="1115786" cy="480786"/>
        </a:xfrm>
        <a:prstGeom prst="roundRect">
          <a:avLst/>
        </a:prstGeom>
        <a:solidFill>
          <a:schemeClr val="tx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a:r>
            <a:rPr lang="en-AE" sz="1100" b="1">
              <a:solidFill>
                <a:schemeClr val="bg1"/>
              </a:solidFill>
            </a:rPr>
            <a:t>Marination Tables</a:t>
          </a:r>
          <a:endParaRPr lang="ar-EG" sz="1100" b="1">
            <a:solidFill>
              <a:schemeClr val="bg1"/>
            </a:solidFill>
          </a:endParaRPr>
        </a:p>
      </xdr:txBody>
    </xdr:sp>
    <xdr:clientData/>
  </xdr:twoCellAnchor>
</xdr:wsDr>
</file>

<file path=xl/persons/person.xml><?xml version="1.0" encoding="utf-8"?>
<personList xmlns="http://schemas.microsoft.com/office/spreadsheetml/2018/threadedcomments" xmlns:x="http://schemas.openxmlformats.org/spreadsheetml/2006/main">
  <person displayName="Amira Fathy" id="{D0A273E1-AE59-40C9-9EFD-381E588CF6FC}" userId="f5fe407a88cb1524" providerId="Windows Live"/>
  <person displayName="Kamal Alshareef" id="{E4E539F7-EF01-4E1C-A881-E9D2CB5C903B}" userId="S::Alshareef.ka@octafoodksa.com::cb6032f9-5897-4e48-8775-ec7e07c838a6" providerId="AD"/>
</personList>
</file>

<file path=xl/theme/theme1.xml><?xml version="1.0" encoding="utf-8"?>
<a:theme xmlns:a="http://schemas.openxmlformats.org/drawingml/2006/main"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C25" dT="2026-06-23T02:19:27.89" personId="{E4E539F7-EF01-4E1C-A881-E9D2CB5C903B}" id="{1DC842B1-13E5-4C73-8113-AF5C0DA1D93B}">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C634B071-63C1-479E-A95A-6D74175549F9}" parentId="{1DC842B1-13E5-4C73-8113-AF5C0DA1D93B}">
    <text xml:space="preserve">If true the Cost of Protein + Mix + Topping will be equal to the Blue Table </text>
  </threadedComment>
  <threadedComment ref="AC25" dT="2026-06-23T02:29:24.85" personId="{E4E539F7-EF01-4E1C-A881-E9D2CB5C903B}" id="{57649925-FF84-4FBB-83C5-CACD6E437374}" parentId="{1DC842B1-13E5-4C73-8113-AF5C0DA1D93B}">
    <text>Marination Cost per gram is only linked to the uncoocked chicken quantity not total with Sauce</text>
  </threadedComment>
  <threadedComment ref="AC25" dT="2026-06-23T02:34:15.40" personId="{E4E539F7-EF01-4E1C-A881-E9D2CB5C903B}" id="{0E857DDC-4BA7-45B4-A583-FAEE249271DA}" parentId="{1DC842B1-13E5-4C73-8113-AF5C0DA1D93B}">
    <text>Garnish rate is divided on the total quantity of Chicken and Sauce to get its contribution for each gm of total</text>
  </threadedComment>
  <threadedComment ref="AF28" dT="2026-06-23T02:20:15.12" personId="{E4E539F7-EF01-4E1C-A881-E9D2CB5C903B}" id="{44D9B5F2-A946-4132-B746-CFB757F18171}">
    <text>If the Equation is correct, you will have the total of Protein + Mix + Topping = to the total in the Blue Table</text>
  </threadedComment>
  <threadedComment ref="AA30" dT="2026-06-23T02:48:35.04" personId="{E4E539F7-EF01-4E1C-A881-E9D2CB5C903B}" id="{3011D849-562F-4B14-BFB9-F1AD0C7CEDA5}">
    <text>Keep the Rates linked to the Blue Table so it get updated as prices in the ordering sheet changes, if you changed the quantity in the blue table or the costing table, the rate must stay the same</text>
  </threadedComment>
</ThreadedComments>
</file>

<file path=xl/threadedComments/threadedComment2.xml><?xml version="1.0" encoding="utf-8"?>
<ThreadedComments xmlns="http://schemas.microsoft.com/office/spreadsheetml/2018/threadedcomments" xmlns:x="http://schemas.openxmlformats.org/spreadsheetml/2006/main">
  <threadedComment ref="AA30" dT="2026-06-23T02:48:35.04" personId="{E4E539F7-EF01-4E1C-A881-E9D2CB5C903B}" id="{081DAECB-E080-489B-8A34-165D790BF053}">
    <text>Keep the Rates linked to the Blue Table so it get updated as prices in the ordering sheet changes, if you changed the quantity in the blue table or the costing table, the rate must stay the same</text>
  </threadedComment>
</ThreadedComments>
</file>

<file path=xl/threadedComments/threadedComment3.xml><?xml version="1.0" encoding="utf-8"?>
<ThreadedComments xmlns="http://schemas.microsoft.com/office/spreadsheetml/2018/threadedcomments" xmlns:x="http://schemas.openxmlformats.org/spreadsheetml/2006/main">
  <threadedComment ref="AC25" dT="2026-06-23T02:19:27.89" personId="{E4E539F7-EF01-4E1C-A881-E9D2CB5C903B}" id="{04D417F9-FD80-4CA6-9AC1-BA13ED0B4C6D}">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0588D0F2-F9FC-4256-B041-520B018B99C9}" parentId="{04D417F9-FD80-4CA6-9AC1-BA13ED0B4C6D}">
    <text xml:space="preserve">If true the Cost of Protein + Mix + Topping will be equal to the Blue Table </text>
  </threadedComment>
  <threadedComment ref="AC25" dT="2026-06-23T02:29:24.85" personId="{E4E539F7-EF01-4E1C-A881-E9D2CB5C903B}" id="{2FD51785-1AFF-45E2-BD6A-58D02F6A182C}" parentId="{04D417F9-FD80-4CA6-9AC1-BA13ED0B4C6D}">
    <text>Marination Cost per gram is only linked to the uncoocked chicken quantity not total with Sauce</text>
  </threadedComment>
  <threadedComment ref="AC25" dT="2026-06-23T02:34:15.40" personId="{E4E539F7-EF01-4E1C-A881-E9D2CB5C903B}" id="{67DB2525-12BA-4665-8EE3-D9671BC79917}" parentId="{04D417F9-FD80-4CA6-9AC1-BA13ED0B4C6D}">
    <text>Garnish rate is divided on the total quantity of Chicken and Sauce to get its contribution for each gm of total</text>
  </threadedComment>
</ThreadedComments>
</file>

<file path=xl/threadedComments/threadedComment4.xml><?xml version="1.0" encoding="utf-8"?>
<ThreadedComments xmlns="http://schemas.microsoft.com/office/spreadsheetml/2018/threadedcomments" xmlns:x="http://schemas.openxmlformats.org/spreadsheetml/2006/main">
  <threadedComment ref="I1" dT="2026-05-02T18:45:17.51" personId="{D0A273E1-AE59-40C9-9EFD-381E588CF6FC}" id="{D1EFD38B-F35F-4F53-829B-6B853CA5068A}">
    <text xml:space="preserve">There is no weight correction. For coating as it doesn’t lose weight
</text>
  </threadedComment>
  <threadedComment ref="K1" dT="2026-05-02T18:42:37.69" personId="{D0A273E1-AE59-40C9-9EFD-381E588CF6FC}" id="{DFDC8677-3B46-4597-A78A-89DFD78B19A4}">
    <text>The coating will never lose weight during cooking; however there will be loses as it will not stick to the chicken , get burned, and 75% is high efficiency coating</text>
  </threadedComment>
  <threadedComment ref="AC25" dT="2026-06-23T02:19:27.89" personId="{E4E539F7-EF01-4E1C-A881-E9D2CB5C903B}" id="{AFA68A81-CD12-4647-8026-78AC98878D42}">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7180E7D8-C120-463D-BEA4-B02CE0830906}" parentId="{AFA68A81-CD12-4647-8026-78AC98878D42}">
    <text xml:space="preserve">If true the Cost of Protein + Mix + Topping will be equal to the Blue Table </text>
  </threadedComment>
  <threadedComment ref="AC25" dT="2026-06-23T02:29:24.85" personId="{E4E539F7-EF01-4E1C-A881-E9D2CB5C903B}" id="{295FD4E7-0A54-4BFB-92B5-B86C62B9E13F}" parentId="{AFA68A81-CD12-4647-8026-78AC98878D42}">
    <text>Marination Cost per gram is only linked to the uncoocked chicken quantity not total with Sauce</text>
  </threadedComment>
  <threadedComment ref="AC25" dT="2026-06-23T02:34:15.40" personId="{E4E539F7-EF01-4E1C-A881-E9D2CB5C903B}" id="{19C4264B-D4E1-4768-A5C1-FA25535C0000}" parentId="{AFA68A81-CD12-4647-8026-78AC98878D42}">
    <text>Garnish rate is divided on the total quantity of Chicken and Sauce to get its contribution for each gm of total</text>
  </threadedComment>
</ThreadedComments>
</file>

<file path=xl/threadedComments/threadedComment5.xml><?xml version="1.0" encoding="utf-8"?>
<ThreadedComments xmlns="http://schemas.microsoft.com/office/spreadsheetml/2018/threadedcomments" xmlns:x="http://schemas.openxmlformats.org/spreadsheetml/2006/main">
  <threadedComment ref="AC25" dT="2026-06-23T02:19:27.89" personId="{E4E539F7-EF01-4E1C-A881-E9D2CB5C903B}" id="{ADAC1321-0D8E-452C-AD0E-7D9D38F2ED51}">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1ED7AC2E-3C01-422D-898D-FCF9DC1C4A24}" parentId="{ADAC1321-0D8E-452C-AD0E-7D9D38F2ED51}">
    <text xml:space="preserve">If true the Cost of Protein + Mix + Topping will be equal to the Blue Table </text>
  </threadedComment>
  <threadedComment ref="AC25" dT="2026-06-23T02:29:24.85" personId="{E4E539F7-EF01-4E1C-A881-E9D2CB5C903B}" id="{C01165E8-C6AD-435E-916A-F12E84AF80D2}" parentId="{ADAC1321-0D8E-452C-AD0E-7D9D38F2ED51}">
    <text>Marination Cost per gram is only linked to the uncoocked chicken quantity not total with Sauce</text>
  </threadedComment>
  <threadedComment ref="AC25" dT="2026-06-23T02:34:15.40" personId="{E4E539F7-EF01-4E1C-A881-E9D2CB5C903B}" id="{1A23ECB2-3171-4577-85E0-452C579FB2B5}" parentId="{ADAC1321-0D8E-452C-AD0E-7D9D38F2ED51}">
    <text>Garnish rate is divided on the total quantity of Chicken and Sauce to get its contribution for each gm of total</text>
  </threadedComment>
</ThreadedComments>
</file>

<file path=xl/threadedComments/threadedComment6.xml><?xml version="1.0" encoding="utf-8"?>
<ThreadedComments xmlns="http://schemas.microsoft.com/office/spreadsheetml/2018/threadedcomments" xmlns:x="http://schemas.openxmlformats.org/spreadsheetml/2006/main">
  <threadedComment ref="AC25" dT="2026-06-23T02:19:27.89" personId="{E4E539F7-EF01-4E1C-A881-E9D2CB5C903B}" id="{003E98E4-44CF-43F4-8018-2B4370DD5EF7}">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FDE06353-5266-4D65-B999-8F5538959799}" parentId="{003E98E4-44CF-43F4-8018-2B4370DD5EF7}">
    <text xml:space="preserve">If true the Cost of Protein + Mix + Topping will be equal to the Blue Table </text>
  </threadedComment>
  <threadedComment ref="AC25" dT="2026-06-23T02:29:24.85" personId="{E4E539F7-EF01-4E1C-A881-E9D2CB5C903B}" id="{B00DC54A-2AD0-4B58-B3CC-7A478BBF44AC}" parentId="{003E98E4-44CF-43F4-8018-2B4370DD5EF7}">
    <text>Marination Cost per gram is only linked to the uncoocked chicken quantity not total with Sauce</text>
  </threadedComment>
  <threadedComment ref="AC25" dT="2026-06-23T02:34:15.40" personId="{E4E539F7-EF01-4E1C-A881-E9D2CB5C903B}" id="{0553EC14-2F26-4AA9-98E5-6AE4D7DFA385}" parentId="{003E98E4-44CF-43F4-8018-2B4370DD5EF7}">
    <text>Garnish rate is divided on the total quantity of Chicken and Sauce to get its contribution for each gm of total</text>
  </threadedComment>
</ThreadedComments>
</file>

<file path=xl/threadedComments/threadedComment7.xml><?xml version="1.0" encoding="utf-8"?>
<ThreadedComments xmlns="http://schemas.microsoft.com/office/spreadsheetml/2018/threadedcomments" xmlns:x="http://schemas.openxmlformats.org/spreadsheetml/2006/main">
  <threadedComment ref="AC25" dT="2026-06-23T02:19:27.89" personId="{E4E539F7-EF01-4E1C-A881-E9D2CB5C903B}" id="{2ECC9FD7-3B29-4CC2-9BE8-C4E5CF01D92F}">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D573BD04-81FF-4465-BAC9-40F3B47CC71E}" parentId="{2ECC9FD7-3B29-4CC2-9BE8-C4E5CF01D92F}">
    <text xml:space="preserve">If true the Cost of Protein + Mix + Topping will be equal to the Blue Table </text>
  </threadedComment>
  <threadedComment ref="AC25" dT="2026-06-23T02:29:24.85" personId="{E4E539F7-EF01-4E1C-A881-E9D2CB5C903B}" id="{3E7BB26B-DE33-49CE-9BDE-69E7D5B96765}" parentId="{2ECC9FD7-3B29-4CC2-9BE8-C4E5CF01D92F}">
    <text>Marination Cost per gram is only linked to the uncoocked chicken quantity not total with Sauce</text>
  </threadedComment>
  <threadedComment ref="AC25" dT="2026-06-23T02:34:15.40" personId="{E4E539F7-EF01-4E1C-A881-E9D2CB5C903B}" id="{1C324CD3-9943-4619-A308-64F3D1C2D114}" parentId="{2ECC9FD7-3B29-4CC2-9BE8-C4E5CF01D92F}">
    <text>Garnish rate is divided on the total quantity of Chicken and Sauce to get its contribution for each gm of total</text>
  </threadedComment>
</ThreadedComments>
</file>

<file path=xl/threadedComments/threadedComment8.xml><?xml version="1.0" encoding="utf-8"?>
<ThreadedComments xmlns="http://schemas.microsoft.com/office/spreadsheetml/2018/threadedcomments" xmlns:x="http://schemas.openxmlformats.org/spreadsheetml/2006/main">
  <threadedComment ref="AC25" dT="2026-06-23T02:19:27.89" personId="{E4E539F7-EF01-4E1C-A881-E9D2CB5C903B}" id="{80258C01-47E0-4C6A-B5D0-A8F68454EA8E}">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66192683-B906-4AD6-BF34-7AA6F838DD97}" parentId="{80258C01-47E0-4C6A-B5D0-A8F68454EA8E}">
    <text xml:space="preserve">If true the Cost of Protein + Mix + Topping will be equal to the Blue Table </text>
  </threadedComment>
  <threadedComment ref="AC25" dT="2026-06-23T02:29:24.85" personId="{E4E539F7-EF01-4E1C-A881-E9D2CB5C903B}" id="{A052203C-1B2D-4051-A814-C85E8308A326}" parentId="{80258C01-47E0-4C6A-B5D0-A8F68454EA8E}">
    <text>Marination Cost per gram is only linked to the uncoocked chicken quantity not total with Sauce</text>
  </threadedComment>
  <threadedComment ref="AC25" dT="2026-06-23T02:34:15.40" personId="{E4E539F7-EF01-4E1C-A881-E9D2CB5C903B}" id="{26394F80-06EE-4897-917A-C8910B7A0B16}" parentId="{80258C01-47E0-4C6A-B5D0-A8F68454EA8E}">
    <text>Garnish rate is divided on the total quantity of Chicken and Sauce to get its contribution for each gm of total</text>
  </threadedComment>
</ThreadedComments>
</file>

<file path=xl/threadedComments/threadedComment9.xml><?xml version="1.0" encoding="utf-8"?>
<ThreadedComments xmlns="http://schemas.microsoft.com/office/spreadsheetml/2018/threadedcomments" xmlns:x="http://schemas.openxmlformats.org/spreadsheetml/2006/main">
  <threadedComment ref="AC25" dT="2026-06-23T02:19:27.89" personId="{E4E539F7-EF01-4E1C-A881-E9D2CB5C903B}" id="{15FBDEDA-BE01-4524-AC62-958B07B425D9}">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C59F39C1-DD30-4C26-8FB7-2DAF3A7D7ED5}" parentId="{15FBDEDA-BE01-4524-AC62-958B07B425D9}">
    <text xml:space="preserve">If true the Cost of Protein + Mix + Topping will be equal to the Blue Table </text>
  </threadedComment>
  <threadedComment ref="AC25" dT="2026-06-23T02:29:24.85" personId="{E4E539F7-EF01-4E1C-A881-E9D2CB5C903B}" id="{A496B6EA-5565-4715-922D-FEDB0DCA2EB9}" parentId="{15FBDEDA-BE01-4524-AC62-958B07B425D9}">
    <text>Marination Cost per gram is only linked to the uncoocked chicken quantity not total with Sauce</text>
  </threadedComment>
  <threadedComment ref="AC25" dT="2026-06-23T02:34:15.40" personId="{E4E539F7-EF01-4E1C-A881-E9D2CB5C903B}" id="{1FBE7618-1D34-4A82-A39B-5991670F029D}" parentId="{15FBDEDA-BE01-4524-AC62-958B07B425D9}">
    <text>Garnish rate is divided on the total quantity of Chicken and Sauce to get its contribution for each gm of total</text>
  </threadedComment>
</ThreadedComments>
</file>

<file path=xl/threadedComments/threadedComment10.xml><?xml version="1.0" encoding="utf-8"?>
<ThreadedComments xmlns="http://schemas.microsoft.com/office/spreadsheetml/2018/threadedcomments" xmlns:x="http://schemas.openxmlformats.org/spreadsheetml/2006/main">
  <threadedComment ref="AC25" dT="2026-06-23T02:19:27.89" personId="{E4E539F7-EF01-4E1C-A881-E9D2CB5C903B}" id="{2A66C493-8FD3-43DA-9452-DAC88E320BF7}">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712EEAE9-3490-47EF-932E-1C0744C14684}" parentId="{2A66C493-8FD3-43DA-9452-DAC88E320BF7}">
    <text xml:space="preserve">If true the Cost of Protein + Mix + Topping will be equal to the Blue Table </text>
  </threadedComment>
  <threadedComment ref="AC25" dT="2026-06-23T02:29:24.85" personId="{E4E539F7-EF01-4E1C-A881-E9D2CB5C903B}" id="{5C3E6921-BA19-45F1-B395-F31E2163978D}" parentId="{2A66C493-8FD3-43DA-9452-DAC88E320BF7}">
    <text>Marination Cost per gram is only linked to the uncoocked chicken quantity not total with Sauce</text>
  </threadedComment>
  <threadedComment ref="AC25" dT="2026-06-23T02:34:15.40" personId="{E4E539F7-EF01-4E1C-A881-E9D2CB5C903B}" id="{37AF96A8-710F-444F-AE27-8BB266B5CA13}" parentId="{2A66C493-8FD3-43DA-9452-DAC88E320BF7}">
    <text>Garnish rate is divided on the total quantity of Chicken and Sauce to get its contribution for each gm of total</text>
  </threadedComment>
</ThreadedComments>
</file>

<file path=xl/threadedComments/threadedComment11.xml><?xml version="1.0" encoding="utf-8"?>
<ThreadedComments xmlns="http://schemas.microsoft.com/office/spreadsheetml/2018/threadedcomments" xmlns:x="http://schemas.openxmlformats.org/spreadsheetml/2006/main">
  <threadedComment ref="AC25" dT="2026-06-23T02:19:27.89" personId="{E4E539F7-EF01-4E1C-A881-E9D2CB5C903B}" id="{3359F034-9006-4058-909C-6311A4116AA2}">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9391309C-2FED-4FF7-8BDE-0FCC498627E8}" parentId="{3359F034-9006-4058-909C-6311A4116AA2}">
    <text xml:space="preserve">If true the Cost of Protein + Mix + Topping will be equal to the Blue Table </text>
  </threadedComment>
  <threadedComment ref="AC25" dT="2026-06-23T02:29:24.85" personId="{E4E539F7-EF01-4E1C-A881-E9D2CB5C903B}" id="{AC324CE2-3868-40DF-9D7F-66BEE3412EB3}" parentId="{3359F034-9006-4058-909C-6311A4116AA2}">
    <text>Marination Cost per gram is only linked to the uncoocked chicken quantity not total with Sauce</text>
  </threadedComment>
  <threadedComment ref="AC25" dT="2026-06-23T02:34:15.40" personId="{E4E539F7-EF01-4E1C-A881-E9D2CB5C903B}" id="{14C7FACD-3964-4CCA-915C-736D6D41D172}" parentId="{3359F034-9006-4058-909C-6311A4116AA2}">
    <text>Garnish rate is divided on the total quantity of Chicken and Sauce to get its contribution for each gm of total</text>
  </threadedComment>
</ThreadedComments>
</file>

<file path=xl/threadedComments/threadedComment12.xml><?xml version="1.0" encoding="utf-8"?>
<ThreadedComments xmlns="http://schemas.microsoft.com/office/spreadsheetml/2018/threadedcomments" xmlns:x="http://schemas.openxmlformats.org/spreadsheetml/2006/main">
  <threadedComment ref="AC25" dT="2026-06-23T02:19:27.89" personId="{E4E539F7-EF01-4E1C-A881-E9D2CB5C903B}" id="{608F1BEB-2EAE-4E5E-8748-AE7646B10B4F}">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793543CE-527F-455D-BB56-46C24EE8751E}" parentId="{608F1BEB-2EAE-4E5E-8748-AE7646B10B4F}">
    <text xml:space="preserve">If true the Cost of Protein + Mix + Topping will be equal to the Blue Table </text>
  </threadedComment>
  <threadedComment ref="AC25" dT="2026-06-23T02:29:24.85" personId="{E4E539F7-EF01-4E1C-A881-E9D2CB5C903B}" id="{D4B48E4F-D478-4965-8B86-1BC078DFC921}" parentId="{608F1BEB-2EAE-4E5E-8748-AE7646B10B4F}">
    <text>Marination Cost per gram is only linked to the uncoocked chicken quantity not total with Sauce</text>
  </threadedComment>
  <threadedComment ref="AC25" dT="2026-06-23T02:34:15.40" personId="{E4E539F7-EF01-4E1C-A881-E9D2CB5C903B}" id="{76E32A95-DE77-437A-88DC-28A5E5D4087E}" parentId="{608F1BEB-2EAE-4E5E-8748-AE7646B10B4F}">
    <text>Garnish rate is divided on the total quantity of Chicken and Sauce to get its contribution for each gm of total</text>
  </threadedComment>
</ThreadedComments>
</file>

<file path=xl/threadedComments/threadedComment13.xml><?xml version="1.0" encoding="utf-8"?>
<ThreadedComments xmlns="http://schemas.microsoft.com/office/spreadsheetml/2018/threadedcomments" xmlns:x="http://schemas.openxmlformats.org/spreadsheetml/2006/main">
  <threadedComment ref="AC25" dT="2026-06-23T02:19:27.89" personId="{E4E539F7-EF01-4E1C-A881-E9D2CB5C903B}" id="{9BD9F61B-E342-45B6-BB85-2CCCD1168FA6}">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3E8B7655-37AF-49BD-8E08-371B973ACB61}" parentId="{9BD9F61B-E342-45B6-BB85-2CCCD1168FA6}">
    <text xml:space="preserve">If true the Cost of Protein + Mix + Topping will be equal to the Blue Table </text>
  </threadedComment>
  <threadedComment ref="AC25" dT="2026-06-23T02:29:24.85" personId="{E4E539F7-EF01-4E1C-A881-E9D2CB5C903B}" id="{7AC95FCA-D351-44BD-BEBE-911EA2C7DCB6}" parentId="{9BD9F61B-E342-45B6-BB85-2CCCD1168FA6}">
    <text>Marination Cost per gram is only linked to the uncoocked chicken quantity not total with Sauce</text>
  </threadedComment>
  <threadedComment ref="AC25" dT="2026-06-23T02:34:15.40" personId="{E4E539F7-EF01-4E1C-A881-E9D2CB5C903B}" id="{C1CF1D8E-295C-4661-917B-88FD3AD2A8F5}" parentId="{9BD9F61B-E342-45B6-BB85-2CCCD1168FA6}">
    <text>Garnish rate is divided on the total quantity of Chicken and Sauce to get its contribution for each gm of total</text>
  </threadedComment>
</ThreadedComments>
</file>

<file path=xl/threadedComments/threadedComment14.xml><?xml version="1.0" encoding="utf-8"?>
<ThreadedComments xmlns="http://schemas.microsoft.com/office/spreadsheetml/2018/threadedcomments" xmlns:x="http://schemas.openxmlformats.org/spreadsheetml/2006/main">
  <threadedComment ref="AC25" dT="2026-06-23T02:19:27.89" personId="{E4E539F7-EF01-4E1C-A881-E9D2CB5C903B}" id="{986678C2-DF96-4A70-B0ED-C8D57D89417A}">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818FC24D-70DF-4863-8C3B-360747E27414}" parentId="{986678C2-DF96-4A70-B0ED-C8D57D89417A}">
    <text xml:space="preserve">If true the Cost of Protein + Mix + Topping will be equal to the Blue Table </text>
  </threadedComment>
  <threadedComment ref="AC25" dT="2026-06-23T02:29:24.85" personId="{E4E539F7-EF01-4E1C-A881-E9D2CB5C903B}" id="{96DA697A-DC46-4622-BAAF-28D7B7D4F5B5}" parentId="{986678C2-DF96-4A70-B0ED-C8D57D89417A}">
    <text>Marination Cost per gram is only linked to the uncoocked chicken quantity not total with Sauce</text>
  </threadedComment>
  <threadedComment ref="AC25" dT="2026-06-23T02:34:15.40" personId="{E4E539F7-EF01-4E1C-A881-E9D2CB5C903B}" id="{C62CA56C-A3C2-4EC8-8F2F-7E8F5915D415}" parentId="{986678C2-DF96-4A70-B0ED-C8D57D89417A}">
    <text>Garnish rate is divided on the total quantity of Chicken and Sauce to get its contribution for each gm of total</text>
  </threadedComment>
</ThreadedComments>
</file>

<file path=xl/threadedComments/threadedComment15.xml><?xml version="1.0" encoding="utf-8"?>
<ThreadedComments xmlns="http://schemas.microsoft.com/office/spreadsheetml/2018/threadedcomments" xmlns:x="http://schemas.openxmlformats.org/spreadsheetml/2006/main">
  <threadedComment ref="AC25" dT="2026-06-23T02:19:27.89" personId="{E4E539F7-EF01-4E1C-A881-E9D2CB5C903B}" id="{5FBD50BE-A056-49D3-90B4-CFD6B8C9DAA9}">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9F423AE4-A5A9-45F0-A427-B12ECD60DD3E}" parentId="{5FBD50BE-A056-49D3-90B4-CFD6B8C9DAA9}">
    <text xml:space="preserve">If true the Cost of Protein + Mix + Topping will be equal to the Blue Table </text>
  </threadedComment>
  <threadedComment ref="AC25" dT="2026-06-23T02:29:24.85" personId="{E4E539F7-EF01-4E1C-A881-E9D2CB5C903B}" id="{831BCC66-8B8C-4238-8BB1-476DA205D781}" parentId="{5FBD50BE-A056-49D3-90B4-CFD6B8C9DAA9}">
    <text>Marination Cost per gram is only linked to the uncoocked chicken quantity not total with Sauce</text>
  </threadedComment>
  <threadedComment ref="AC25" dT="2026-06-23T02:34:15.40" personId="{E4E539F7-EF01-4E1C-A881-E9D2CB5C903B}" id="{BF9EC1E3-5935-411E-9B9A-6647B127BAB8}" parentId="{5FBD50BE-A056-49D3-90B4-CFD6B8C9DAA9}">
    <text>Garnish rate is divided on the total quantity of Chicken and Sauce to get its contribution for each gm of total</text>
  </threadedComment>
</ThreadedComments>
</file>

<file path=xl/threadedComments/threadedComment16.xml><?xml version="1.0" encoding="utf-8"?>
<ThreadedComments xmlns="http://schemas.microsoft.com/office/spreadsheetml/2018/threadedcomments" xmlns:x="http://schemas.openxmlformats.org/spreadsheetml/2006/main">
  <threadedComment ref="AC25" dT="2026-06-23T02:19:27.89" personId="{E4E539F7-EF01-4E1C-A881-E9D2CB5C903B}" id="{C99A64D0-C276-47B6-B243-058ABFFF7156}">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D91911A2-E546-46BC-87DE-9B9199300052}" parentId="{C99A64D0-C276-47B6-B243-058ABFFF7156}">
    <text xml:space="preserve">If true the Cost of Protein + Mix + Topping will be equal to the Blue Table </text>
  </threadedComment>
  <threadedComment ref="AC25" dT="2026-06-23T02:29:24.85" personId="{E4E539F7-EF01-4E1C-A881-E9D2CB5C903B}" id="{A4A85E0D-9C23-4077-9EC9-57756D5F3696}" parentId="{C99A64D0-C276-47B6-B243-058ABFFF7156}">
    <text>Marination Cost per gram is only linked to the uncoocked chicken quantity not total with Sauce</text>
  </threadedComment>
  <threadedComment ref="AC25" dT="2026-06-23T02:34:15.40" personId="{E4E539F7-EF01-4E1C-A881-E9D2CB5C903B}" id="{A323F8D9-19FA-4C15-80CB-523BD806E839}" parentId="{C99A64D0-C276-47B6-B243-058ABFFF7156}">
    <text>Garnish rate is divided on the total quantity of Chicken and Sauce to get its contribution for each gm of total</text>
  </threadedComment>
</ThreadedComments>
</file>

<file path=xl/threadedComments/threadedComment17.xml><?xml version="1.0" encoding="utf-8"?>
<ThreadedComments xmlns="http://schemas.microsoft.com/office/spreadsheetml/2018/threadedcomments" xmlns:x="http://schemas.openxmlformats.org/spreadsheetml/2006/main">
  <threadedComment ref="AC25" dT="2026-06-23T02:19:27.89" personId="{E4E539F7-EF01-4E1C-A881-E9D2CB5C903B}" id="{F7330BC2-B6D5-4EE6-B0F1-5EEF6AA573F3}">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D8021AD1-C77E-48BA-80DA-84818016EC97}" parentId="{F7330BC2-B6D5-4EE6-B0F1-5EEF6AA573F3}">
    <text xml:space="preserve">If true the Cost of Protein + Mix + Topping will be equal to the Blue Table </text>
  </threadedComment>
  <threadedComment ref="AC25" dT="2026-06-23T02:29:24.85" personId="{E4E539F7-EF01-4E1C-A881-E9D2CB5C903B}" id="{2BF4EABA-BC74-4101-8589-59CB6E9CDAC5}" parentId="{F7330BC2-B6D5-4EE6-B0F1-5EEF6AA573F3}">
    <text>Marination Cost per gram is only linked to the uncoocked chicken quantity not total with Sauce</text>
  </threadedComment>
  <threadedComment ref="AC25" dT="2026-06-23T02:34:15.40" personId="{E4E539F7-EF01-4E1C-A881-E9D2CB5C903B}" id="{BFA8A6FA-1681-42B3-9ACF-786FB57E503F}" parentId="{F7330BC2-B6D5-4EE6-B0F1-5EEF6AA573F3}">
    <text>Garnish rate is divided on the total quantity of Chicken and Sauce to get its contribution for each gm of total</text>
  </threadedComment>
</ThreadedComments>
</file>

<file path=xl/threadedComments/threadedComment18.xml><?xml version="1.0" encoding="utf-8"?>
<ThreadedComments xmlns="http://schemas.microsoft.com/office/spreadsheetml/2018/threadedcomments" xmlns:x="http://schemas.openxmlformats.org/spreadsheetml/2006/main">
  <threadedComment ref="AC25" dT="2026-06-23T02:19:27.89" personId="{E4E539F7-EF01-4E1C-A881-E9D2CB5C903B}" id="{859BAB83-522B-4D04-86F2-48A8B0CF67C0}">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8F571FEA-39D6-4083-B6A5-F42181DA8E9B}" parentId="{859BAB83-522B-4D04-86F2-48A8B0CF67C0}">
    <text xml:space="preserve">If true the Cost of Protein + Mix + Topping will be equal to the Blue Table </text>
  </threadedComment>
  <threadedComment ref="AC25" dT="2026-06-23T02:29:24.85" personId="{E4E539F7-EF01-4E1C-A881-E9D2CB5C903B}" id="{3C192A9C-B6FB-44E7-B984-60A764C2DC61}" parentId="{859BAB83-522B-4D04-86F2-48A8B0CF67C0}">
    <text>Marination Cost per gram is only linked to the uncoocked chicken quantity not total with Sauce</text>
  </threadedComment>
  <threadedComment ref="AC25" dT="2026-06-23T02:34:15.40" personId="{E4E539F7-EF01-4E1C-A881-E9D2CB5C903B}" id="{91D36899-0980-4863-A627-4990CFE9FD69}" parentId="{859BAB83-522B-4D04-86F2-48A8B0CF67C0}">
    <text>Garnish rate is divided on the total quantity of Chicken and Sauce to get its contribution for each gm of total</text>
  </threadedComment>
</ThreadedComments>
</file>

<file path=xl/threadedComments/threadedComment19.xml><?xml version="1.0" encoding="utf-8"?>
<ThreadedComments xmlns="http://schemas.microsoft.com/office/spreadsheetml/2018/threadedcomments" xmlns:x="http://schemas.openxmlformats.org/spreadsheetml/2006/main">
  <threadedComment ref="AC25" dT="2026-06-23T02:19:27.89" personId="{E4E539F7-EF01-4E1C-A881-E9D2CB5C903B}" id="{B8446BE2-DBC8-49D1-887F-EF8DC7239748}">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803F9FF8-DEF0-4384-B54C-BAABE2F353CC}" parentId="{B8446BE2-DBC8-49D1-887F-EF8DC7239748}">
    <text xml:space="preserve">If true the Cost of Protein + Mix + Topping will be equal to the Blue Table </text>
  </threadedComment>
  <threadedComment ref="AC25" dT="2026-06-23T02:29:24.85" personId="{E4E539F7-EF01-4E1C-A881-E9D2CB5C903B}" id="{B5DBDB35-83F5-440D-8CD1-721A3971CEC4}" parentId="{B8446BE2-DBC8-49D1-887F-EF8DC7239748}">
    <text>Marination Cost per gram is only linked to the uncoocked chicken quantity not total with Sauce</text>
  </threadedComment>
  <threadedComment ref="AC25" dT="2026-06-23T02:34:15.40" personId="{E4E539F7-EF01-4E1C-A881-E9D2CB5C903B}" id="{ECA963DD-02A6-410A-BD41-7D5032A0AB33}" parentId="{B8446BE2-DBC8-49D1-887F-EF8DC7239748}">
    <text>Garnish rate is divided on the total quantity of Chicken and Sauce to get its contribution for each gm of total</text>
  </threadedComment>
</ThreadedComment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525" row="9">
    <wetp:webextensionref xmlns:r="http://schemas.openxmlformats.org/officeDocument/2006/relationships" r:id="rId2"/>
  </wetp:taskpane>
</wetp:taskpanes>
</file>

<file path=xl/webextensions/webextension1.xml><?xml version="1.0" encoding="utf-8"?>
<we:webextension xmlns:we="http://schemas.microsoft.com/office/webextensions/webextension/2010/11" id="{7E35906E-07D1-4B2E-B120-8B6664BBDA80}">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s>_xldudf_AI_WEB</we:customFunctionIds>
      </we:customFunctionIdList>
    </a:ext>
  </we:extLst>
</we:webextension>
</file>

<file path=xl/webextensions/webextension2.xml><?xml version="1.0" encoding="utf-8"?>
<we:webextension xmlns:we="http://schemas.microsoft.com/office/webextensions/webextension/2010/11" id="{BCB226FB-C87C-4051-8660-E1B8D8E1D001}">
  <we:reference id="wa200009404" version="1.0.0.8" store="en-US" storeType="OMEX"/>
  <we:alternateReferences>
    <we:reference id="wa200009404" version="1.0.0.8" store="wa200009404" storeType="OMEX"/>
  </we:alternateReferences>
  <we:properties>
    <we:property name="claude.fileId" value="&quot;736a89ba-973f-479c-be8f-917b5b76a951&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microsoft.com/office/2017/10/relationships/threadedComment" Target="../threadedComments/threadedComment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20.bin"/><Relationship Id="rId4" Type="http://schemas.microsoft.com/office/2017/10/relationships/threadedComment" Target="../threadedComments/threadedComment3.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28.bin"/><Relationship Id="rId4" Type="http://schemas.microsoft.com/office/2017/10/relationships/threadedComment" Target="../threadedComments/threadedComment4.xml"/></Relationships>
</file>

<file path=xl/worksheets/_rels/sheet31.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29.bin"/><Relationship Id="rId4" Type="http://schemas.microsoft.com/office/2017/10/relationships/threadedComment" Target="../threadedComments/threadedComment5.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30.bin"/></Relationships>
</file>

<file path=xl/worksheets/_rels/sheet33.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printerSettings" Target="../printerSettings/printerSettings32.bin"/><Relationship Id="rId4" Type="http://schemas.microsoft.com/office/2017/10/relationships/threadedComment" Target="../threadedComments/threadedComment6.xml"/></Relationships>
</file>

<file path=xl/worksheets/_rels/sheet35.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printerSettings" Target="../printerSettings/printerSettings35.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5.vml"/><Relationship Id="rId1" Type="http://schemas.openxmlformats.org/officeDocument/2006/relationships/printerSettings" Target="../printerSettings/printerSettings36.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0.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3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27.vml"/><Relationship Id="rId1" Type="http://schemas.openxmlformats.org/officeDocument/2006/relationships/printerSettings" Target="../printerSettings/printerSettings39.bin"/></Relationships>
</file>

<file path=xl/worksheets/_rels/sheet42.xml.rels><?xml version="1.0" encoding="UTF-8" standalone="yes"?>
<Relationships xmlns="http://schemas.openxmlformats.org/package/2006/relationships"><Relationship Id="rId3" Type="http://schemas.openxmlformats.org/officeDocument/2006/relationships/comments" Target="../comments28.xml"/><Relationship Id="rId2" Type="http://schemas.openxmlformats.org/officeDocument/2006/relationships/vmlDrawing" Target="../drawings/vmlDrawing28.vml"/><Relationship Id="rId1" Type="http://schemas.openxmlformats.org/officeDocument/2006/relationships/printerSettings" Target="../printerSettings/printerSettings40.bin"/></Relationships>
</file>

<file path=xl/worksheets/_rels/sheet43.xml.rels><?xml version="1.0" encoding="UTF-8" standalone="yes"?>
<Relationships xmlns="http://schemas.openxmlformats.org/package/2006/relationships"><Relationship Id="rId3" Type="http://schemas.openxmlformats.org/officeDocument/2006/relationships/comments" Target="../comments29.xml"/><Relationship Id="rId2" Type="http://schemas.openxmlformats.org/officeDocument/2006/relationships/vmlDrawing" Target="../drawings/vmlDrawing29.vml"/><Relationship Id="rId1" Type="http://schemas.openxmlformats.org/officeDocument/2006/relationships/printerSettings" Target="../printerSettings/printerSettings41.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7.xml.rels><?xml version="1.0" encoding="UTF-8" standalone="yes"?>
<Relationships xmlns="http://schemas.openxmlformats.org/package/2006/relationships"><Relationship Id="rId3" Type="http://schemas.openxmlformats.org/officeDocument/2006/relationships/comments" Target="../comments30.xml"/><Relationship Id="rId2" Type="http://schemas.openxmlformats.org/officeDocument/2006/relationships/vmlDrawing" Target="../drawings/vmlDrawing30.vml"/><Relationship Id="rId1" Type="http://schemas.openxmlformats.org/officeDocument/2006/relationships/printerSettings" Target="../printerSettings/printerSettings45.bin"/></Relationships>
</file>

<file path=xl/worksheets/_rels/sheet48.xml.rels><?xml version="1.0" encoding="UTF-8" standalone="yes"?>
<Relationships xmlns="http://schemas.openxmlformats.org/package/2006/relationships"><Relationship Id="rId3" Type="http://schemas.openxmlformats.org/officeDocument/2006/relationships/comments" Target="../comments31.xml"/><Relationship Id="rId2" Type="http://schemas.openxmlformats.org/officeDocument/2006/relationships/vmlDrawing" Target="../drawings/vmlDrawing31.vml"/><Relationship Id="rId1" Type="http://schemas.openxmlformats.org/officeDocument/2006/relationships/printerSettings" Target="../printerSettings/printerSettings46.bin"/></Relationships>
</file>

<file path=xl/worksheets/_rels/sheet49.xml.rels><?xml version="1.0" encoding="UTF-8" standalone="yes"?>
<Relationships xmlns="http://schemas.openxmlformats.org/package/2006/relationships"><Relationship Id="rId3" Type="http://schemas.openxmlformats.org/officeDocument/2006/relationships/comments" Target="../comments32.xml"/><Relationship Id="rId2" Type="http://schemas.openxmlformats.org/officeDocument/2006/relationships/vmlDrawing" Target="../drawings/vmlDrawing32.vml"/><Relationship Id="rId1" Type="http://schemas.openxmlformats.org/officeDocument/2006/relationships/printerSettings" Target="../printerSettings/printerSettings47.bin"/><Relationship Id="rId4" Type="http://schemas.microsoft.com/office/2017/10/relationships/threadedComment" Target="../threadedComments/threadedComment7.xml"/></Relationships>
</file>

<file path=xl/worksheets/_rels/sheet50.xml.rels><?xml version="1.0" encoding="UTF-8" standalone="yes"?>
<Relationships xmlns="http://schemas.openxmlformats.org/package/2006/relationships"><Relationship Id="rId3" Type="http://schemas.openxmlformats.org/officeDocument/2006/relationships/comments" Target="../comments33.xml"/><Relationship Id="rId2" Type="http://schemas.openxmlformats.org/officeDocument/2006/relationships/vmlDrawing" Target="../drawings/vmlDrawing33.vml"/><Relationship Id="rId1" Type="http://schemas.openxmlformats.org/officeDocument/2006/relationships/printerSettings" Target="../printerSettings/printerSettings48.bin"/></Relationships>
</file>

<file path=xl/worksheets/_rels/sheet51.xml.rels><?xml version="1.0" encoding="UTF-8" standalone="yes"?>
<Relationships xmlns="http://schemas.openxmlformats.org/package/2006/relationships"><Relationship Id="rId3" Type="http://schemas.openxmlformats.org/officeDocument/2006/relationships/comments" Target="../comments34.xml"/><Relationship Id="rId2" Type="http://schemas.openxmlformats.org/officeDocument/2006/relationships/vmlDrawing" Target="../drawings/vmlDrawing34.vml"/><Relationship Id="rId1" Type="http://schemas.openxmlformats.org/officeDocument/2006/relationships/printerSettings" Target="../printerSettings/printerSettings49.bin"/></Relationships>
</file>

<file path=xl/worksheets/_rels/sheet52.xml.rels><?xml version="1.0" encoding="UTF-8" standalone="yes"?>
<Relationships xmlns="http://schemas.openxmlformats.org/package/2006/relationships"><Relationship Id="rId3" Type="http://schemas.openxmlformats.org/officeDocument/2006/relationships/comments" Target="../comments35.xml"/><Relationship Id="rId2" Type="http://schemas.openxmlformats.org/officeDocument/2006/relationships/vmlDrawing" Target="../drawings/vmlDrawing35.vml"/><Relationship Id="rId1" Type="http://schemas.openxmlformats.org/officeDocument/2006/relationships/printerSettings" Target="../printerSettings/printerSettings50.bin"/></Relationships>
</file>

<file path=xl/worksheets/_rels/sheet53.xml.rels><?xml version="1.0" encoding="UTF-8" standalone="yes"?>
<Relationships xmlns="http://schemas.openxmlformats.org/package/2006/relationships"><Relationship Id="rId3" Type="http://schemas.openxmlformats.org/officeDocument/2006/relationships/comments" Target="../comments36.xml"/><Relationship Id="rId2" Type="http://schemas.openxmlformats.org/officeDocument/2006/relationships/vmlDrawing" Target="../drawings/vmlDrawing36.vml"/><Relationship Id="rId1" Type="http://schemas.openxmlformats.org/officeDocument/2006/relationships/printerSettings" Target="../printerSettings/printerSettings51.bin"/><Relationship Id="rId4" Type="http://schemas.microsoft.com/office/2017/10/relationships/threadedComment" Target="../threadedComments/threadedComment8.xml"/></Relationships>
</file>

<file path=xl/worksheets/_rels/sheet54.xml.rels><?xml version="1.0" encoding="UTF-8" standalone="yes"?>
<Relationships xmlns="http://schemas.openxmlformats.org/package/2006/relationships"><Relationship Id="rId3" Type="http://schemas.openxmlformats.org/officeDocument/2006/relationships/comments" Target="../comments37.xml"/><Relationship Id="rId2" Type="http://schemas.openxmlformats.org/officeDocument/2006/relationships/vmlDrawing" Target="../drawings/vmlDrawing37.vml"/><Relationship Id="rId1" Type="http://schemas.openxmlformats.org/officeDocument/2006/relationships/printerSettings" Target="../printerSettings/printerSettings52.bin"/></Relationships>
</file>

<file path=xl/worksheets/_rels/sheet55.xml.rels><?xml version="1.0" encoding="UTF-8" standalone="yes"?>
<Relationships xmlns="http://schemas.openxmlformats.org/package/2006/relationships"><Relationship Id="rId3" Type="http://schemas.openxmlformats.org/officeDocument/2006/relationships/comments" Target="../comments38.xml"/><Relationship Id="rId2" Type="http://schemas.openxmlformats.org/officeDocument/2006/relationships/vmlDrawing" Target="../drawings/vmlDrawing38.vml"/><Relationship Id="rId1" Type="http://schemas.openxmlformats.org/officeDocument/2006/relationships/printerSettings" Target="../printerSettings/printerSettings53.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7.xml.rels><?xml version="1.0" encoding="UTF-8" standalone="yes"?>
<Relationships xmlns="http://schemas.openxmlformats.org/package/2006/relationships"><Relationship Id="rId3" Type="http://schemas.openxmlformats.org/officeDocument/2006/relationships/comments" Target="../comments39.xml"/><Relationship Id="rId2" Type="http://schemas.openxmlformats.org/officeDocument/2006/relationships/vmlDrawing" Target="../drawings/vmlDrawing39.vml"/><Relationship Id="rId1" Type="http://schemas.openxmlformats.org/officeDocument/2006/relationships/printerSettings" Target="../printerSettings/printerSettings55.bin"/><Relationship Id="rId4" Type="http://schemas.microsoft.com/office/2017/10/relationships/threadedComment" Target="../threadedComments/threadedComment9.xml"/></Relationships>
</file>

<file path=xl/worksheets/_rels/sheet58.xml.rels><?xml version="1.0" encoding="UTF-8" standalone="yes"?>
<Relationships xmlns="http://schemas.openxmlformats.org/package/2006/relationships"><Relationship Id="rId3" Type="http://schemas.openxmlformats.org/officeDocument/2006/relationships/comments" Target="../comments40.xml"/><Relationship Id="rId2" Type="http://schemas.openxmlformats.org/officeDocument/2006/relationships/vmlDrawing" Target="../drawings/vmlDrawing40.vml"/><Relationship Id="rId1" Type="http://schemas.openxmlformats.org/officeDocument/2006/relationships/printerSettings" Target="../printerSettings/printerSettings56.bin"/></Relationships>
</file>

<file path=xl/worksheets/_rels/sheet59.xml.rels><?xml version="1.0" encoding="UTF-8" standalone="yes"?>
<Relationships xmlns="http://schemas.openxmlformats.org/package/2006/relationships"><Relationship Id="rId3" Type="http://schemas.openxmlformats.org/officeDocument/2006/relationships/comments" Target="../comments41.xml"/><Relationship Id="rId2" Type="http://schemas.openxmlformats.org/officeDocument/2006/relationships/vmlDrawing" Target="../drawings/vmlDrawing41.vml"/><Relationship Id="rId1" Type="http://schemas.openxmlformats.org/officeDocument/2006/relationships/printerSettings" Target="../printerSettings/printerSettings57.bin"/></Relationships>
</file>

<file path=xl/worksheets/_rels/sheet60.xml.rels><?xml version="1.0" encoding="UTF-8" standalone="yes"?>
<Relationships xmlns="http://schemas.openxmlformats.org/package/2006/relationships"><Relationship Id="rId3" Type="http://schemas.openxmlformats.org/officeDocument/2006/relationships/comments" Target="../comments42.xml"/><Relationship Id="rId2" Type="http://schemas.openxmlformats.org/officeDocument/2006/relationships/vmlDrawing" Target="../drawings/vmlDrawing42.vml"/><Relationship Id="rId1" Type="http://schemas.openxmlformats.org/officeDocument/2006/relationships/printerSettings" Target="../printerSettings/printerSettings58.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3.xml.rels><?xml version="1.0" encoding="UTF-8" standalone="yes"?>
<Relationships xmlns="http://schemas.openxmlformats.org/package/2006/relationships"><Relationship Id="rId3" Type="http://schemas.openxmlformats.org/officeDocument/2006/relationships/comments" Target="../comments43.xml"/><Relationship Id="rId2" Type="http://schemas.openxmlformats.org/officeDocument/2006/relationships/vmlDrawing" Target="../drawings/vmlDrawing43.vml"/><Relationship Id="rId1" Type="http://schemas.openxmlformats.org/officeDocument/2006/relationships/printerSettings" Target="../printerSettings/printerSettings61.bin"/><Relationship Id="rId4" Type="http://schemas.microsoft.com/office/2017/10/relationships/threadedComment" Target="../threadedComments/threadedComment10.xml"/></Relationships>
</file>

<file path=xl/worksheets/_rels/sheet64.xml.rels><?xml version="1.0" encoding="UTF-8" standalone="yes"?>
<Relationships xmlns="http://schemas.openxmlformats.org/package/2006/relationships"><Relationship Id="rId3" Type="http://schemas.openxmlformats.org/officeDocument/2006/relationships/comments" Target="../comments44.xml"/><Relationship Id="rId2" Type="http://schemas.openxmlformats.org/officeDocument/2006/relationships/vmlDrawing" Target="../drawings/vmlDrawing44.vml"/><Relationship Id="rId1" Type="http://schemas.openxmlformats.org/officeDocument/2006/relationships/printerSettings" Target="../printerSettings/printerSettings62.bin"/><Relationship Id="rId4" Type="http://schemas.microsoft.com/office/2017/10/relationships/threadedComment" Target="../threadedComments/threadedComment11.xml"/></Relationships>
</file>

<file path=xl/worksheets/_rels/sheet65.xml.rels><?xml version="1.0" encoding="UTF-8" standalone="yes"?>
<Relationships xmlns="http://schemas.openxmlformats.org/package/2006/relationships"><Relationship Id="rId3" Type="http://schemas.openxmlformats.org/officeDocument/2006/relationships/comments" Target="../comments45.xml"/><Relationship Id="rId2" Type="http://schemas.openxmlformats.org/officeDocument/2006/relationships/vmlDrawing" Target="../drawings/vmlDrawing45.vml"/><Relationship Id="rId1" Type="http://schemas.openxmlformats.org/officeDocument/2006/relationships/printerSettings" Target="../printerSettings/printerSettings63.bin"/><Relationship Id="rId4" Type="http://schemas.microsoft.com/office/2017/10/relationships/threadedComment" Target="../threadedComments/threadedComment12.xml"/></Relationships>
</file>

<file path=xl/worksheets/_rels/sheet66.xml.rels><?xml version="1.0" encoding="UTF-8" standalone="yes"?>
<Relationships xmlns="http://schemas.openxmlformats.org/package/2006/relationships"><Relationship Id="rId3" Type="http://schemas.openxmlformats.org/officeDocument/2006/relationships/comments" Target="../comments46.xml"/><Relationship Id="rId2" Type="http://schemas.openxmlformats.org/officeDocument/2006/relationships/vmlDrawing" Target="../drawings/vmlDrawing46.vml"/><Relationship Id="rId1" Type="http://schemas.openxmlformats.org/officeDocument/2006/relationships/printerSettings" Target="../printerSettings/printerSettings64.bin"/></Relationships>
</file>

<file path=xl/worksheets/_rels/sheet67.xml.rels><?xml version="1.0" encoding="UTF-8" standalone="yes"?>
<Relationships xmlns="http://schemas.openxmlformats.org/package/2006/relationships"><Relationship Id="rId3" Type="http://schemas.openxmlformats.org/officeDocument/2006/relationships/comments" Target="../comments47.xml"/><Relationship Id="rId2" Type="http://schemas.openxmlformats.org/officeDocument/2006/relationships/vmlDrawing" Target="../drawings/vmlDrawing47.vml"/><Relationship Id="rId1" Type="http://schemas.openxmlformats.org/officeDocument/2006/relationships/printerSettings" Target="../printerSettings/printerSettings65.bin"/></Relationships>
</file>

<file path=xl/worksheets/_rels/sheet68.xml.rels><?xml version="1.0" encoding="UTF-8" standalone="yes"?>
<Relationships xmlns="http://schemas.openxmlformats.org/package/2006/relationships"><Relationship Id="rId3" Type="http://schemas.openxmlformats.org/officeDocument/2006/relationships/comments" Target="../comments48.xml"/><Relationship Id="rId2" Type="http://schemas.openxmlformats.org/officeDocument/2006/relationships/vmlDrawing" Target="../drawings/vmlDrawing48.vml"/><Relationship Id="rId1" Type="http://schemas.openxmlformats.org/officeDocument/2006/relationships/printerSettings" Target="../printerSettings/printerSettings66.bin"/><Relationship Id="rId4" Type="http://schemas.microsoft.com/office/2017/10/relationships/threadedComment" Target="../threadedComments/threadedComment13.xml"/></Relationships>
</file>

<file path=xl/worksheets/_rels/sheet69.xml.rels><?xml version="1.0" encoding="UTF-8" standalone="yes"?>
<Relationships xmlns="http://schemas.openxmlformats.org/package/2006/relationships"><Relationship Id="rId3" Type="http://schemas.openxmlformats.org/officeDocument/2006/relationships/comments" Target="../comments49.xml"/><Relationship Id="rId2" Type="http://schemas.openxmlformats.org/officeDocument/2006/relationships/vmlDrawing" Target="../drawings/vmlDrawing49.vml"/><Relationship Id="rId1" Type="http://schemas.openxmlformats.org/officeDocument/2006/relationships/printerSettings" Target="../printerSettings/printerSettings67.bin"/></Relationships>
</file>

<file path=xl/worksheets/_rels/sheet70.xml.rels><?xml version="1.0" encoding="UTF-8" standalone="yes"?>
<Relationships xmlns="http://schemas.openxmlformats.org/package/2006/relationships"><Relationship Id="rId3" Type="http://schemas.openxmlformats.org/officeDocument/2006/relationships/comments" Target="../comments50.xml"/><Relationship Id="rId2" Type="http://schemas.openxmlformats.org/officeDocument/2006/relationships/vmlDrawing" Target="../drawings/vmlDrawing50.vml"/><Relationship Id="rId1" Type="http://schemas.openxmlformats.org/officeDocument/2006/relationships/printerSettings" Target="../printerSettings/printerSettings68.bin"/></Relationships>
</file>

<file path=xl/worksheets/_rels/sheet71.xml.rels><?xml version="1.0" encoding="UTF-8" standalone="yes"?>
<Relationships xmlns="http://schemas.openxmlformats.org/package/2006/relationships"><Relationship Id="rId3" Type="http://schemas.openxmlformats.org/officeDocument/2006/relationships/comments" Target="../comments51.xml"/><Relationship Id="rId2" Type="http://schemas.openxmlformats.org/officeDocument/2006/relationships/vmlDrawing" Target="../drawings/vmlDrawing51.vml"/><Relationship Id="rId1" Type="http://schemas.openxmlformats.org/officeDocument/2006/relationships/printerSettings" Target="../printerSettings/printerSettings69.bin"/></Relationships>
</file>

<file path=xl/worksheets/_rels/sheet72.xml.rels><?xml version="1.0" encoding="UTF-8" standalone="yes"?>
<Relationships xmlns="http://schemas.openxmlformats.org/package/2006/relationships"><Relationship Id="rId3" Type="http://schemas.openxmlformats.org/officeDocument/2006/relationships/comments" Target="../comments52.xml"/><Relationship Id="rId2" Type="http://schemas.openxmlformats.org/officeDocument/2006/relationships/vmlDrawing" Target="../drawings/vmlDrawing52.vml"/><Relationship Id="rId1" Type="http://schemas.openxmlformats.org/officeDocument/2006/relationships/printerSettings" Target="../printerSettings/printerSettings70.bin"/></Relationships>
</file>

<file path=xl/worksheets/_rels/sheet73.xml.rels><?xml version="1.0" encoding="UTF-8" standalone="yes"?>
<Relationships xmlns="http://schemas.openxmlformats.org/package/2006/relationships"><Relationship Id="rId3" Type="http://schemas.openxmlformats.org/officeDocument/2006/relationships/comments" Target="../comments53.xml"/><Relationship Id="rId2" Type="http://schemas.openxmlformats.org/officeDocument/2006/relationships/vmlDrawing" Target="../drawings/vmlDrawing53.vml"/><Relationship Id="rId1" Type="http://schemas.openxmlformats.org/officeDocument/2006/relationships/printerSettings" Target="../printerSettings/printerSettings71.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4.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8.xml.rels><?xml version="1.0" encoding="UTF-8" standalone="yes"?>
<Relationships xmlns="http://schemas.openxmlformats.org/package/2006/relationships"><Relationship Id="rId3" Type="http://schemas.openxmlformats.org/officeDocument/2006/relationships/comments" Target="../comments54.xml"/><Relationship Id="rId2" Type="http://schemas.openxmlformats.org/officeDocument/2006/relationships/vmlDrawing" Target="../drawings/vmlDrawing54.vml"/><Relationship Id="rId1" Type="http://schemas.openxmlformats.org/officeDocument/2006/relationships/printerSettings" Target="../printerSettings/printerSettings76.bin"/><Relationship Id="rId4" Type="http://schemas.microsoft.com/office/2017/10/relationships/threadedComment" Target="../threadedComments/threadedComment14.xml"/></Relationships>
</file>

<file path=xl/worksheets/_rels/sheet79.xml.rels><?xml version="1.0" encoding="UTF-8" standalone="yes"?>
<Relationships xmlns="http://schemas.openxmlformats.org/package/2006/relationships"><Relationship Id="rId3" Type="http://schemas.openxmlformats.org/officeDocument/2006/relationships/comments" Target="../comments55.xml"/><Relationship Id="rId2" Type="http://schemas.openxmlformats.org/officeDocument/2006/relationships/vmlDrawing" Target="../drawings/vmlDrawing55.vml"/><Relationship Id="rId1" Type="http://schemas.openxmlformats.org/officeDocument/2006/relationships/printerSettings" Target="../printerSettings/printerSettings77.bin"/><Relationship Id="rId4" Type="http://schemas.microsoft.com/office/2017/10/relationships/threadedComment" Target="../threadedComments/threadedComment15.xml"/></Relationships>
</file>

<file path=xl/worksheets/_rels/sheet80.xml.rels><?xml version="1.0" encoding="UTF-8" standalone="yes"?>
<Relationships xmlns="http://schemas.openxmlformats.org/package/2006/relationships"><Relationship Id="rId3" Type="http://schemas.openxmlformats.org/officeDocument/2006/relationships/comments" Target="../comments56.xml"/><Relationship Id="rId2" Type="http://schemas.openxmlformats.org/officeDocument/2006/relationships/vmlDrawing" Target="../drawings/vmlDrawing56.vml"/><Relationship Id="rId1" Type="http://schemas.openxmlformats.org/officeDocument/2006/relationships/printerSettings" Target="../printerSettings/printerSettings78.bin"/><Relationship Id="rId4" Type="http://schemas.microsoft.com/office/2017/10/relationships/threadedComment" Target="../threadedComments/threadedComment16.xml"/></Relationships>
</file>

<file path=xl/worksheets/_rels/sheet81.xml.rels><?xml version="1.0" encoding="UTF-8" standalone="yes"?>
<Relationships xmlns="http://schemas.openxmlformats.org/package/2006/relationships"><Relationship Id="rId3" Type="http://schemas.openxmlformats.org/officeDocument/2006/relationships/comments" Target="../comments57.xml"/><Relationship Id="rId2" Type="http://schemas.openxmlformats.org/officeDocument/2006/relationships/vmlDrawing" Target="../drawings/vmlDrawing57.vml"/><Relationship Id="rId1" Type="http://schemas.openxmlformats.org/officeDocument/2006/relationships/printerSettings" Target="../printerSettings/printerSettings79.bin"/><Relationship Id="rId4" Type="http://schemas.microsoft.com/office/2017/10/relationships/threadedComment" Target="../threadedComments/threadedComment17.xml"/></Relationships>
</file>

<file path=xl/worksheets/_rels/sheet82.xml.rels><?xml version="1.0" encoding="UTF-8" standalone="yes"?>
<Relationships xmlns="http://schemas.openxmlformats.org/package/2006/relationships"><Relationship Id="rId3" Type="http://schemas.openxmlformats.org/officeDocument/2006/relationships/comments" Target="../comments58.xml"/><Relationship Id="rId2" Type="http://schemas.openxmlformats.org/officeDocument/2006/relationships/vmlDrawing" Target="../drawings/vmlDrawing58.vml"/><Relationship Id="rId1" Type="http://schemas.openxmlformats.org/officeDocument/2006/relationships/printerSettings" Target="../printerSettings/printerSettings80.bin"/><Relationship Id="rId4" Type="http://schemas.microsoft.com/office/2017/10/relationships/threadedComment" Target="../threadedComments/threadedComment18.xml"/></Relationships>
</file>

<file path=xl/worksheets/_rels/sheet83.xml.rels><?xml version="1.0" encoding="UTF-8" standalone="yes"?>
<Relationships xmlns="http://schemas.openxmlformats.org/package/2006/relationships"><Relationship Id="rId3" Type="http://schemas.openxmlformats.org/officeDocument/2006/relationships/comments" Target="../comments59.xml"/><Relationship Id="rId2" Type="http://schemas.openxmlformats.org/officeDocument/2006/relationships/vmlDrawing" Target="../drawings/vmlDrawing59.vml"/><Relationship Id="rId1" Type="http://schemas.openxmlformats.org/officeDocument/2006/relationships/printerSettings" Target="../printerSettings/printerSettings81.bin"/><Relationship Id="rId4" Type="http://schemas.microsoft.com/office/2017/10/relationships/threadedComment" Target="../threadedComments/threadedComment19.xml"/></Relationships>
</file>

<file path=xl/worksheets/_rels/sheet84.xml.rels><?xml version="1.0" encoding="UTF-8" standalone="yes"?>
<Relationships xmlns="http://schemas.openxmlformats.org/package/2006/relationships"><Relationship Id="rId3" Type="http://schemas.openxmlformats.org/officeDocument/2006/relationships/comments" Target="../comments60.xml"/><Relationship Id="rId2" Type="http://schemas.openxmlformats.org/officeDocument/2006/relationships/vmlDrawing" Target="../drawings/vmlDrawing60.vml"/><Relationship Id="rId1" Type="http://schemas.openxmlformats.org/officeDocument/2006/relationships/printerSettings" Target="../printerSettings/printerSettings82.bin"/></Relationships>
</file>

<file path=xl/worksheets/_rels/sheet85.xml.rels><?xml version="1.0" encoding="UTF-8" standalone="yes"?>
<Relationships xmlns="http://schemas.openxmlformats.org/package/2006/relationships"><Relationship Id="rId3" Type="http://schemas.openxmlformats.org/officeDocument/2006/relationships/comments" Target="../comments61.xml"/><Relationship Id="rId2" Type="http://schemas.openxmlformats.org/officeDocument/2006/relationships/vmlDrawing" Target="../drawings/vmlDrawing61.vml"/><Relationship Id="rId1" Type="http://schemas.openxmlformats.org/officeDocument/2006/relationships/printerSettings" Target="../printerSettings/printerSettings83.bin"/></Relationships>
</file>

<file path=xl/worksheets/_rels/sheet86.xml.rels><?xml version="1.0" encoding="UTF-8" standalone="yes"?>
<Relationships xmlns="http://schemas.openxmlformats.org/package/2006/relationships"><Relationship Id="rId3" Type="http://schemas.openxmlformats.org/officeDocument/2006/relationships/comments" Target="../comments62.xml"/><Relationship Id="rId2" Type="http://schemas.openxmlformats.org/officeDocument/2006/relationships/vmlDrawing" Target="../drawings/vmlDrawing62.vml"/><Relationship Id="rId1" Type="http://schemas.openxmlformats.org/officeDocument/2006/relationships/printerSettings" Target="../printerSettings/printerSettings84.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85.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8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7885F-54F9-48C0-8A0A-E251A3B7C0BB}">
  <sheetPr codeName="Sheet80"/>
  <dimension ref="A1:S155"/>
  <sheetViews>
    <sheetView topLeftCell="G37" zoomScale="85" zoomScaleNormal="85" workbookViewId="0">
      <selection activeCell="M58" sqref="M58:O62"/>
    </sheetView>
  </sheetViews>
  <sheetFormatPr defaultRowHeight="14" x14ac:dyDescent="0.3"/>
  <cols>
    <col min="1" max="1" width="28.58203125" customWidth="1"/>
    <col min="2" max="2" width="35.58203125" customWidth="1"/>
    <col min="3" max="3" width="38.58203125" customWidth="1"/>
    <col min="4" max="4" width="16.58203125" style="634" customWidth="1"/>
    <col min="5" max="5" width="14.58203125" style="636" customWidth="1"/>
    <col min="6" max="6" width="4.9140625" customWidth="1"/>
    <col min="7" max="7" width="18.1640625" customWidth="1"/>
    <col min="8" max="8" width="22.08203125" customWidth="1"/>
    <col min="9" max="9" width="35.5" customWidth="1"/>
    <col min="11" max="11" width="16.33203125" customWidth="1"/>
    <col min="12" max="12" width="22.9140625" customWidth="1"/>
    <col min="13" max="13" width="34.75" customWidth="1"/>
    <col min="14" max="14" width="19.4140625" customWidth="1"/>
    <col min="15" max="15" width="11.33203125" customWidth="1"/>
    <col min="16" max="16" width="14.5" customWidth="1"/>
    <col min="19" max="19" width="14.75" customWidth="1"/>
  </cols>
  <sheetData>
    <row r="1" spans="1:19" ht="16.5" x14ac:dyDescent="0.35">
      <c r="A1" s="1432" t="s">
        <v>510</v>
      </c>
      <c r="B1" s="1433"/>
      <c r="C1" s="1433"/>
      <c r="D1" s="1433"/>
      <c r="E1" s="1433"/>
      <c r="I1" s="1003" t="s">
        <v>753</v>
      </c>
      <c r="M1" s="1003" t="s">
        <v>753</v>
      </c>
    </row>
    <row r="2" spans="1:19" ht="20" customHeight="1" x14ac:dyDescent="0.3">
      <c r="A2" s="632" t="s">
        <v>232</v>
      </c>
      <c r="B2" s="632" t="s">
        <v>511</v>
      </c>
      <c r="C2" s="632" t="s">
        <v>512</v>
      </c>
      <c r="D2" s="633" t="s">
        <v>513</v>
      </c>
      <c r="E2" s="635" t="s">
        <v>514</v>
      </c>
      <c r="I2" s="1434" t="s">
        <v>224</v>
      </c>
      <c r="J2" s="1435"/>
      <c r="K2" s="823" t="s">
        <v>796</v>
      </c>
      <c r="M2" s="880" t="s">
        <v>795</v>
      </c>
      <c r="N2" s="880" t="s">
        <v>798</v>
      </c>
      <c r="O2" s="880" t="s">
        <v>797</v>
      </c>
      <c r="P2" s="880" t="s">
        <v>796</v>
      </c>
    </row>
    <row r="3" spans="1:19" ht="14.5" x14ac:dyDescent="0.35">
      <c r="A3" t="s">
        <v>16</v>
      </c>
      <c r="B3" t="s">
        <v>16</v>
      </c>
      <c r="C3" t="s">
        <v>224</v>
      </c>
      <c r="D3" s="634">
        <v>54185.136897001292</v>
      </c>
      <c r="E3" s="636">
        <v>54.185136897001293</v>
      </c>
      <c r="H3" t="s">
        <v>16</v>
      </c>
      <c r="I3" s="824" t="s">
        <v>16</v>
      </c>
      <c r="J3" s="825">
        <f>VLOOKUP(H3,A:E,4,FALSE)</f>
        <v>54185.136897001292</v>
      </c>
      <c r="K3" s="859"/>
      <c r="M3" s="1105" t="s">
        <v>224</v>
      </c>
      <c r="N3" s="755">
        <f>(SUM(J3:J7)/R3)/S3</f>
        <v>22.501948296193461</v>
      </c>
      <c r="O3" s="60" t="s">
        <v>26</v>
      </c>
      <c r="P3" s="293"/>
      <c r="R3" s="1106">
        <v>0.86</v>
      </c>
      <c r="S3" s="1095">
        <v>10000</v>
      </c>
    </row>
    <row r="4" spans="1:19" ht="14.5" x14ac:dyDescent="0.35">
      <c r="A4" t="s">
        <v>18</v>
      </c>
      <c r="B4" t="s">
        <v>515</v>
      </c>
      <c r="C4" t="s">
        <v>227</v>
      </c>
      <c r="D4" s="634">
        <v>68183.673469387752</v>
      </c>
      <c r="E4" s="636">
        <v>68.183673469387756</v>
      </c>
      <c r="H4" t="s">
        <v>27</v>
      </c>
      <c r="I4" s="824" t="s">
        <v>27</v>
      </c>
      <c r="J4" s="825">
        <f>VLOOKUP(H4,A:E,4,FALSE)</f>
        <v>44628.422425032586</v>
      </c>
      <c r="K4" s="859"/>
      <c r="M4" s="1105" t="s">
        <v>571</v>
      </c>
      <c r="N4" s="755">
        <f>(SUM(J10:J12)/R4)/S4</f>
        <v>15.425107105779368</v>
      </c>
      <c r="O4" s="60" t="s">
        <v>26</v>
      </c>
      <c r="P4" s="293"/>
      <c r="R4" s="1106">
        <v>0.55000000000000004</v>
      </c>
      <c r="S4" s="1095">
        <v>18000</v>
      </c>
    </row>
    <row r="5" spans="1:19" ht="14.5" x14ac:dyDescent="0.35">
      <c r="A5" t="s">
        <v>22</v>
      </c>
      <c r="B5" t="s">
        <v>22</v>
      </c>
      <c r="C5" t="s">
        <v>229</v>
      </c>
      <c r="D5" s="634">
        <v>68944.444444444438</v>
      </c>
      <c r="E5" s="636">
        <v>68.944444444444443</v>
      </c>
      <c r="H5" t="s">
        <v>29</v>
      </c>
      <c r="I5" s="824" t="s">
        <v>29</v>
      </c>
      <c r="J5" s="825">
        <f>VLOOKUP(H5,A:E,4,FALSE)</f>
        <v>38915.254237288136</v>
      </c>
      <c r="K5" s="859"/>
      <c r="M5" s="1105" t="s">
        <v>229</v>
      </c>
      <c r="N5" s="755">
        <f>(J15/R5)/S5</f>
        <v>14.66903073286052</v>
      </c>
      <c r="O5" s="60" t="s">
        <v>26</v>
      </c>
      <c r="P5" s="293"/>
      <c r="R5" s="1106">
        <v>0.47</v>
      </c>
      <c r="S5" s="1095">
        <v>10000</v>
      </c>
    </row>
    <row r="6" spans="1:19" ht="14.5" x14ac:dyDescent="0.35">
      <c r="A6" t="s">
        <v>20</v>
      </c>
      <c r="B6" t="s">
        <v>299</v>
      </c>
      <c r="C6" t="s">
        <v>227</v>
      </c>
      <c r="D6" s="634">
        <v>38325.791855203606</v>
      </c>
      <c r="E6" s="636">
        <v>38.325791855203605</v>
      </c>
      <c r="H6" t="s">
        <v>33</v>
      </c>
      <c r="I6" s="824" t="s">
        <v>33</v>
      </c>
      <c r="J6" s="825">
        <f>VLOOKUP(H6,A:E,4,FALSE)</f>
        <v>31923.076923076922</v>
      </c>
      <c r="K6" s="859"/>
    </row>
    <row r="7" spans="1:19" ht="14.5" x14ac:dyDescent="0.35">
      <c r="A7" t="s">
        <v>24</v>
      </c>
      <c r="B7" t="s">
        <v>308</v>
      </c>
      <c r="C7" t="s">
        <v>227</v>
      </c>
      <c r="D7" s="634">
        <v>46199.095022624424</v>
      </c>
      <c r="E7" s="636">
        <v>46.199095022624427</v>
      </c>
      <c r="H7" t="s">
        <v>31</v>
      </c>
      <c r="I7" s="824" t="s">
        <v>570</v>
      </c>
      <c r="J7" s="825">
        <f>VLOOKUP(H7,A:E,4,FALSE)</f>
        <v>23864.864864864867</v>
      </c>
      <c r="K7" s="859"/>
    </row>
    <row r="8" spans="1:19" ht="14.5" x14ac:dyDescent="0.35">
      <c r="A8" t="s">
        <v>27</v>
      </c>
      <c r="B8" t="s">
        <v>27</v>
      </c>
      <c r="C8" t="s">
        <v>224</v>
      </c>
      <c r="D8" s="634">
        <v>44628.422425032586</v>
      </c>
      <c r="E8" s="636">
        <v>44.628422425032589</v>
      </c>
      <c r="I8" s="842"/>
      <c r="J8" s="842"/>
      <c r="K8" s="842"/>
    </row>
    <row r="9" spans="1:19" x14ac:dyDescent="0.3">
      <c r="A9" t="s">
        <v>29</v>
      </c>
      <c r="B9" t="s">
        <v>29</v>
      </c>
      <c r="C9" t="s">
        <v>224</v>
      </c>
      <c r="D9" s="634">
        <v>38915.254237288136</v>
      </c>
      <c r="E9" s="636">
        <v>38.915254237288138</v>
      </c>
      <c r="I9" s="1434" t="s">
        <v>571</v>
      </c>
      <c r="J9" s="1435"/>
      <c r="K9" s="823" t="s">
        <v>796</v>
      </c>
    </row>
    <row r="10" spans="1:19" ht="14.5" x14ac:dyDescent="0.35">
      <c r="A10" t="s">
        <v>33</v>
      </c>
      <c r="B10" t="s">
        <v>338</v>
      </c>
      <c r="C10" t="s">
        <v>224</v>
      </c>
      <c r="D10" s="634">
        <v>31923.076923076922</v>
      </c>
      <c r="E10" s="636">
        <v>31.923076923076923</v>
      </c>
      <c r="H10" t="s">
        <v>18</v>
      </c>
      <c r="I10" s="824" t="s">
        <v>515</v>
      </c>
      <c r="J10" s="825">
        <f>VLOOKUP(H10,A:E,4,FALSE)</f>
        <v>68183.673469387752</v>
      </c>
      <c r="K10" s="859"/>
    </row>
    <row r="11" spans="1:19" ht="14.5" x14ac:dyDescent="0.35">
      <c r="A11" t="s">
        <v>31</v>
      </c>
      <c r="B11" t="s">
        <v>320</v>
      </c>
      <c r="C11" t="s">
        <v>224</v>
      </c>
      <c r="D11" s="634">
        <v>23864.864864864867</v>
      </c>
      <c r="E11" s="636">
        <v>23.864864864864867</v>
      </c>
      <c r="H11" t="s">
        <v>20</v>
      </c>
      <c r="I11" s="824" t="s">
        <v>299</v>
      </c>
      <c r="J11" s="825">
        <f>VLOOKUP(H11,A:E,4,FALSE)</f>
        <v>38325.791855203606</v>
      </c>
      <c r="K11" s="859"/>
    </row>
    <row r="12" spans="1:19" ht="14.5" x14ac:dyDescent="0.35">
      <c r="A12" t="s">
        <v>43</v>
      </c>
      <c r="B12" t="s">
        <v>43</v>
      </c>
      <c r="C12" t="s">
        <v>224</v>
      </c>
      <c r="D12" s="634">
        <v>62020.860495436747</v>
      </c>
      <c r="E12" s="636">
        <v>62.02086049543675</v>
      </c>
      <c r="H12" t="s">
        <v>24</v>
      </c>
      <c r="I12" s="824" t="s">
        <v>24</v>
      </c>
      <c r="J12" s="825">
        <f>VLOOKUP(H12,A:E,4,FALSE)</f>
        <v>46199.095022624424</v>
      </c>
      <c r="K12" s="859"/>
    </row>
    <row r="13" spans="1:19" ht="14.5" x14ac:dyDescent="0.35">
      <c r="A13" t="s">
        <v>860</v>
      </c>
      <c r="B13" t="s">
        <v>860</v>
      </c>
      <c r="C13" t="s">
        <v>229</v>
      </c>
      <c r="D13" s="634">
        <v>88981.481481481474</v>
      </c>
      <c r="E13" s="636">
        <v>88.981481481481481</v>
      </c>
      <c r="I13" s="842"/>
      <c r="J13" s="842"/>
      <c r="K13" s="842"/>
    </row>
    <row r="14" spans="1:19" x14ac:dyDescent="0.3">
      <c r="A14" t="s">
        <v>46</v>
      </c>
      <c r="B14" t="s">
        <v>46</v>
      </c>
      <c r="C14" t="s">
        <v>224</v>
      </c>
      <c r="D14" s="634">
        <v>42803.129074315511</v>
      </c>
      <c r="E14" s="636">
        <v>42.803129074315514</v>
      </c>
      <c r="I14" s="1434" t="s">
        <v>229</v>
      </c>
      <c r="J14" s="1435"/>
      <c r="K14" s="823" t="s">
        <v>796</v>
      </c>
    </row>
    <row r="15" spans="1:19" ht="14.5" x14ac:dyDescent="0.35">
      <c r="A15" t="s">
        <v>48</v>
      </c>
      <c r="B15" t="s">
        <v>48</v>
      </c>
      <c r="C15" t="s">
        <v>224</v>
      </c>
      <c r="D15" s="634">
        <v>60534.550195567128</v>
      </c>
      <c r="E15" s="636">
        <v>60.534550195567128</v>
      </c>
      <c r="H15" t="s">
        <v>22</v>
      </c>
      <c r="I15" s="824" t="s">
        <v>22</v>
      </c>
      <c r="J15" s="825">
        <f>VLOOKUP(H15,A:E,4,FALSE)</f>
        <v>68944.444444444438</v>
      </c>
      <c r="K15" s="859"/>
    </row>
    <row r="16" spans="1:19" x14ac:dyDescent="0.3">
      <c r="A16" t="s">
        <v>51</v>
      </c>
      <c r="B16" t="s">
        <v>51</v>
      </c>
      <c r="C16" t="s">
        <v>227</v>
      </c>
      <c r="D16" s="634">
        <v>29788.838612368021</v>
      </c>
      <c r="E16" s="636">
        <v>29.788838612368021</v>
      </c>
    </row>
    <row r="17" spans="1:19" x14ac:dyDescent="0.3">
      <c r="A17" t="s">
        <v>53</v>
      </c>
      <c r="B17" t="s">
        <v>53</v>
      </c>
      <c r="C17" t="s">
        <v>224</v>
      </c>
      <c r="D17" s="634">
        <v>31382.00782268578</v>
      </c>
      <c r="E17" s="636">
        <v>31.382007822685779</v>
      </c>
      <c r="I17" s="837"/>
      <c r="J17" s="837"/>
      <c r="K17" s="837"/>
    </row>
    <row r="18" spans="1:19" x14ac:dyDescent="0.3">
      <c r="A18" t="s">
        <v>54</v>
      </c>
      <c r="B18" t="s">
        <v>54</v>
      </c>
      <c r="C18" t="s">
        <v>507</v>
      </c>
      <c r="D18" s="634">
        <v>29160</v>
      </c>
      <c r="E18" s="636">
        <v>29.16</v>
      </c>
      <c r="I18" s="1003" t="s">
        <v>754</v>
      </c>
      <c r="M18" s="1003" t="s">
        <v>754</v>
      </c>
    </row>
    <row r="19" spans="1:19" ht="14.5" x14ac:dyDescent="0.35">
      <c r="A19" t="s">
        <v>57</v>
      </c>
      <c r="B19" t="s">
        <v>648</v>
      </c>
      <c r="C19" t="s">
        <v>227</v>
      </c>
      <c r="D19" s="634">
        <v>87867.924528301883</v>
      </c>
      <c r="E19" s="636">
        <v>87.867924528301884</v>
      </c>
      <c r="I19" s="1430" t="s">
        <v>224</v>
      </c>
      <c r="J19" s="1424"/>
      <c r="K19" s="823" t="s">
        <v>796</v>
      </c>
      <c r="M19" s="880" t="s">
        <v>795</v>
      </c>
      <c r="N19" s="880" t="s">
        <v>798</v>
      </c>
      <c r="O19" s="880" t="s">
        <v>797</v>
      </c>
      <c r="P19" s="880" t="s">
        <v>796</v>
      </c>
    </row>
    <row r="20" spans="1:19" ht="14.5" x14ac:dyDescent="0.35">
      <c r="A20" t="s">
        <v>59</v>
      </c>
      <c r="B20" t="s">
        <v>381</v>
      </c>
      <c r="C20" t="s">
        <v>224</v>
      </c>
      <c r="D20" s="634">
        <v>33884.870205128202</v>
      </c>
      <c r="E20" s="636">
        <v>33.884870205128202</v>
      </c>
      <c r="H20" t="s">
        <v>43</v>
      </c>
      <c r="I20" s="824" t="s">
        <v>43</v>
      </c>
      <c r="J20" s="825">
        <f>VLOOKUP(H20,A:E,4,FALSE)</f>
        <v>62020.860495436747</v>
      </c>
      <c r="K20" s="859"/>
      <c r="M20" s="1105" t="s">
        <v>224</v>
      </c>
      <c r="N20" s="755">
        <f>(SUM(J20:J23)/R20)/S20</f>
        <v>22.876807859070368</v>
      </c>
      <c r="O20" s="60" t="s">
        <v>26</v>
      </c>
      <c r="P20" s="293"/>
      <c r="R20" s="1106">
        <v>0.86</v>
      </c>
      <c r="S20" s="1095">
        <v>10000</v>
      </c>
    </row>
    <row r="21" spans="1:19" ht="14.5" x14ac:dyDescent="0.35">
      <c r="A21" t="s">
        <v>60</v>
      </c>
      <c r="B21" t="s">
        <v>382</v>
      </c>
      <c r="C21" t="s">
        <v>224</v>
      </c>
      <c r="D21" s="634">
        <v>33415.906127770526</v>
      </c>
      <c r="E21" s="636">
        <v>33.415906127770526</v>
      </c>
      <c r="H21" t="s">
        <v>46</v>
      </c>
      <c r="I21" s="824" t="s">
        <v>46</v>
      </c>
      <c r="J21" s="825">
        <f>VLOOKUP(H21,A:E,4,FALSE)</f>
        <v>42803.129074315511</v>
      </c>
      <c r="K21" s="859"/>
      <c r="M21" s="1105" t="s">
        <v>571</v>
      </c>
      <c r="N21" s="755">
        <f>(SUM(J26:J27)/R21)/S21</f>
        <v>11.884521529360596</v>
      </c>
      <c r="O21" s="60" t="s">
        <v>26</v>
      </c>
      <c r="P21" s="293"/>
      <c r="R21" s="1106">
        <v>0.55000000000000004</v>
      </c>
      <c r="S21" s="1095">
        <v>18000</v>
      </c>
    </row>
    <row r="22" spans="1:19" ht="14.5" x14ac:dyDescent="0.35">
      <c r="A22" t="s">
        <v>66</v>
      </c>
      <c r="B22" t="s">
        <v>66</v>
      </c>
      <c r="C22" t="s">
        <v>224</v>
      </c>
      <c r="D22" s="634">
        <v>56505.86701434158</v>
      </c>
      <c r="E22" s="636">
        <v>56.505867014341582</v>
      </c>
      <c r="H22" t="s">
        <v>48</v>
      </c>
      <c r="I22" s="824" t="s">
        <v>48</v>
      </c>
      <c r="J22" s="825">
        <f>VLOOKUP(H22,A:E,4,FALSE)</f>
        <v>60534.550195567128</v>
      </c>
      <c r="K22" s="859"/>
      <c r="M22" s="1105" t="s">
        <v>507</v>
      </c>
      <c r="N22" s="755">
        <f>(J30/R22)/S22</f>
        <v>30.061855670103093</v>
      </c>
      <c r="O22" s="60" t="s">
        <v>45</v>
      </c>
      <c r="P22" s="293"/>
      <c r="R22" s="1106">
        <v>0.97</v>
      </c>
      <c r="S22" s="1095">
        <v>1000</v>
      </c>
    </row>
    <row r="23" spans="1:19" ht="14.5" x14ac:dyDescent="0.35">
      <c r="A23" t="s">
        <v>68</v>
      </c>
      <c r="B23" t="s">
        <v>386</v>
      </c>
      <c r="C23" t="s">
        <v>230</v>
      </c>
      <c r="D23" s="634">
        <v>47466.84350132625</v>
      </c>
      <c r="E23" s="636">
        <v>47.466843501326252</v>
      </c>
      <c r="H23" t="s">
        <v>53</v>
      </c>
      <c r="I23" s="824" t="s">
        <v>53</v>
      </c>
      <c r="J23" s="825">
        <f>VLOOKUP(H23,A:E,4,FALSE)</f>
        <v>31382.00782268578</v>
      </c>
      <c r="K23" s="859"/>
      <c r="M23" s="1105" t="s">
        <v>229</v>
      </c>
      <c r="N23" s="755">
        <f>(J33/R23)/S23</f>
        <v>18.932230102442869</v>
      </c>
      <c r="O23" s="60" t="s">
        <v>26</v>
      </c>
      <c r="P23" s="293"/>
      <c r="R23" s="1106">
        <v>0.47</v>
      </c>
      <c r="S23" s="1095">
        <v>10000</v>
      </c>
    </row>
    <row r="24" spans="1:19" ht="14.5" x14ac:dyDescent="0.35">
      <c r="A24" t="s">
        <v>872</v>
      </c>
      <c r="B24" t="s">
        <v>873</v>
      </c>
      <c r="C24" t="s">
        <v>229</v>
      </c>
      <c r="D24" s="634">
        <v>73907.407407407401</v>
      </c>
      <c r="E24" s="636">
        <v>73.907407407407405</v>
      </c>
      <c r="I24" s="842"/>
      <c r="J24" s="842"/>
      <c r="K24" s="842"/>
    </row>
    <row r="25" spans="1:19" ht="14.5" x14ac:dyDescent="0.35">
      <c r="A25" t="s">
        <v>74</v>
      </c>
      <c r="B25" t="s">
        <v>74</v>
      </c>
      <c r="C25" t="s">
        <v>230</v>
      </c>
      <c r="D25" s="634">
        <v>31882.970757575753</v>
      </c>
      <c r="E25" s="636">
        <v>31.882970757575752</v>
      </c>
      <c r="I25" s="1430" t="s">
        <v>571</v>
      </c>
      <c r="J25" s="1424"/>
      <c r="K25" s="823" t="s">
        <v>796</v>
      </c>
    </row>
    <row r="26" spans="1:19" ht="14.5" x14ac:dyDescent="0.35">
      <c r="A26" t="s">
        <v>75</v>
      </c>
      <c r="B26" t="s">
        <v>393</v>
      </c>
      <c r="C26" t="s">
        <v>227</v>
      </c>
      <c r="D26" s="634">
        <v>53810.793877551019</v>
      </c>
      <c r="E26" s="636">
        <v>53.810793877551021</v>
      </c>
      <c r="H26" t="s">
        <v>51</v>
      </c>
      <c r="I26" s="824" t="s">
        <v>51</v>
      </c>
      <c r="J26" s="825">
        <f>VLOOKUP(H26,A:E,4,FALSE)</f>
        <v>29788.838612368021</v>
      </c>
      <c r="K26" s="859"/>
    </row>
    <row r="27" spans="1:19" ht="14.5" x14ac:dyDescent="0.35">
      <c r="A27" t="s">
        <v>728</v>
      </c>
      <c r="B27" t="s">
        <v>722</v>
      </c>
      <c r="C27" t="s">
        <v>230</v>
      </c>
      <c r="D27" s="634">
        <v>12053.04545454545</v>
      </c>
      <c r="E27" s="636">
        <v>12.053045454545451</v>
      </c>
      <c r="H27" t="s">
        <v>57</v>
      </c>
      <c r="I27" s="824" t="s">
        <v>57</v>
      </c>
      <c r="J27" s="825">
        <f>VLOOKUP(H27,A:E,4,FALSE)</f>
        <v>87867.924528301883</v>
      </c>
      <c r="K27" s="859"/>
    </row>
    <row r="28" spans="1:19" ht="14.5" x14ac:dyDescent="0.35">
      <c r="A28" t="s">
        <v>77</v>
      </c>
      <c r="B28" t="s">
        <v>397</v>
      </c>
      <c r="C28" t="s">
        <v>224</v>
      </c>
      <c r="D28" s="634">
        <v>24887.096774193549</v>
      </c>
      <c r="E28" s="636">
        <v>24.887096774193548</v>
      </c>
      <c r="I28" s="842"/>
      <c r="J28" s="842"/>
      <c r="K28" s="842"/>
      <c r="M28" s="1"/>
      <c r="N28" s="1"/>
      <c r="O28" s="1106"/>
      <c r="P28" s="1095"/>
      <c r="Q28" s="4"/>
    </row>
    <row r="29" spans="1:19" ht="14.5" x14ac:dyDescent="0.35">
      <c r="A29" t="s">
        <v>78</v>
      </c>
      <c r="B29" t="s">
        <v>320</v>
      </c>
      <c r="C29" t="s">
        <v>224</v>
      </c>
      <c r="D29" s="634">
        <v>29400.584795321636</v>
      </c>
      <c r="E29" s="636">
        <v>29.400584795321635</v>
      </c>
      <c r="I29" s="1430" t="s">
        <v>507</v>
      </c>
      <c r="J29" s="1424"/>
      <c r="K29" s="823" t="s">
        <v>796</v>
      </c>
      <c r="M29" s="1"/>
      <c r="N29" s="1"/>
      <c r="O29" s="1106"/>
      <c r="P29" s="1095"/>
      <c r="Q29" s="4"/>
    </row>
    <row r="30" spans="1:19" ht="14.5" x14ac:dyDescent="0.35">
      <c r="A30" t="s">
        <v>79</v>
      </c>
      <c r="B30" t="s">
        <v>516</v>
      </c>
      <c r="C30" t="s">
        <v>224</v>
      </c>
      <c r="D30" s="634">
        <v>15333.333333333334</v>
      </c>
      <c r="E30" s="636">
        <v>15.333333333333334</v>
      </c>
      <c r="H30" t="s">
        <v>54</v>
      </c>
      <c r="I30" s="824" t="s">
        <v>54</v>
      </c>
      <c r="J30" s="825">
        <f>VLOOKUP(H30,A:E,4,FALSE)</f>
        <v>29160</v>
      </c>
      <c r="K30" s="859"/>
      <c r="M30" s="1"/>
      <c r="N30" s="1"/>
      <c r="O30" s="1106"/>
      <c r="P30" s="1095"/>
      <c r="Q30" s="4"/>
    </row>
    <row r="31" spans="1:19" ht="14.5" x14ac:dyDescent="0.35">
      <c r="A31" t="s">
        <v>82</v>
      </c>
      <c r="B31" t="s">
        <v>82</v>
      </c>
      <c r="C31" t="s">
        <v>224</v>
      </c>
      <c r="D31" s="634">
        <v>19029.491525423728</v>
      </c>
      <c r="E31" s="636">
        <v>19.029491525423726</v>
      </c>
      <c r="I31" s="842"/>
      <c r="J31" s="842"/>
      <c r="K31" s="842"/>
      <c r="M31" s="1"/>
      <c r="N31" s="1"/>
      <c r="O31" s="1106"/>
      <c r="P31" s="1095"/>
      <c r="Q31" s="4"/>
    </row>
    <row r="32" spans="1:19" ht="14.5" x14ac:dyDescent="0.35">
      <c r="A32" t="s">
        <v>92</v>
      </c>
      <c r="B32" t="s">
        <v>405</v>
      </c>
      <c r="C32" t="s">
        <v>224</v>
      </c>
      <c r="D32" s="634">
        <v>52912.949152542373</v>
      </c>
      <c r="E32" s="636">
        <v>52.912949152542375</v>
      </c>
      <c r="I32" s="1430" t="s">
        <v>229</v>
      </c>
      <c r="J32" s="1424"/>
      <c r="K32" s="823" t="s">
        <v>796</v>
      </c>
      <c r="M32" s="1"/>
      <c r="N32" s="1"/>
      <c r="O32" s="1106"/>
      <c r="P32" s="1095"/>
      <c r="Q32" s="4"/>
    </row>
    <row r="33" spans="1:19" ht="14.5" x14ac:dyDescent="0.35">
      <c r="A33" t="s">
        <v>97</v>
      </c>
      <c r="B33" t="s">
        <v>97</v>
      </c>
      <c r="C33" t="s">
        <v>224</v>
      </c>
      <c r="D33" s="634">
        <v>34500</v>
      </c>
      <c r="E33" s="636">
        <v>34.5</v>
      </c>
      <c r="H33" t="s">
        <v>860</v>
      </c>
      <c r="I33" s="824" t="s">
        <v>860</v>
      </c>
      <c r="J33" s="825">
        <f>VLOOKUP(H33,A:E,4,FALSE)</f>
        <v>88981.481481481474</v>
      </c>
      <c r="K33" s="859"/>
      <c r="M33" s="1"/>
      <c r="N33" s="1"/>
      <c r="O33" s="1106"/>
      <c r="P33" s="1095"/>
      <c r="Q33" s="4"/>
    </row>
    <row r="34" spans="1:19" x14ac:dyDescent="0.3">
      <c r="A34" t="s">
        <v>99</v>
      </c>
      <c r="B34" t="s">
        <v>413</v>
      </c>
      <c r="C34" t="s">
        <v>227</v>
      </c>
      <c r="D34" s="634">
        <v>47616.892911010546</v>
      </c>
      <c r="E34" s="636">
        <v>47.616892911010545</v>
      </c>
      <c r="I34" s="837"/>
      <c r="J34" s="837"/>
      <c r="K34" s="837"/>
      <c r="M34" s="1"/>
      <c r="N34" s="1"/>
      <c r="O34" s="1106"/>
      <c r="P34" s="1095"/>
      <c r="Q34" s="4"/>
    </row>
    <row r="35" spans="1:19" x14ac:dyDescent="0.3">
      <c r="A35" t="s">
        <v>103</v>
      </c>
      <c r="B35" t="s">
        <v>103</v>
      </c>
      <c r="C35" t="s">
        <v>227</v>
      </c>
      <c r="D35" s="634">
        <v>38205.128205128196</v>
      </c>
      <c r="E35" s="636">
        <v>38.205128205128197</v>
      </c>
      <c r="M35" s="1"/>
      <c r="N35" s="1"/>
      <c r="O35" s="1106"/>
      <c r="P35" s="1095"/>
      <c r="Q35" s="4"/>
    </row>
    <row r="36" spans="1:19" x14ac:dyDescent="0.3">
      <c r="A36" t="s">
        <v>105</v>
      </c>
      <c r="B36" t="s">
        <v>105</v>
      </c>
      <c r="C36" t="s">
        <v>224</v>
      </c>
      <c r="D36" s="634">
        <v>66710.875331564966</v>
      </c>
      <c r="E36" s="636">
        <v>66.710875331564964</v>
      </c>
      <c r="I36" s="1003" t="s">
        <v>755</v>
      </c>
      <c r="M36" s="1003" t="s">
        <v>755</v>
      </c>
    </row>
    <row r="37" spans="1:19" ht="14.5" x14ac:dyDescent="0.35">
      <c r="A37" t="s">
        <v>107</v>
      </c>
      <c r="B37" t="s">
        <v>107</v>
      </c>
      <c r="C37" t="s">
        <v>227</v>
      </c>
      <c r="D37" s="634">
        <v>25867.269984917039</v>
      </c>
      <c r="E37" s="636">
        <v>25.867269984917037</v>
      </c>
      <c r="I37" s="1428" t="s">
        <v>224</v>
      </c>
      <c r="J37" s="1431"/>
      <c r="K37" s="823" t="s">
        <v>796</v>
      </c>
      <c r="M37" s="880" t="s">
        <v>795</v>
      </c>
      <c r="N37" s="880" t="s">
        <v>798</v>
      </c>
      <c r="O37" s="880" t="s">
        <v>797</v>
      </c>
      <c r="P37" s="880" t="s">
        <v>796</v>
      </c>
    </row>
    <row r="38" spans="1:19" ht="14.5" x14ac:dyDescent="0.35">
      <c r="A38" t="s">
        <v>865</v>
      </c>
      <c r="B38" t="s">
        <v>865</v>
      </c>
      <c r="C38" t="s">
        <v>229</v>
      </c>
      <c r="D38" s="634">
        <v>89796.296296296292</v>
      </c>
      <c r="E38" s="636">
        <v>89.796296296296291</v>
      </c>
      <c r="H38" t="s">
        <v>59</v>
      </c>
      <c r="I38" s="881" t="s">
        <v>59</v>
      </c>
      <c r="J38" s="825">
        <f>VLOOKUP(H38,A:E,4,FALSE)</f>
        <v>33884.870205128202</v>
      </c>
      <c r="K38" s="882"/>
      <c r="M38" s="1105" t="s">
        <v>224</v>
      </c>
      <c r="N38" s="755">
        <f>(SUM(J38:J44)/R38)/S38</f>
        <v>24.704319741338672</v>
      </c>
      <c r="O38" s="60" t="s">
        <v>26</v>
      </c>
      <c r="P38" s="293"/>
      <c r="R38" s="1106">
        <v>0.86</v>
      </c>
      <c r="S38" s="1095">
        <v>10000</v>
      </c>
    </row>
    <row r="39" spans="1:19" ht="14.5" x14ac:dyDescent="0.35">
      <c r="A39" t="s">
        <v>495</v>
      </c>
      <c r="B39" t="s">
        <v>497</v>
      </c>
      <c r="C39" t="s">
        <v>224</v>
      </c>
      <c r="D39" s="634">
        <v>47741.379310344833</v>
      </c>
      <c r="E39" s="636">
        <v>47.741379310344833</v>
      </c>
      <c r="H39" t="s">
        <v>60</v>
      </c>
      <c r="I39" s="881" t="s">
        <v>60</v>
      </c>
      <c r="J39" s="825">
        <f t="shared" ref="J39:J44" si="0">VLOOKUP(H39,A:E,4,FALSE)</f>
        <v>33415.906127770526</v>
      </c>
      <c r="K39" s="882"/>
      <c r="M39" s="1105" t="s">
        <v>571</v>
      </c>
      <c r="N39" s="755">
        <f>(J55/R39)/S39</f>
        <v>5.4354337250051534</v>
      </c>
      <c r="O39" s="60" t="s">
        <v>26</v>
      </c>
      <c r="P39" s="293"/>
      <c r="R39" s="1106">
        <v>0.55000000000000004</v>
      </c>
      <c r="S39" s="1095">
        <v>18000</v>
      </c>
    </row>
    <row r="40" spans="1:19" ht="14.5" x14ac:dyDescent="0.35">
      <c r="A40" t="s">
        <v>113</v>
      </c>
      <c r="B40" t="s">
        <v>428</v>
      </c>
      <c r="C40" t="s">
        <v>224</v>
      </c>
      <c r="D40" s="634">
        <v>26841.269841269841</v>
      </c>
      <c r="E40" s="636">
        <v>26.841269841269842</v>
      </c>
      <c r="H40" t="s">
        <v>66</v>
      </c>
      <c r="I40" s="881" t="s">
        <v>66</v>
      </c>
      <c r="J40" s="825">
        <f t="shared" si="0"/>
        <v>56505.86701434158</v>
      </c>
      <c r="K40" s="882"/>
      <c r="M40" s="1105" t="s">
        <v>573</v>
      </c>
      <c r="N40" s="755">
        <f>(SUM(J47:J49)/R40)/S40</f>
        <v>92.326120922674193</v>
      </c>
      <c r="O40" s="60" t="s">
        <v>45</v>
      </c>
      <c r="P40" s="293"/>
      <c r="R40" s="1106">
        <v>0.99</v>
      </c>
      <c r="S40" s="1095">
        <v>1000</v>
      </c>
    </row>
    <row r="41" spans="1:19" ht="14.5" x14ac:dyDescent="0.35">
      <c r="A41" t="s">
        <v>118</v>
      </c>
      <c r="B41" t="s">
        <v>118</v>
      </c>
      <c r="C41" t="s">
        <v>224</v>
      </c>
      <c r="D41" s="634">
        <v>27483.702737940021</v>
      </c>
      <c r="E41" s="636">
        <v>27.483702737940021</v>
      </c>
      <c r="H41" t="s">
        <v>77</v>
      </c>
      <c r="I41" s="881" t="s">
        <v>569</v>
      </c>
      <c r="J41" s="825">
        <f t="shared" si="0"/>
        <v>24887.096774193549</v>
      </c>
      <c r="K41" s="882"/>
      <c r="M41" s="1105" t="s">
        <v>229</v>
      </c>
      <c r="N41" s="755">
        <f>(J52/R41)/S41</f>
        <v>15.724980299448385</v>
      </c>
      <c r="O41" s="60" t="s">
        <v>26</v>
      </c>
      <c r="P41" s="293"/>
      <c r="R41" s="1106">
        <v>0.47</v>
      </c>
      <c r="S41" s="1095">
        <v>10000</v>
      </c>
    </row>
    <row r="42" spans="1:19" ht="14.5" x14ac:dyDescent="0.35">
      <c r="A42" t="s">
        <v>124</v>
      </c>
      <c r="B42" t="s">
        <v>124</v>
      </c>
      <c r="C42" t="s">
        <v>224</v>
      </c>
      <c r="D42" s="634">
        <v>28046.271186440685</v>
      </c>
      <c r="E42" s="636">
        <v>28.046271186440684</v>
      </c>
      <c r="H42" t="s">
        <v>78</v>
      </c>
      <c r="I42" s="881" t="s">
        <v>570</v>
      </c>
      <c r="J42" s="825">
        <f t="shared" si="0"/>
        <v>29400.584795321636</v>
      </c>
      <c r="K42" s="882"/>
    </row>
    <row r="43" spans="1:19" ht="14.5" x14ac:dyDescent="0.35">
      <c r="A43" t="s">
        <v>126</v>
      </c>
      <c r="B43" t="s">
        <v>126</v>
      </c>
      <c r="C43" t="s">
        <v>224</v>
      </c>
      <c r="D43" s="634">
        <v>67515.593220338997</v>
      </c>
      <c r="E43" s="636">
        <v>67.515593220338999</v>
      </c>
      <c r="H43" t="s">
        <v>79</v>
      </c>
      <c r="I43" s="881" t="s">
        <v>79</v>
      </c>
      <c r="J43" s="825">
        <f t="shared" si="0"/>
        <v>15333.333333333334</v>
      </c>
      <c r="K43" s="882"/>
    </row>
    <row r="44" spans="1:19" ht="14.5" x14ac:dyDescent="0.35">
      <c r="A44" t="s">
        <v>128</v>
      </c>
      <c r="B44" t="s">
        <v>128</v>
      </c>
      <c r="C44" t="s">
        <v>230</v>
      </c>
      <c r="D44" s="634">
        <v>40948.275862068971</v>
      </c>
      <c r="E44" s="636">
        <v>40.948275862068968</v>
      </c>
      <c r="H44" t="s">
        <v>82</v>
      </c>
      <c r="I44" s="881" t="s">
        <v>82</v>
      </c>
      <c r="J44" s="825">
        <f t="shared" si="0"/>
        <v>19029.491525423728</v>
      </c>
      <c r="K44" s="882"/>
    </row>
    <row r="45" spans="1:19" ht="14.5" x14ac:dyDescent="0.35">
      <c r="A45" t="s">
        <v>866</v>
      </c>
      <c r="B45" t="s">
        <v>866</v>
      </c>
      <c r="C45" t="s">
        <v>229</v>
      </c>
      <c r="D45" s="634">
        <v>76222.222222222219</v>
      </c>
      <c r="E45" s="636">
        <v>76.222222222222214</v>
      </c>
      <c r="I45" s="882"/>
      <c r="J45" s="882"/>
      <c r="K45" s="882"/>
    </row>
    <row r="46" spans="1:19" ht="14.5" x14ac:dyDescent="0.35">
      <c r="A46" t="s">
        <v>131</v>
      </c>
      <c r="B46" t="s">
        <v>131</v>
      </c>
      <c r="C46" t="s">
        <v>230</v>
      </c>
      <c r="D46" s="634">
        <v>25835.543766578259</v>
      </c>
      <c r="E46" s="636">
        <v>25.835543766578258</v>
      </c>
      <c r="I46" s="1428" t="s">
        <v>573</v>
      </c>
      <c r="J46" s="1431"/>
      <c r="K46" s="823" t="s">
        <v>796</v>
      </c>
    </row>
    <row r="47" spans="1:19" ht="14.5" x14ac:dyDescent="0.35">
      <c r="A47" t="s">
        <v>133</v>
      </c>
      <c r="B47" t="s">
        <v>133</v>
      </c>
      <c r="C47" t="s">
        <v>224</v>
      </c>
      <c r="D47" s="634">
        <v>34263.363754889171</v>
      </c>
      <c r="E47" s="636">
        <v>34.26336375488917</v>
      </c>
      <c r="H47" t="s">
        <v>68</v>
      </c>
      <c r="I47" s="881" t="s">
        <v>68</v>
      </c>
      <c r="J47" s="825">
        <f>VLOOKUP(H47,A:E,4,FALSE)</f>
        <v>47466.84350132625</v>
      </c>
      <c r="K47" s="882"/>
    </row>
    <row r="48" spans="1:19" ht="14.5" x14ac:dyDescent="0.35">
      <c r="A48" t="s">
        <v>135</v>
      </c>
      <c r="B48" t="s">
        <v>135</v>
      </c>
      <c r="C48" t="s">
        <v>230</v>
      </c>
      <c r="D48" s="634">
        <v>16327.695454545454</v>
      </c>
      <c r="E48" s="636">
        <v>16.327695454545452</v>
      </c>
      <c r="H48" t="s">
        <v>74</v>
      </c>
      <c r="I48" s="881" t="s">
        <v>74</v>
      </c>
      <c r="J48" s="825">
        <f>VLOOKUP(H48,A:E,4,FALSE)</f>
        <v>31882.970757575753</v>
      </c>
      <c r="K48" s="882"/>
    </row>
    <row r="49" spans="1:19" ht="14.5" x14ac:dyDescent="0.35">
      <c r="A49" t="s">
        <v>141</v>
      </c>
      <c r="B49" t="s">
        <v>464</v>
      </c>
      <c r="C49" t="s">
        <v>230</v>
      </c>
      <c r="D49" s="634">
        <v>69888</v>
      </c>
      <c r="E49" s="636">
        <v>69.888000000000005</v>
      </c>
      <c r="H49" t="s">
        <v>728</v>
      </c>
      <c r="I49" s="881" t="s">
        <v>728</v>
      </c>
      <c r="J49" s="825">
        <f>VLOOKUP(H49,A:E,4,FALSE)</f>
        <v>12053.04545454545</v>
      </c>
      <c r="K49" s="882"/>
    </row>
    <row r="50" spans="1:19" ht="14.5" x14ac:dyDescent="0.35">
      <c r="A50" t="s">
        <v>144</v>
      </c>
      <c r="B50" t="s">
        <v>468</v>
      </c>
      <c r="C50" t="s">
        <v>227</v>
      </c>
      <c r="D50" s="634">
        <v>44828.125</v>
      </c>
      <c r="E50" s="636">
        <v>44.828125</v>
      </c>
      <c r="I50" s="882"/>
      <c r="J50" s="882"/>
      <c r="K50" s="882"/>
    </row>
    <row r="51" spans="1:19" ht="14.5" x14ac:dyDescent="0.35">
      <c r="A51" t="s">
        <v>146</v>
      </c>
      <c r="B51" t="s">
        <v>146</v>
      </c>
      <c r="C51" t="s">
        <v>230</v>
      </c>
      <c r="D51" s="634">
        <v>19230.769230769227</v>
      </c>
      <c r="E51" s="636">
        <v>19.230769230769226</v>
      </c>
      <c r="I51" s="1428" t="s">
        <v>229</v>
      </c>
      <c r="J51" s="1431"/>
      <c r="K51" s="823" t="s">
        <v>796</v>
      </c>
    </row>
    <row r="52" spans="1:19" ht="14.5" x14ac:dyDescent="0.35">
      <c r="A52" t="s">
        <v>149</v>
      </c>
      <c r="B52" t="s">
        <v>149</v>
      </c>
      <c r="C52" t="s">
        <v>224</v>
      </c>
      <c r="D52" s="634">
        <v>42685.788787483689</v>
      </c>
      <c r="E52" s="636">
        <v>42.685788787483688</v>
      </c>
      <c r="H52" t="s">
        <v>872</v>
      </c>
      <c r="I52" s="881" t="s">
        <v>872</v>
      </c>
      <c r="J52" s="825">
        <f>VLOOKUP(H52,A:E,4,FALSE)</f>
        <v>73907.407407407401</v>
      </c>
      <c r="K52" s="882"/>
    </row>
    <row r="53" spans="1:19" ht="14.5" x14ac:dyDescent="0.35">
      <c r="A53" t="s">
        <v>151</v>
      </c>
      <c r="B53" t="s">
        <v>151</v>
      </c>
      <c r="C53" t="s">
        <v>224</v>
      </c>
      <c r="D53" s="634">
        <v>56766.623207301156</v>
      </c>
      <c r="E53" s="636">
        <v>56.766623207301159</v>
      </c>
      <c r="I53" s="882"/>
      <c r="J53" s="882"/>
      <c r="K53" s="882"/>
    </row>
    <row r="54" spans="1:19" ht="14.5" x14ac:dyDescent="0.35">
      <c r="A54" t="s">
        <v>152</v>
      </c>
      <c r="B54" t="s">
        <v>152</v>
      </c>
      <c r="C54" t="s">
        <v>230</v>
      </c>
      <c r="D54" s="634">
        <v>42320.954907161795</v>
      </c>
      <c r="E54" s="636">
        <v>42.320954907161791</v>
      </c>
      <c r="I54" s="1428" t="s">
        <v>571</v>
      </c>
      <c r="J54" s="1431"/>
      <c r="K54" s="823" t="s">
        <v>796</v>
      </c>
    </row>
    <row r="55" spans="1:19" ht="14.5" x14ac:dyDescent="0.35">
      <c r="A55" t="s">
        <v>156</v>
      </c>
      <c r="B55" t="s">
        <v>156</v>
      </c>
      <c r="C55" t="s">
        <v>224</v>
      </c>
      <c r="D55" s="634">
        <v>26623.207301173399</v>
      </c>
      <c r="E55" s="636">
        <v>26.623207301173398</v>
      </c>
      <c r="H55" t="s">
        <v>75</v>
      </c>
      <c r="I55" s="881" t="s">
        <v>75</v>
      </c>
      <c r="J55" s="825">
        <f>VLOOKUP(H55,A:E,4,FALSE)</f>
        <v>53810.793877551019</v>
      </c>
      <c r="K55" s="882"/>
    </row>
    <row r="56" spans="1:19" x14ac:dyDescent="0.3">
      <c r="A56" t="s">
        <v>159</v>
      </c>
      <c r="B56" t="s">
        <v>159</v>
      </c>
      <c r="C56" t="s">
        <v>229</v>
      </c>
      <c r="D56" s="634">
        <v>93574.074074074073</v>
      </c>
      <c r="E56" s="636">
        <v>93.574074074074076</v>
      </c>
      <c r="I56" s="841"/>
      <c r="J56" s="841"/>
      <c r="K56" s="841"/>
    </row>
    <row r="57" spans="1:19" x14ac:dyDescent="0.3">
      <c r="A57" t="s">
        <v>163</v>
      </c>
      <c r="B57" t="s">
        <v>163</v>
      </c>
      <c r="C57" t="s">
        <v>224</v>
      </c>
      <c r="D57" s="634">
        <v>54120</v>
      </c>
      <c r="E57" s="636">
        <v>54.12</v>
      </c>
    </row>
    <row r="58" spans="1:19" x14ac:dyDescent="0.3">
      <c r="A58" t="s">
        <v>166</v>
      </c>
      <c r="B58" t="s">
        <v>882</v>
      </c>
      <c r="C58" t="s">
        <v>230</v>
      </c>
      <c r="D58" s="634">
        <v>21616</v>
      </c>
      <c r="E58" s="636">
        <v>21.616</v>
      </c>
      <c r="I58" s="1003" t="s">
        <v>756</v>
      </c>
      <c r="M58" s="1003" t="s">
        <v>756</v>
      </c>
    </row>
    <row r="59" spans="1:19" ht="14.5" x14ac:dyDescent="0.35">
      <c r="A59" t="s">
        <v>171</v>
      </c>
      <c r="B59" t="s">
        <v>397</v>
      </c>
      <c r="C59" t="s">
        <v>224</v>
      </c>
      <c r="D59" s="634">
        <v>38064.516129032258</v>
      </c>
      <c r="E59" s="636">
        <v>38.064516129032256</v>
      </c>
      <c r="I59" s="1428" t="s">
        <v>224</v>
      </c>
      <c r="J59" s="1431"/>
      <c r="K59" s="823" t="s">
        <v>796</v>
      </c>
      <c r="M59" s="880" t="s">
        <v>795</v>
      </c>
      <c r="N59" s="880" t="s">
        <v>798</v>
      </c>
      <c r="O59" s="880" t="s">
        <v>797</v>
      </c>
      <c r="P59" s="880" t="s">
        <v>796</v>
      </c>
    </row>
    <row r="60" spans="1:19" ht="14.5" x14ac:dyDescent="0.35">
      <c r="A60" t="s">
        <v>168</v>
      </c>
      <c r="B60" t="s">
        <v>494</v>
      </c>
      <c r="C60" t="s">
        <v>227</v>
      </c>
      <c r="D60" s="634">
        <v>53323.920866406101</v>
      </c>
      <c r="E60" s="636">
        <v>53.323920866406098</v>
      </c>
      <c r="H60" t="s">
        <v>92</v>
      </c>
      <c r="I60" s="881" t="s">
        <v>92</v>
      </c>
      <c r="J60" s="825">
        <f t="shared" ref="J60:J65" si="1">VLOOKUP(H60,A:E,4,FALSE)</f>
        <v>52912.949152542373</v>
      </c>
      <c r="K60" s="882"/>
      <c r="M60" s="1105" t="s">
        <v>224</v>
      </c>
      <c r="N60" s="755">
        <f>(SUM(J60:J66)/R60)/S60</f>
        <v>31.207927485309536</v>
      </c>
      <c r="O60" s="60" t="s">
        <v>26</v>
      </c>
      <c r="P60" s="293"/>
      <c r="R60" s="1106">
        <v>0.86</v>
      </c>
      <c r="S60" s="1095">
        <v>10000</v>
      </c>
    </row>
    <row r="61" spans="1:19" ht="14.5" x14ac:dyDescent="0.35">
      <c r="H61" t="s">
        <v>97</v>
      </c>
      <c r="I61" s="881" t="s">
        <v>97</v>
      </c>
      <c r="J61" s="825">
        <f t="shared" si="1"/>
        <v>34500</v>
      </c>
      <c r="K61" s="882"/>
      <c r="M61" s="1105" t="s">
        <v>571</v>
      </c>
      <c r="N61" s="755">
        <f>(SUM(J72:J74)/R61)/S61</f>
        <v>11.281746575864219</v>
      </c>
      <c r="O61" s="60" t="s">
        <v>26</v>
      </c>
      <c r="P61" s="293"/>
      <c r="R61" s="1106">
        <v>0.55000000000000004</v>
      </c>
      <c r="S61" s="1095">
        <v>18000</v>
      </c>
    </row>
    <row r="62" spans="1:19" ht="14.5" x14ac:dyDescent="0.35">
      <c r="A62" s="637" t="s">
        <v>517</v>
      </c>
      <c r="B62" s="637" t="s">
        <v>518</v>
      </c>
      <c r="H62" t="s">
        <v>105</v>
      </c>
      <c r="I62" s="881" t="s">
        <v>105</v>
      </c>
      <c r="J62" s="825">
        <f t="shared" si="1"/>
        <v>66710.875331564966</v>
      </c>
      <c r="K62" s="882"/>
      <c r="M62" s="1105" t="s">
        <v>229</v>
      </c>
      <c r="N62" s="755">
        <f>(J69/R62)/S62</f>
        <v>19.105594956658788</v>
      </c>
      <c r="O62" s="60" t="s">
        <v>26</v>
      </c>
      <c r="P62" s="293"/>
      <c r="R62" s="1106">
        <v>0.47</v>
      </c>
      <c r="S62" s="1095">
        <v>10000</v>
      </c>
    </row>
    <row r="63" spans="1:19" ht="14.5" x14ac:dyDescent="0.35">
      <c r="A63" t="s">
        <v>224</v>
      </c>
      <c r="B63" s="636">
        <v>1206.9899926711028</v>
      </c>
      <c r="H63" t="s">
        <v>495</v>
      </c>
      <c r="I63" s="881" t="s">
        <v>495</v>
      </c>
      <c r="J63" s="825">
        <f t="shared" si="1"/>
        <v>47741.379310344833</v>
      </c>
      <c r="K63" s="882"/>
    </row>
    <row r="64" spans="1:19" ht="14.5" x14ac:dyDescent="0.35">
      <c r="A64" t="s">
        <v>227</v>
      </c>
      <c r="B64" s="636">
        <v>534.01745433289852</v>
      </c>
      <c r="H64" t="s">
        <v>113</v>
      </c>
      <c r="I64" s="881" t="s">
        <v>113</v>
      </c>
      <c r="J64" s="825">
        <f t="shared" si="1"/>
        <v>26841.269841269841</v>
      </c>
      <c r="K64" s="882"/>
    </row>
    <row r="65" spans="1:19" ht="14.5" x14ac:dyDescent="0.35">
      <c r="A65" t="s">
        <v>229</v>
      </c>
      <c r="B65" s="636">
        <v>491.42592592592592</v>
      </c>
      <c r="H65" t="s">
        <v>118</v>
      </c>
      <c r="I65" s="881" t="s">
        <v>118</v>
      </c>
      <c r="J65" s="825">
        <f t="shared" si="1"/>
        <v>27483.702737940021</v>
      </c>
      <c r="K65" s="882"/>
    </row>
    <row r="66" spans="1:19" ht="14.5" x14ac:dyDescent="0.35">
      <c r="A66" t="s">
        <v>507</v>
      </c>
      <c r="B66" s="636">
        <v>29.16</v>
      </c>
      <c r="H66" s="951"/>
      <c r="I66" s="881" t="s">
        <v>572</v>
      </c>
      <c r="J66" s="825">
        <f>All_Ingredients!AV2*107</f>
        <v>12198</v>
      </c>
      <c r="K66" s="882"/>
    </row>
    <row r="67" spans="1:19" ht="14.5" x14ac:dyDescent="0.35">
      <c r="A67" t="s">
        <v>230</v>
      </c>
      <c r="B67" s="636">
        <v>327.57009893457109</v>
      </c>
      <c r="I67" s="882"/>
      <c r="J67" s="882"/>
      <c r="K67" s="882"/>
    </row>
    <row r="68" spans="1:19" ht="14.5" x14ac:dyDescent="0.35">
      <c r="I68" s="1428" t="s">
        <v>229</v>
      </c>
      <c r="J68" s="1431"/>
      <c r="K68" s="823" t="s">
        <v>796</v>
      </c>
    </row>
    <row r="69" spans="1:19" ht="14.5" x14ac:dyDescent="0.35">
      <c r="H69" t="s">
        <v>865</v>
      </c>
      <c r="I69" s="881" t="s">
        <v>865</v>
      </c>
      <c r="J69" s="825">
        <f>VLOOKUP(H69,A:E,4,FALSE)</f>
        <v>89796.296296296292</v>
      </c>
      <c r="K69" s="882"/>
    </row>
    <row r="70" spans="1:19" ht="14.5" x14ac:dyDescent="0.35">
      <c r="I70" s="882"/>
      <c r="J70" s="882"/>
      <c r="K70" s="882"/>
    </row>
    <row r="71" spans="1:19" ht="14.5" x14ac:dyDescent="0.35">
      <c r="I71" s="1428" t="s">
        <v>571</v>
      </c>
      <c r="J71" s="1431"/>
      <c r="K71" s="823" t="s">
        <v>796</v>
      </c>
    </row>
    <row r="72" spans="1:19" ht="14.5" x14ac:dyDescent="0.35">
      <c r="H72" t="s">
        <v>99</v>
      </c>
      <c r="I72" s="881" t="s">
        <v>99</v>
      </c>
      <c r="J72" s="825">
        <f>VLOOKUP(H72,A:E,4,FALSE)</f>
        <v>47616.892911010546</v>
      </c>
      <c r="K72" s="882"/>
    </row>
    <row r="73" spans="1:19" ht="14.5" x14ac:dyDescent="0.35">
      <c r="H73" t="s">
        <v>103</v>
      </c>
      <c r="I73" s="881" t="s">
        <v>103</v>
      </c>
      <c r="J73" s="825">
        <f>VLOOKUP(H73,A:E,4,FALSE)</f>
        <v>38205.128205128196</v>
      </c>
      <c r="K73" s="882"/>
    </row>
    <row r="74" spans="1:19" ht="14.5" x14ac:dyDescent="0.35">
      <c r="H74" t="s">
        <v>107</v>
      </c>
      <c r="I74" s="881" t="s">
        <v>107</v>
      </c>
      <c r="J74" s="825">
        <f>VLOOKUP(H74,A:E,4,FALSE)</f>
        <v>25867.269984917039</v>
      </c>
      <c r="K74" s="882"/>
    </row>
    <row r="75" spans="1:19" x14ac:dyDescent="0.3">
      <c r="I75" s="858"/>
      <c r="J75" s="858"/>
      <c r="K75" s="858"/>
    </row>
    <row r="77" spans="1:19" x14ac:dyDescent="0.3">
      <c r="I77" s="1003" t="s">
        <v>757</v>
      </c>
      <c r="M77" s="1003" t="s">
        <v>757</v>
      </c>
    </row>
    <row r="78" spans="1:19" x14ac:dyDescent="0.3">
      <c r="I78" s="1427" t="s">
        <v>224</v>
      </c>
      <c r="J78" s="1427"/>
      <c r="K78" s="823" t="s">
        <v>796</v>
      </c>
      <c r="M78" s="880" t="s">
        <v>795</v>
      </c>
      <c r="N78" s="880" t="s">
        <v>798</v>
      </c>
      <c r="O78" s="880" t="s">
        <v>797</v>
      </c>
      <c r="P78" s="880" t="s">
        <v>796</v>
      </c>
    </row>
    <row r="79" spans="1:19" x14ac:dyDescent="0.3">
      <c r="H79" t="s">
        <v>124</v>
      </c>
      <c r="I79" s="269" t="s">
        <v>124</v>
      </c>
      <c r="J79" s="825">
        <f t="shared" ref="J79:J84" si="2">VLOOKUP(H79,A:E,4,FALSE)</f>
        <v>28046.271186440685</v>
      </c>
      <c r="K79" s="269"/>
      <c r="M79" s="1105" t="s">
        <v>224</v>
      </c>
      <c r="N79" s="755">
        <f>(SUM(J79:J82)/R79)/S79</f>
        <v>16.825375367635917</v>
      </c>
      <c r="O79" s="60" t="s">
        <v>26</v>
      </c>
      <c r="P79" s="293"/>
      <c r="R79" s="1106">
        <v>0.86</v>
      </c>
      <c r="S79" s="1095">
        <v>10000</v>
      </c>
    </row>
    <row r="80" spans="1:19" x14ac:dyDescent="0.3">
      <c r="H80" t="s">
        <v>126</v>
      </c>
      <c r="I80" s="269" t="s">
        <v>126</v>
      </c>
      <c r="J80" s="825">
        <f t="shared" si="2"/>
        <v>67515.593220338997</v>
      </c>
      <c r="K80" s="269"/>
      <c r="M80" s="1105" t="s">
        <v>571</v>
      </c>
      <c r="N80" s="755">
        <f>(J92/R80)/S80</f>
        <v>4.5280934343434343</v>
      </c>
      <c r="O80" s="60" t="s">
        <v>26</v>
      </c>
      <c r="P80" s="293"/>
      <c r="R80" s="1106">
        <v>0.55000000000000004</v>
      </c>
      <c r="S80" s="1095">
        <v>18000</v>
      </c>
    </row>
    <row r="81" spans="8:19" x14ac:dyDescent="0.3">
      <c r="H81" t="s">
        <v>133</v>
      </c>
      <c r="I81" s="269" t="s">
        <v>133</v>
      </c>
      <c r="J81" s="825">
        <f t="shared" si="2"/>
        <v>34263.363754889171</v>
      </c>
      <c r="K81" s="269"/>
      <c r="M81" s="1105" t="s">
        <v>573</v>
      </c>
      <c r="N81" s="755">
        <f>(SUM(J86:J90)/R81)/S81</f>
        <v>173.96998415551707</v>
      </c>
      <c r="O81" s="60" t="s">
        <v>45</v>
      </c>
      <c r="P81" s="293"/>
      <c r="R81" s="1106">
        <v>0.99</v>
      </c>
      <c r="S81" s="1095">
        <v>1000</v>
      </c>
    </row>
    <row r="82" spans="8:19" x14ac:dyDescent="0.3">
      <c r="H82" s="951"/>
      <c r="I82" s="269" t="s">
        <v>751</v>
      </c>
      <c r="J82" s="755">
        <f>All_Ingredients!AV27*107</f>
        <v>14873</v>
      </c>
      <c r="K82" s="269"/>
      <c r="M82" s="1105" t="s">
        <v>229</v>
      </c>
      <c r="N82" s="755">
        <f>(J84/R82)/S82</f>
        <v>16.217494089834513</v>
      </c>
      <c r="O82" s="60" t="s">
        <v>26</v>
      </c>
      <c r="P82" s="293"/>
      <c r="R82" s="1106">
        <v>0.47</v>
      </c>
      <c r="S82" s="1095">
        <v>10000</v>
      </c>
    </row>
    <row r="83" spans="8:19" x14ac:dyDescent="0.3">
      <c r="I83" s="948" t="s">
        <v>229</v>
      </c>
      <c r="J83" s="948"/>
      <c r="K83" s="949"/>
    </row>
    <row r="84" spans="8:19" x14ac:dyDescent="0.3">
      <c r="H84" t="s">
        <v>866</v>
      </c>
      <c r="I84" s="269" t="s">
        <v>866</v>
      </c>
      <c r="J84" s="825">
        <f t="shared" si="2"/>
        <v>76222.222222222219</v>
      </c>
      <c r="K84" s="269"/>
    </row>
    <row r="85" spans="8:19" x14ac:dyDescent="0.3">
      <c r="I85" s="950" t="s">
        <v>230</v>
      </c>
      <c r="J85" s="948"/>
      <c r="K85" s="949"/>
    </row>
    <row r="86" spans="8:19" x14ac:dyDescent="0.3">
      <c r="H86" t="s">
        <v>128</v>
      </c>
      <c r="I86" s="269" t="s">
        <v>128</v>
      </c>
      <c r="J86" s="825">
        <f t="shared" ref="J86:J92" si="3">VLOOKUP(H86,A:E,4,FALSE)</f>
        <v>40948.275862068971</v>
      </c>
      <c r="K86" s="269"/>
    </row>
    <row r="87" spans="8:19" x14ac:dyDescent="0.3">
      <c r="H87" t="s">
        <v>135</v>
      </c>
      <c r="I87" s="269" t="s">
        <v>135</v>
      </c>
      <c r="J87" s="825">
        <f t="shared" si="3"/>
        <v>16327.695454545454</v>
      </c>
      <c r="K87" s="269"/>
    </row>
    <row r="88" spans="8:19" x14ac:dyDescent="0.3">
      <c r="H88" t="s">
        <v>141</v>
      </c>
      <c r="I88" s="269" t="s">
        <v>141</v>
      </c>
      <c r="J88" s="825">
        <f t="shared" si="3"/>
        <v>69888</v>
      </c>
      <c r="K88" s="269"/>
    </row>
    <row r="89" spans="8:19" x14ac:dyDescent="0.3">
      <c r="H89" t="s">
        <v>146</v>
      </c>
      <c r="I89" s="269" t="s">
        <v>146</v>
      </c>
      <c r="J89" s="825">
        <f t="shared" si="3"/>
        <v>19230.769230769227</v>
      </c>
      <c r="K89" s="269"/>
    </row>
    <row r="90" spans="8:19" x14ac:dyDescent="0.3">
      <c r="H90" t="s">
        <v>131</v>
      </c>
      <c r="I90" s="269" t="s">
        <v>131</v>
      </c>
      <c r="J90" s="825">
        <f t="shared" si="3"/>
        <v>25835.543766578259</v>
      </c>
      <c r="K90" s="269"/>
    </row>
    <row r="91" spans="8:19" x14ac:dyDescent="0.3">
      <c r="I91" s="1427" t="s">
        <v>227</v>
      </c>
      <c r="J91" s="1427"/>
      <c r="K91" s="949"/>
    </row>
    <row r="92" spans="8:19" x14ac:dyDescent="0.3">
      <c r="H92" t="s">
        <v>144</v>
      </c>
      <c r="I92" s="269" t="s">
        <v>144</v>
      </c>
      <c r="J92" s="825">
        <f t="shared" si="3"/>
        <v>44828.125</v>
      </c>
      <c r="K92" s="269"/>
    </row>
    <row r="93" spans="8:19" x14ac:dyDescent="0.3">
      <c r="I93" s="858"/>
      <c r="J93" s="858"/>
      <c r="K93" s="858"/>
    </row>
    <row r="94" spans="8:19" x14ac:dyDescent="0.3">
      <c r="I94" s="1"/>
      <c r="J94" s="954"/>
      <c r="K94" s="1"/>
    </row>
    <row r="95" spans="8:19" x14ac:dyDescent="0.3">
      <c r="I95" s="1003" t="s">
        <v>758</v>
      </c>
      <c r="M95" s="1003" t="s">
        <v>758</v>
      </c>
    </row>
    <row r="96" spans="8:19" x14ac:dyDescent="0.3">
      <c r="I96" s="1428" t="s">
        <v>224</v>
      </c>
      <c r="J96" s="1429"/>
      <c r="K96" s="823" t="s">
        <v>796</v>
      </c>
      <c r="M96" s="880" t="s">
        <v>795</v>
      </c>
      <c r="N96" s="880" t="s">
        <v>798</v>
      </c>
      <c r="O96" s="880" t="s">
        <v>797</v>
      </c>
      <c r="P96" s="880" t="s">
        <v>796</v>
      </c>
    </row>
    <row r="97" spans="8:19" x14ac:dyDescent="0.3">
      <c r="H97" t="s">
        <v>149</v>
      </c>
      <c r="I97" s="881" t="s">
        <v>149</v>
      </c>
      <c r="J97" s="825">
        <f>VLOOKUP(H97,A:E,4,FALSE)</f>
        <v>42685.788787483689</v>
      </c>
      <c r="K97" s="929"/>
      <c r="M97" s="1105" t="s">
        <v>224</v>
      </c>
      <c r="N97" s="755">
        <f>(SUM(J97:J102)/R97)/S97</f>
        <v>27.270248305231455</v>
      </c>
      <c r="O97" s="60" t="s">
        <v>26</v>
      </c>
      <c r="P97" s="293"/>
      <c r="R97" s="1106">
        <v>0.86</v>
      </c>
      <c r="S97" s="1095">
        <v>10000</v>
      </c>
    </row>
    <row r="98" spans="8:19" x14ac:dyDescent="0.3">
      <c r="H98" t="s">
        <v>151</v>
      </c>
      <c r="I98" s="881" t="s">
        <v>151</v>
      </c>
      <c r="J98" s="825">
        <f>VLOOKUP(H98,A:E,4,FALSE)</f>
        <v>56766.623207301156</v>
      </c>
      <c r="K98" s="929"/>
      <c r="M98" s="1105" t="s">
        <v>571</v>
      </c>
      <c r="N98" s="755">
        <f>(J109/R98)/S98</f>
        <v>5.3862546329703127</v>
      </c>
      <c r="O98" s="60" t="s">
        <v>26</v>
      </c>
      <c r="P98" s="293"/>
      <c r="R98" s="1106">
        <v>0.55000000000000004</v>
      </c>
      <c r="S98" s="1095">
        <v>18000</v>
      </c>
    </row>
    <row r="99" spans="8:19" x14ac:dyDescent="0.3">
      <c r="H99" t="s">
        <v>156</v>
      </c>
      <c r="I99" s="881" t="s">
        <v>156</v>
      </c>
      <c r="J99" s="825">
        <f>VLOOKUP(H99,A:E,4,FALSE)</f>
        <v>26623.207301173399</v>
      </c>
      <c r="K99" s="929"/>
      <c r="M99" s="1105" t="s">
        <v>573</v>
      </c>
      <c r="N99" s="755">
        <f>(SUM(J105:J106)/R99)/S99</f>
        <v>64.582782734506864</v>
      </c>
      <c r="O99" s="60" t="s">
        <v>45</v>
      </c>
      <c r="P99" s="293"/>
      <c r="R99" s="1106">
        <v>0.99</v>
      </c>
      <c r="S99" s="1095">
        <v>1000</v>
      </c>
    </row>
    <row r="100" spans="8:19" x14ac:dyDescent="0.3">
      <c r="H100" t="s">
        <v>163</v>
      </c>
      <c r="I100" s="881" t="s">
        <v>163</v>
      </c>
      <c r="J100" s="825">
        <f>VLOOKUP(H100,A:E,4,FALSE)</f>
        <v>54120</v>
      </c>
      <c r="K100" s="929"/>
      <c r="M100" s="1105" t="s">
        <v>229</v>
      </c>
      <c r="N100" s="755">
        <f>(J112/R100)/S100</f>
        <v>19.909377462568951</v>
      </c>
      <c r="O100" s="60" t="s">
        <v>26</v>
      </c>
      <c r="P100" s="293"/>
      <c r="R100" s="1106">
        <v>0.47</v>
      </c>
      <c r="S100" s="1095">
        <v>10000</v>
      </c>
    </row>
    <row r="101" spans="8:19" x14ac:dyDescent="0.3">
      <c r="H101" t="s">
        <v>171</v>
      </c>
      <c r="I101" s="881" t="s">
        <v>569</v>
      </c>
      <c r="J101" s="825">
        <f>VLOOKUP(H101,A:E,4,FALSE)</f>
        <v>38064.516129032258</v>
      </c>
      <c r="K101" s="929"/>
    </row>
    <row r="102" spans="8:19" x14ac:dyDescent="0.3">
      <c r="H102" s="951"/>
      <c r="I102" s="881" t="s">
        <v>572</v>
      </c>
      <c r="J102" s="883">
        <f>All_Ingredients!AV53*107</f>
        <v>16264</v>
      </c>
      <c r="K102" s="929"/>
    </row>
    <row r="103" spans="8:19" x14ac:dyDescent="0.3">
      <c r="I103" s="929"/>
      <c r="J103" s="929"/>
      <c r="K103" s="929"/>
    </row>
    <row r="104" spans="8:19" x14ac:dyDescent="0.3">
      <c r="I104" s="1428" t="s">
        <v>573</v>
      </c>
      <c r="J104" s="1429"/>
      <c r="K104" s="823" t="s">
        <v>796</v>
      </c>
    </row>
    <row r="105" spans="8:19" x14ac:dyDescent="0.3">
      <c r="H105" t="s">
        <v>152</v>
      </c>
      <c r="I105" s="881" t="s">
        <v>152</v>
      </c>
      <c r="J105" s="825">
        <f>VLOOKUP(H105,A:E,4,FALSE)</f>
        <v>42320.954907161795</v>
      </c>
      <c r="K105" s="929"/>
    </row>
    <row r="106" spans="8:19" x14ac:dyDescent="0.3">
      <c r="H106" t="s">
        <v>166</v>
      </c>
      <c r="I106" s="881" t="s">
        <v>166</v>
      </c>
      <c r="J106" s="825">
        <f>VLOOKUP(H106,A:E,4,FALSE)</f>
        <v>21616</v>
      </c>
      <c r="K106" s="929"/>
    </row>
    <row r="107" spans="8:19" x14ac:dyDescent="0.3">
      <c r="I107" s="929"/>
      <c r="J107" s="929"/>
      <c r="K107" s="929"/>
    </row>
    <row r="108" spans="8:19" x14ac:dyDescent="0.3">
      <c r="I108" s="1428" t="s">
        <v>571</v>
      </c>
      <c r="J108" s="1429"/>
      <c r="K108" s="823" t="s">
        <v>796</v>
      </c>
    </row>
    <row r="109" spans="8:19" x14ac:dyDescent="0.3">
      <c r="H109" t="s">
        <v>168</v>
      </c>
      <c r="I109" s="881" t="s">
        <v>168</v>
      </c>
      <c r="J109" s="825">
        <f>VLOOKUP(H109,A:E,4,FALSE)</f>
        <v>53323.920866406101</v>
      </c>
      <c r="K109" s="929"/>
    </row>
    <row r="110" spans="8:19" x14ac:dyDescent="0.3">
      <c r="I110" s="929"/>
      <c r="J110" s="929"/>
      <c r="K110" s="929"/>
    </row>
    <row r="111" spans="8:19" x14ac:dyDescent="0.3">
      <c r="I111" s="1428" t="s">
        <v>229</v>
      </c>
      <c r="J111" s="1429"/>
      <c r="K111" s="823" t="s">
        <v>796</v>
      </c>
    </row>
    <row r="112" spans="8:19" x14ac:dyDescent="0.3">
      <c r="H112" t="s">
        <v>159</v>
      </c>
      <c r="I112" s="881" t="s">
        <v>159</v>
      </c>
      <c r="J112" s="825">
        <f>VLOOKUP(H112,A:E,4,FALSE)</f>
        <v>93574.074074074073</v>
      </c>
      <c r="K112" s="929"/>
    </row>
    <row r="155" ht="15.75" customHeight="1" x14ac:dyDescent="0.3"/>
  </sheetData>
  <mergeCells count="21">
    <mergeCell ref="A1:E1"/>
    <mergeCell ref="I54:J54"/>
    <mergeCell ref="I59:J59"/>
    <mergeCell ref="I68:J68"/>
    <mergeCell ref="I71:J71"/>
    <mergeCell ref="I2:J2"/>
    <mergeCell ref="I9:J9"/>
    <mergeCell ref="I14:J14"/>
    <mergeCell ref="I19:J19"/>
    <mergeCell ref="I25:J25"/>
    <mergeCell ref="I78:J78"/>
    <mergeCell ref="I29:J29"/>
    <mergeCell ref="I32:J32"/>
    <mergeCell ref="I37:J37"/>
    <mergeCell ref="I46:J46"/>
    <mergeCell ref="I51:J51"/>
    <mergeCell ref="I91:J91"/>
    <mergeCell ref="I96:J96"/>
    <mergeCell ref="I104:J104"/>
    <mergeCell ref="I108:J108"/>
    <mergeCell ref="I111:J111"/>
  </mergeCells>
  <printOptions horizontalCentered="1"/>
  <pageMargins left="0.7" right="0.7" top="0.75" bottom="0.75" header="0.3" footer="0.3"/>
  <pageSetup fitToHeight="0" orientation="landscape" verticalDpi="0" r:id="rId1"/>
  <headerFooter>
    <oddHeader>&amp;L&amp;BButchery&amp;R&amp;D</oddHead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W302"/>
  <sheetViews>
    <sheetView tabSelected="1" zoomScale="77" zoomScaleNormal="55" workbookViewId="0">
      <pane ySplit="1" topLeftCell="A104" activePane="bottomLeft" state="frozen"/>
      <selection activeCell="X1" sqref="X1"/>
      <selection pane="bottomLeft" activeCell="L132" sqref="L132"/>
    </sheetView>
  </sheetViews>
  <sheetFormatPr defaultColWidth="8.83203125" defaultRowHeight="14" x14ac:dyDescent="0.3"/>
  <cols>
    <col min="1" max="1" width="40.4140625" style="1" customWidth="1"/>
    <col min="2" max="2" width="11.5" style="1" customWidth="1"/>
    <col min="3" max="3" width="11.5" style="2" customWidth="1"/>
    <col min="4" max="4" width="14" style="3" customWidth="1"/>
    <col min="5" max="5" width="12.9140625" style="3" customWidth="1"/>
    <col min="6" max="6" width="12.1640625" style="1306" customWidth="1"/>
    <col min="7" max="7" width="21.5" style="1095" customWidth="1"/>
    <col min="8" max="8" width="16.4140625" style="4" customWidth="1"/>
    <col min="9" max="9" width="13.1640625" style="4" customWidth="1"/>
    <col min="10" max="10" width="20.75" style="5" customWidth="1"/>
    <col min="11" max="11" width="17.4140625" style="5" bestFit="1" customWidth="1"/>
    <col min="12" max="12" width="13.58203125" style="4" customWidth="1"/>
    <col min="13" max="13" width="10.75" style="4" customWidth="1"/>
    <col min="14" max="14" width="12.75" style="4" customWidth="1"/>
    <col min="15" max="16" width="12.1640625" style="4" customWidth="1"/>
    <col min="17" max="17" width="19.5" customWidth="1"/>
    <col min="19" max="21" width="3.9140625" customWidth="1"/>
    <col min="22" max="22" width="13.9140625" customWidth="1"/>
    <col min="23" max="34" width="2.4140625" customWidth="1"/>
    <col min="36" max="36" width="8.4140625" customWidth="1"/>
    <col min="37" max="37" width="25.33203125" customWidth="1"/>
    <col min="38" max="38" width="14.25" customWidth="1"/>
    <col min="39" max="39" width="9.08203125" customWidth="1"/>
    <col min="40" max="40" width="8.83203125" customWidth="1"/>
    <col min="41" max="41" width="6.58203125" customWidth="1"/>
    <col min="42" max="42" width="2.83203125" customWidth="1"/>
    <col min="43" max="43" width="25.5" customWidth="1"/>
    <col min="46" max="46" width="2.83203125" customWidth="1"/>
    <col min="47" max="47" width="30.6640625" customWidth="1"/>
  </cols>
  <sheetData>
    <row r="1" spans="1:49" ht="40.5" customHeight="1" x14ac:dyDescent="0.3">
      <c r="A1" s="6" t="s">
        <v>0</v>
      </c>
      <c r="B1" s="6" t="s">
        <v>1</v>
      </c>
      <c r="C1" s="6" t="s">
        <v>2</v>
      </c>
      <c r="D1" s="6" t="s">
        <v>3</v>
      </c>
      <c r="E1" s="7" t="s">
        <v>5</v>
      </c>
      <c r="F1" s="6" t="s">
        <v>6</v>
      </c>
      <c r="G1" s="997" t="s">
        <v>743</v>
      </c>
      <c r="H1" s="998" t="s">
        <v>744</v>
      </c>
      <c r="I1" s="997" t="s">
        <v>745</v>
      </c>
      <c r="J1" s="997" t="s">
        <v>746</v>
      </c>
      <c r="K1" s="6" t="s">
        <v>8</v>
      </c>
      <c r="L1" s="6" t="s">
        <v>9</v>
      </c>
      <c r="M1" s="6" t="s">
        <v>7</v>
      </c>
      <c r="N1" s="6" t="s">
        <v>10</v>
      </c>
      <c r="O1" s="6" t="s">
        <v>11</v>
      </c>
      <c r="Q1" s="8" t="s">
        <v>4</v>
      </c>
      <c r="R1" s="8">
        <v>2</v>
      </c>
      <c r="AJ1" s="826" t="s">
        <v>577</v>
      </c>
      <c r="AK1" s="826" t="s">
        <v>232</v>
      </c>
      <c r="AL1" s="826" t="s">
        <v>576</v>
      </c>
      <c r="AM1" s="826" t="s">
        <v>465</v>
      </c>
      <c r="AN1" s="826" t="s">
        <v>567</v>
      </c>
      <c r="AQ1" s="851" t="s">
        <v>669</v>
      </c>
      <c r="AR1" s="851" t="s">
        <v>558</v>
      </c>
      <c r="AS1" s="851" t="s">
        <v>668</v>
      </c>
      <c r="AU1" s="851" t="s">
        <v>669</v>
      </c>
      <c r="AV1" s="851" t="s">
        <v>558</v>
      </c>
      <c r="AW1" s="851" t="s">
        <v>668</v>
      </c>
    </row>
    <row r="2" spans="1:49" ht="14.25" customHeight="1" x14ac:dyDescent="0.3">
      <c r="AK2" s="827" t="s">
        <v>528</v>
      </c>
      <c r="AL2" s="827"/>
      <c r="AM2" s="827"/>
      <c r="AN2" s="827"/>
      <c r="AQ2" s="828" t="s">
        <v>667</v>
      </c>
      <c r="AR2" s="828">
        <v>86</v>
      </c>
      <c r="AS2" s="828">
        <v>86</v>
      </c>
      <c r="AU2" s="831" t="s">
        <v>752</v>
      </c>
      <c r="AV2" s="831">
        <v>114</v>
      </c>
      <c r="AW2" s="831">
        <v>114</v>
      </c>
    </row>
    <row r="3" spans="1:49" ht="14.25" customHeight="1" x14ac:dyDescent="0.3">
      <c r="A3" s="1049" t="s">
        <v>153</v>
      </c>
      <c r="B3" s="1049" t="s">
        <v>154</v>
      </c>
      <c r="C3" s="1050" t="s">
        <v>14</v>
      </c>
      <c r="D3" s="1051">
        <v>2669.0361079553286</v>
      </c>
      <c r="E3" s="1052">
        <v>24737.369214999992</v>
      </c>
      <c r="F3" s="1307">
        <v>1</v>
      </c>
      <c r="G3" s="1096">
        <v>25000</v>
      </c>
      <c r="H3" s="1052" t="s">
        <v>155</v>
      </c>
      <c r="I3" s="1053">
        <v>750</v>
      </c>
      <c r="J3" s="1052">
        <f t="shared" ref="J3:J14" si="0">I3/(G3/1000)</f>
        <v>30</v>
      </c>
      <c r="K3" s="1052">
        <f t="shared" ref="K3:K14" si="1">(E3/F3)/G3</f>
        <v>0.98949476859999963</v>
      </c>
      <c r="L3" s="1052">
        <f>(D3/F3)/G3</f>
        <v>0.10676144431821315</v>
      </c>
      <c r="M3" s="1052" t="s">
        <v>45</v>
      </c>
      <c r="N3" s="1052">
        <f t="shared" ref="N3:N14" si="2">K3*I3</f>
        <v>742.12107644999969</v>
      </c>
      <c r="O3" s="1052">
        <f t="shared" ref="O3:O14" si="3">L3*I3</f>
        <v>80.071083238659867</v>
      </c>
      <c r="AJ3" s="828">
        <v>1</v>
      </c>
      <c r="AK3" s="828" t="s">
        <v>16</v>
      </c>
      <c r="AL3" s="828">
        <f>AS3</f>
        <v>41560</v>
      </c>
      <c r="AM3" s="828">
        <v>0</v>
      </c>
      <c r="AN3" s="828">
        <f>AR3</f>
        <v>282</v>
      </c>
      <c r="AQ3" s="828" t="s">
        <v>579</v>
      </c>
      <c r="AR3" s="828">
        <v>282</v>
      </c>
      <c r="AS3" s="828">
        <v>41560</v>
      </c>
      <c r="AU3" s="831" t="s">
        <v>618</v>
      </c>
      <c r="AV3" s="831">
        <v>75</v>
      </c>
      <c r="AW3" s="831">
        <v>75</v>
      </c>
    </row>
    <row r="4" spans="1:49" ht="14.25" customHeight="1" x14ac:dyDescent="0.3">
      <c r="A4" s="1049" t="s">
        <v>172</v>
      </c>
      <c r="B4" s="1049" t="s">
        <v>154</v>
      </c>
      <c r="C4" s="1050" t="s">
        <v>14</v>
      </c>
      <c r="D4" s="1051">
        <v>0</v>
      </c>
      <c r="E4" s="1052">
        <v>0</v>
      </c>
      <c r="F4" s="1307">
        <v>1</v>
      </c>
      <c r="G4" s="1096">
        <v>10800</v>
      </c>
      <c r="H4" s="1052" t="s">
        <v>749</v>
      </c>
      <c r="I4" s="1053">
        <v>162</v>
      </c>
      <c r="J4" s="1052">
        <f t="shared" si="0"/>
        <v>14.999999999999998</v>
      </c>
      <c r="K4" s="1052">
        <f t="shared" si="1"/>
        <v>0</v>
      </c>
      <c r="L4" s="1052">
        <f>(D4/F4)/G4</f>
        <v>0</v>
      </c>
      <c r="M4" s="1052" t="s">
        <v>26</v>
      </c>
      <c r="N4" s="1052">
        <f t="shared" si="2"/>
        <v>0</v>
      </c>
      <c r="O4" s="1052">
        <f t="shared" si="3"/>
        <v>0</v>
      </c>
      <c r="AJ4" s="828">
        <v>1</v>
      </c>
      <c r="AK4" s="828" t="s">
        <v>18</v>
      </c>
      <c r="AL4" s="828">
        <f>AS6</f>
        <v>32910</v>
      </c>
      <c r="AM4" s="828">
        <v>500</v>
      </c>
      <c r="AN4" s="828">
        <f>AR6</f>
        <v>216</v>
      </c>
      <c r="AQ4" s="828" t="s">
        <v>580</v>
      </c>
      <c r="AR4" s="828">
        <v>246</v>
      </c>
      <c r="AS4" s="828">
        <v>36160</v>
      </c>
      <c r="AU4" s="831" t="s">
        <v>619</v>
      </c>
      <c r="AV4" s="831">
        <v>242</v>
      </c>
      <c r="AW4" s="831">
        <v>35400</v>
      </c>
    </row>
    <row r="5" spans="1:49" ht="14.25" customHeight="1" x14ac:dyDescent="0.3">
      <c r="A5" s="1049" t="s">
        <v>176</v>
      </c>
      <c r="B5" s="1049" t="s">
        <v>154</v>
      </c>
      <c r="C5" s="1050" t="s">
        <v>161</v>
      </c>
      <c r="D5" s="1051">
        <v>5263.4331983805687</v>
      </c>
      <c r="E5" s="1052">
        <v>22349.347065465867</v>
      </c>
      <c r="F5" s="1307">
        <v>1</v>
      </c>
      <c r="G5" s="1096">
        <v>9600</v>
      </c>
      <c r="H5" s="1052" t="s">
        <v>177</v>
      </c>
      <c r="I5" s="1053">
        <v>95</v>
      </c>
      <c r="J5" s="1052">
        <f t="shared" si="0"/>
        <v>9.8958333333333339</v>
      </c>
      <c r="K5" s="1052">
        <f t="shared" si="1"/>
        <v>2.3280569859860276</v>
      </c>
      <c r="L5" s="1052">
        <f t="shared" ref="L5:L14" si="4">(D5/F5)/G5</f>
        <v>0.54827429149797591</v>
      </c>
      <c r="M5" s="1052" t="s">
        <v>26</v>
      </c>
      <c r="N5" s="1052">
        <f t="shared" si="2"/>
        <v>221.16541366867261</v>
      </c>
      <c r="O5" s="1052">
        <f t="shared" si="3"/>
        <v>52.086057692307712</v>
      </c>
      <c r="AJ5" s="828">
        <v>1</v>
      </c>
      <c r="AK5" s="828" t="s">
        <v>22</v>
      </c>
      <c r="AL5" s="828">
        <f>AS11</f>
        <v>36230</v>
      </c>
      <c r="AM5" s="828">
        <v>1000</v>
      </c>
      <c r="AN5" s="828">
        <f>AR11</f>
        <v>243</v>
      </c>
      <c r="AO5" s="1117"/>
      <c r="AQ5" s="828" t="s">
        <v>581</v>
      </c>
      <c r="AR5" s="828">
        <v>36</v>
      </c>
      <c r="AS5" s="828">
        <v>5400</v>
      </c>
      <c r="AU5" s="831" t="s">
        <v>581</v>
      </c>
      <c r="AV5" s="831">
        <v>48</v>
      </c>
      <c r="AW5" s="831">
        <v>7200</v>
      </c>
    </row>
    <row r="6" spans="1:49" ht="14.25" customHeight="1" x14ac:dyDescent="0.3">
      <c r="A6" s="1049" t="s">
        <v>167</v>
      </c>
      <c r="B6" s="1049" t="s">
        <v>154</v>
      </c>
      <c r="C6" s="1050" t="s">
        <v>161</v>
      </c>
      <c r="D6" s="1051">
        <v>24699.740890688267</v>
      </c>
      <c r="E6" s="1052">
        <v>173937.52015963136</v>
      </c>
      <c r="F6" s="1307">
        <v>1</v>
      </c>
      <c r="G6" s="1096">
        <v>12000</v>
      </c>
      <c r="H6" s="1052" t="s">
        <v>162</v>
      </c>
      <c r="I6" s="1053">
        <v>152</v>
      </c>
      <c r="J6" s="1053">
        <f t="shared" si="0"/>
        <v>12.666666666666666</v>
      </c>
      <c r="K6" s="1052">
        <f t="shared" si="1"/>
        <v>14.494793346635946</v>
      </c>
      <c r="L6" s="1052">
        <f t="shared" si="4"/>
        <v>2.058311740890689</v>
      </c>
      <c r="M6" s="1052" t="s">
        <v>26</v>
      </c>
      <c r="N6" s="1052">
        <f t="shared" si="2"/>
        <v>2203.2085886886639</v>
      </c>
      <c r="O6" s="1052">
        <f t="shared" si="3"/>
        <v>312.86338461538475</v>
      </c>
      <c r="AJ6" s="828">
        <v>1</v>
      </c>
      <c r="AK6" s="828" t="s">
        <v>20</v>
      </c>
      <c r="AL6" s="828">
        <f>AS8</f>
        <v>25410</v>
      </c>
      <c r="AM6" s="828">
        <v>0</v>
      </c>
      <c r="AN6" s="828">
        <f>AR8</f>
        <v>170</v>
      </c>
      <c r="AQ6" s="828" t="s">
        <v>582</v>
      </c>
      <c r="AR6" s="828">
        <v>216</v>
      </c>
      <c r="AS6" s="828">
        <v>32910</v>
      </c>
      <c r="AU6" s="831" t="s">
        <v>620</v>
      </c>
      <c r="AV6" s="831">
        <v>194</v>
      </c>
      <c r="AW6" s="831">
        <v>28200</v>
      </c>
    </row>
    <row r="7" spans="1:49" ht="14.25" customHeight="1" x14ac:dyDescent="0.3">
      <c r="A7" s="1049" t="s">
        <v>157</v>
      </c>
      <c r="B7" s="1049" t="s">
        <v>154</v>
      </c>
      <c r="C7" s="1050" t="s">
        <v>14</v>
      </c>
      <c r="D7" s="1051">
        <v>0</v>
      </c>
      <c r="E7" s="1052">
        <v>742.05773195876293</v>
      </c>
      <c r="F7" s="1307">
        <v>1</v>
      </c>
      <c r="G7" s="1096">
        <v>1600</v>
      </c>
      <c r="H7" s="1052" t="s">
        <v>748</v>
      </c>
      <c r="I7" s="1053">
        <v>73.91</v>
      </c>
      <c r="J7" s="1052">
        <f t="shared" si="0"/>
        <v>46.193749999999994</v>
      </c>
      <c r="K7" s="1052">
        <f t="shared" si="1"/>
        <v>0.46378608247422681</v>
      </c>
      <c r="L7" s="1052">
        <f t="shared" si="4"/>
        <v>0</v>
      </c>
      <c r="M7" s="1052" t="s">
        <v>26</v>
      </c>
      <c r="N7" s="1052">
        <f t="shared" si="2"/>
        <v>34.278429355670099</v>
      </c>
      <c r="O7" s="1052">
        <f t="shared" si="3"/>
        <v>0</v>
      </c>
      <c r="AJ7" s="828">
        <v>1</v>
      </c>
      <c r="AK7" s="828" t="s">
        <v>24</v>
      </c>
      <c r="AL7" s="828">
        <f>AS14</f>
        <v>30630</v>
      </c>
      <c r="AM7" s="828">
        <v>1000</v>
      </c>
      <c r="AN7" s="828">
        <f>AR14</f>
        <v>217</v>
      </c>
      <c r="AQ7" s="828" t="s">
        <v>583</v>
      </c>
      <c r="AR7" s="828">
        <v>216</v>
      </c>
      <c r="AS7" s="828">
        <v>32910</v>
      </c>
      <c r="AU7" s="831" t="s">
        <v>621</v>
      </c>
      <c r="AV7" s="831">
        <v>131</v>
      </c>
      <c r="AW7" s="831">
        <v>19550</v>
      </c>
    </row>
    <row r="8" spans="1:49" ht="14.25" customHeight="1" x14ac:dyDescent="0.3">
      <c r="A8" s="1049" t="s">
        <v>169</v>
      </c>
      <c r="B8" s="1049" t="s">
        <v>154</v>
      </c>
      <c r="C8" s="1050" t="s">
        <v>14</v>
      </c>
      <c r="D8" s="1051">
        <v>0</v>
      </c>
      <c r="E8" s="1052">
        <v>3517.4825174825214</v>
      </c>
      <c r="F8" s="1307">
        <v>1</v>
      </c>
      <c r="G8" s="1096">
        <v>11000</v>
      </c>
      <c r="H8" s="1052" t="s">
        <v>170</v>
      </c>
      <c r="I8" s="1053">
        <v>149</v>
      </c>
      <c r="J8" s="1052">
        <f t="shared" si="0"/>
        <v>13.545454545454545</v>
      </c>
      <c r="K8" s="1052">
        <f t="shared" si="1"/>
        <v>0.31977113795295647</v>
      </c>
      <c r="L8" s="1052">
        <f t="shared" si="4"/>
        <v>0</v>
      </c>
      <c r="M8" s="1052" t="s">
        <v>26</v>
      </c>
      <c r="N8" s="1052">
        <f t="shared" si="2"/>
        <v>47.645899554990514</v>
      </c>
      <c r="O8" s="1052">
        <f t="shared" si="3"/>
        <v>0</v>
      </c>
      <c r="AJ8" s="828">
        <v>1</v>
      </c>
      <c r="AK8" s="828" t="s">
        <v>27</v>
      </c>
      <c r="AL8" s="828">
        <f>AS16</f>
        <v>34230</v>
      </c>
      <c r="AM8" s="828">
        <v>500</v>
      </c>
      <c r="AN8" s="828">
        <f>AR16</f>
        <v>249</v>
      </c>
      <c r="AQ8" s="828" t="s">
        <v>584</v>
      </c>
      <c r="AR8" s="828">
        <v>170</v>
      </c>
      <c r="AS8" s="828">
        <v>25410</v>
      </c>
      <c r="AU8" s="831" t="s">
        <v>592</v>
      </c>
      <c r="AV8" s="831">
        <v>95</v>
      </c>
      <c r="AW8" s="831">
        <v>14150</v>
      </c>
    </row>
    <row r="9" spans="1:49" ht="14.25" customHeight="1" x14ac:dyDescent="0.3">
      <c r="A9" s="1049" t="s">
        <v>160</v>
      </c>
      <c r="B9" s="1049" t="s">
        <v>154</v>
      </c>
      <c r="C9" s="1050" t="s">
        <v>161</v>
      </c>
      <c r="D9" s="1051">
        <v>11599.663967611339</v>
      </c>
      <c r="E9" s="1052">
        <v>67797.767124835984</v>
      </c>
      <c r="F9" s="1307">
        <v>1</v>
      </c>
      <c r="G9" s="1096">
        <v>12000</v>
      </c>
      <c r="H9" s="1052" t="s">
        <v>162</v>
      </c>
      <c r="I9" s="1053">
        <v>50.44</v>
      </c>
      <c r="J9" s="1052">
        <f t="shared" si="0"/>
        <v>4.2033333333333331</v>
      </c>
      <c r="K9" s="1052">
        <f t="shared" si="1"/>
        <v>5.6498139270696655</v>
      </c>
      <c r="L9" s="1052">
        <f t="shared" si="4"/>
        <v>0.96663866396761156</v>
      </c>
      <c r="M9" s="1052" t="s">
        <v>26</v>
      </c>
      <c r="N9" s="1052">
        <f t="shared" si="2"/>
        <v>284.97661448139394</v>
      </c>
      <c r="O9" s="1052">
        <f t="shared" si="3"/>
        <v>48.757254210526327</v>
      </c>
      <c r="AJ9" s="828">
        <v>1</v>
      </c>
      <c r="AK9" s="828" t="s">
        <v>29</v>
      </c>
      <c r="AL9" s="828">
        <f>AS18</f>
        <v>21960</v>
      </c>
      <c r="AM9" s="828">
        <v>1000</v>
      </c>
      <c r="AN9" s="828">
        <f>AR18</f>
        <v>147</v>
      </c>
      <c r="AO9" s="1117"/>
      <c r="AQ9" s="828" t="s">
        <v>585</v>
      </c>
      <c r="AR9" s="828">
        <v>39</v>
      </c>
      <c r="AS9" s="828">
        <v>5850</v>
      </c>
      <c r="AU9" s="831" t="s">
        <v>581</v>
      </c>
      <c r="AV9" s="831">
        <v>36</v>
      </c>
      <c r="AW9" s="831">
        <v>5400</v>
      </c>
    </row>
    <row r="10" spans="1:49" ht="14.25" customHeight="1" x14ac:dyDescent="0.3">
      <c r="A10" s="1049" t="s">
        <v>174</v>
      </c>
      <c r="B10" s="1049" t="s">
        <v>154</v>
      </c>
      <c r="C10" s="1050" t="s">
        <v>14</v>
      </c>
      <c r="D10" s="1051">
        <v>0</v>
      </c>
      <c r="E10" s="1052">
        <v>32497.257816752292</v>
      </c>
      <c r="F10" s="1307">
        <v>1</v>
      </c>
      <c r="G10" s="1096">
        <v>9200</v>
      </c>
      <c r="H10" s="1052" t="s">
        <v>175</v>
      </c>
      <c r="I10" s="1053">
        <v>165</v>
      </c>
      <c r="J10" s="1052">
        <f t="shared" si="0"/>
        <v>17.934782608695652</v>
      </c>
      <c r="K10" s="1052">
        <f t="shared" si="1"/>
        <v>3.5323106322556836</v>
      </c>
      <c r="L10" s="1052">
        <f t="shared" si="4"/>
        <v>0</v>
      </c>
      <c r="M10" s="1052" t="s">
        <v>26</v>
      </c>
      <c r="N10" s="1052">
        <f t="shared" si="2"/>
        <v>582.83125432218776</v>
      </c>
      <c r="O10" s="1052">
        <f t="shared" si="3"/>
        <v>0</v>
      </c>
      <c r="AJ10" s="828">
        <v>1</v>
      </c>
      <c r="AK10" s="828" t="s">
        <v>33</v>
      </c>
      <c r="AL10" s="828">
        <f>AS22+AS2</f>
        <v>161</v>
      </c>
      <c r="AM10" s="828">
        <v>5</v>
      </c>
      <c r="AN10" s="828">
        <f>AR22+AR2</f>
        <v>161</v>
      </c>
      <c r="AQ10" s="828" t="s">
        <v>586</v>
      </c>
      <c r="AR10" s="828">
        <v>131</v>
      </c>
      <c r="AS10" s="828">
        <v>19560</v>
      </c>
      <c r="AU10" s="831" t="s">
        <v>622</v>
      </c>
      <c r="AV10" s="831">
        <v>215</v>
      </c>
      <c r="AW10" s="831">
        <v>31570</v>
      </c>
    </row>
    <row r="11" spans="1:49" ht="14.25" customHeight="1" x14ac:dyDescent="0.3">
      <c r="A11" s="1049" t="s">
        <v>831</v>
      </c>
      <c r="B11" s="1049" t="s">
        <v>154</v>
      </c>
      <c r="C11" s="1050" t="s">
        <v>14</v>
      </c>
      <c r="D11" s="1051">
        <v>0</v>
      </c>
      <c r="E11" s="1052">
        <v>729</v>
      </c>
      <c r="F11" s="1307">
        <v>1</v>
      </c>
      <c r="G11" s="1260"/>
      <c r="H11" s="1261"/>
      <c r="I11" s="1262"/>
      <c r="J11" s="1261"/>
      <c r="K11" s="1261" t="e">
        <f t="shared" ref="K11" si="5">(E11/F11)/G11</f>
        <v>#DIV/0!</v>
      </c>
      <c r="L11" s="1261" t="e">
        <f t="shared" ref="L11" si="6">(D11/F11)/G11</f>
        <v>#DIV/0!</v>
      </c>
      <c r="M11" s="1261"/>
      <c r="N11" s="1261" t="e">
        <f t="shared" ref="N11" si="7">K11*I11</f>
        <v>#DIV/0!</v>
      </c>
      <c r="O11" s="1261" t="e">
        <f t="shared" ref="O11" si="8">L11*I11</f>
        <v>#DIV/0!</v>
      </c>
      <c r="AJ11" s="828">
        <v>1</v>
      </c>
      <c r="AK11" s="828" t="s">
        <v>718</v>
      </c>
      <c r="AL11" s="828">
        <f>AR22+AR2</f>
        <v>161</v>
      </c>
      <c r="AM11" s="828">
        <v>5</v>
      </c>
      <c r="AN11" s="828">
        <f>AS22+AS2</f>
        <v>161</v>
      </c>
      <c r="AQ11" s="828" t="s">
        <v>587</v>
      </c>
      <c r="AR11" s="828">
        <v>243</v>
      </c>
      <c r="AS11" s="828">
        <v>36230</v>
      </c>
      <c r="AU11" s="831" t="s">
        <v>583</v>
      </c>
      <c r="AV11" s="831">
        <v>215</v>
      </c>
      <c r="AW11" s="831">
        <v>31570</v>
      </c>
    </row>
    <row r="12" spans="1:49" ht="14.25" customHeight="1" x14ac:dyDescent="0.3">
      <c r="A12" s="1049" t="s">
        <v>761</v>
      </c>
      <c r="B12" s="1049" t="s">
        <v>154</v>
      </c>
      <c r="C12" s="1050" t="s">
        <v>14</v>
      </c>
      <c r="D12" s="1051">
        <v>0</v>
      </c>
      <c r="E12" s="1052">
        <v>2344.3407609686615</v>
      </c>
      <c r="F12" s="1307">
        <v>1</v>
      </c>
      <c r="G12" s="1096">
        <v>2724</v>
      </c>
      <c r="H12" s="1052" t="s">
        <v>750</v>
      </c>
      <c r="I12" s="1053">
        <v>185</v>
      </c>
      <c r="J12" s="1052">
        <f t="shared" si="0"/>
        <v>67.91483113069016</v>
      </c>
      <c r="K12" s="1052">
        <f t="shared" si="1"/>
        <v>0.86062436158908273</v>
      </c>
      <c r="L12" s="1052">
        <f t="shared" si="4"/>
        <v>0</v>
      </c>
      <c r="M12" s="1052" t="s">
        <v>26</v>
      </c>
      <c r="N12" s="1052">
        <f t="shared" si="2"/>
        <v>159.21550689398032</v>
      </c>
      <c r="O12" s="1052">
        <f t="shared" si="3"/>
        <v>0</v>
      </c>
      <c r="AJ12" s="828">
        <v>1</v>
      </c>
      <c r="AK12" s="828" t="s">
        <v>31</v>
      </c>
      <c r="AL12" s="828">
        <f>AS20</f>
        <v>16660</v>
      </c>
      <c r="AM12" s="828">
        <v>1000</v>
      </c>
      <c r="AN12" s="828">
        <f>AR20</f>
        <v>110</v>
      </c>
      <c r="AO12" s="1117"/>
      <c r="AQ12" s="828" t="s">
        <v>581</v>
      </c>
      <c r="AR12" s="828">
        <v>35</v>
      </c>
      <c r="AS12" s="828">
        <v>5250</v>
      </c>
      <c r="AU12" s="831" t="s">
        <v>623</v>
      </c>
      <c r="AV12" s="831">
        <v>167</v>
      </c>
      <c r="AW12" s="831">
        <v>25330</v>
      </c>
    </row>
    <row r="13" spans="1:49" ht="14.25" customHeight="1" x14ac:dyDescent="0.3">
      <c r="A13" s="1407" t="s">
        <v>876</v>
      </c>
      <c r="B13" s="1049" t="s">
        <v>154</v>
      </c>
      <c r="C13" s="1050" t="s">
        <v>234</v>
      </c>
      <c r="D13" s="1051">
        <v>0</v>
      </c>
      <c r="E13" s="1052">
        <v>309.41915227629545</v>
      </c>
      <c r="F13" s="1307">
        <v>1</v>
      </c>
      <c r="G13" s="1096">
        <f>(12*10)</f>
        <v>120</v>
      </c>
      <c r="H13" s="1052" t="s">
        <v>851</v>
      </c>
      <c r="I13" s="1053">
        <v>70</v>
      </c>
      <c r="J13" s="1052">
        <f>I13/(G13)</f>
        <v>0.58333333333333337</v>
      </c>
      <c r="K13" s="1052">
        <f t="shared" si="1"/>
        <v>2.5784929356357953</v>
      </c>
      <c r="L13" s="1052">
        <f t="shared" si="4"/>
        <v>0</v>
      </c>
      <c r="M13" s="1052" t="s">
        <v>26</v>
      </c>
      <c r="N13" s="1052">
        <f t="shared" si="2"/>
        <v>180.49450549450566</v>
      </c>
      <c r="O13" s="1052">
        <f t="shared" si="3"/>
        <v>0</v>
      </c>
      <c r="AJ13" s="828">
        <v>1</v>
      </c>
      <c r="AK13" s="828" t="s">
        <v>559</v>
      </c>
      <c r="AL13" s="828">
        <f>AS36</f>
        <v>23070</v>
      </c>
      <c r="AM13" s="828">
        <v>0</v>
      </c>
      <c r="AN13" s="828">
        <f>AR36</f>
        <v>157</v>
      </c>
      <c r="AQ13" s="828" t="s">
        <v>588</v>
      </c>
      <c r="AR13" s="828">
        <v>208</v>
      </c>
      <c r="AS13" s="828">
        <v>30980</v>
      </c>
      <c r="AU13" s="831" t="s">
        <v>581</v>
      </c>
      <c r="AV13" s="831">
        <v>37</v>
      </c>
      <c r="AW13" s="831">
        <v>5550</v>
      </c>
    </row>
    <row r="14" spans="1:49" x14ac:dyDescent="0.3">
      <c r="A14" s="1049" t="s">
        <v>164</v>
      </c>
      <c r="B14" s="1049" t="s">
        <v>154</v>
      </c>
      <c r="C14" s="1050" t="s">
        <v>14</v>
      </c>
      <c r="D14" s="1051">
        <v>8407.6557692307724</v>
      </c>
      <c r="E14" s="1052">
        <v>32955.742707852376</v>
      </c>
      <c r="F14" s="1307">
        <v>1</v>
      </c>
      <c r="G14" s="1096">
        <v>10000</v>
      </c>
      <c r="H14" s="1052" t="s">
        <v>165</v>
      </c>
      <c r="I14" s="1053">
        <v>66.959999999999994</v>
      </c>
      <c r="J14" s="1052">
        <f t="shared" si="0"/>
        <v>6.6959999999999997</v>
      </c>
      <c r="K14" s="1052">
        <f t="shared" si="1"/>
        <v>3.2955742707852376</v>
      </c>
      <c r="L14" s="1052">
        <f t="shared" si="4"/>
        <v>0.8407655769230773</v>
      </c>
      <c r="M14" s="1052" t="s">
        <v>165</v>
      </c>
      <c r="N14" s="1052">
        <f t="shared" si="2"/>
        <v>220.6716531717795</v>
      </c>
      <c r="O14" s="1052">
        <f t="shared" si="3"/>
        <v>56.29766303076925</v>
      </c>
      <c r="AJ14" s="828">
        <v>1</v>
      </c>
      <c r="AK14" s="828" t="s">
        <v>540</v>
      </c>
      <c r="AL14" s="828">
        <f>AS4</f>
        <v>36160</v>
      </c>
      <c r="AM14" s="828">
        <v>0</v>
      </c>
      <c r="AN14" s="828">
        <f>AR4</f>
        <v>246</v>
      </c>
      <c r="AQ14" s="828" t="s">
        <v>589</v>
      </c>
      <c r="AR14" s="828">
        <v>217</v>
      </c>
      <c r="AS14" s="828">
        <v>30630</v>
      </c>
      <c r="AU14" s="831" t="s">
        <v>590</v>
      </c>
      <c r="AV14" s="831">
        <v>130</v>
      </c>
      <c r="AW14" s="831">
        <v>19780</v>
      </c>
    </row>
    <row r="15" spans="1:49" ht="14.25" customHeight="1" x14ac:dyDescent="0.3">
      <c r="AJ15" s="828">
        <v>1</v>
      </c>
      <c r="AK15" s="828" t="s">
        <v>35</v>
      </c>
      <c r="AL15" s="828">
        <f>AS19</f>
        <v>21960</v>
      </c>
      <c r="AM15" s="828">
        <v>500</v>
      </c>
      <c r="AN15" s="828">
        <f>AR19</f>
        <v>147</v>
      </c>
      <c r="AO15" s="1117"/>
      <c r="AQ15" s="828" t="s">
        <v>590</v>
      </c>
      <c r="AR15" s="828">
        <v>217</v>
      </c>
      <c r="AS15" s="828">
        <v>30630</v>
      </c>
      <c r="AU15" s="831" t="s">
        <v>624</v>
      </c>
      <c r="AV15" s="831">
        <v>352</v>
      </c>
      <c r="AW15" s="831">
        <v>49800</v>
      </c>
    </row>
    <row r="16" spans="1:49" ht="14.25" customHeight="1" x14ac:dyDescent="0.3">
      <c r="A16" s="1028" t="s">
        <v>211</v>
      </c>
      <c r="B16" s="1028" t="s">
        <v>192</v>
      </c>
      <c r="C16" s="1029" t="s">
        <v>161</v>
      </c>
      <c r="D16" s="1030">
        <v>0</v>
      </c>
      <c r="E16" s="1031">
        <v>117.895</v>
      </c>
      <c r="F16" s="1032">
        <v>1</v>
      </c>
      <c r="G16" s="1103">
        <f>12*500</f>
        <v>6000</v>
      </c>
      <c r="H16" s="1029" t="s">
        <v>212</v>
      </c>
      <c r="I16" s="1029">
        <v>170.44</v>
      </c>
      <c r="J16" s="1033">
        <f>I16/6</f>
        <v>28.406666666666666</v>
      </c>
      <c r="K16" s="1034">
        <f t="shared" ref="K16:K27" si="9">(E16/F16)/G16</f>
        <v>1.9649166666666665E-2</v>
      </c>
      <c r="L16" s="1034">
        <f t="shared" ref="L16:L27" si="10">(D16/F16)/G16</f>
        <v>0</v>
      </c>
      <c r="M16" s="1034" t="s">
        <v>26</v>
      </c>
      <c r="N16" s="1034">
        <f t="shared" ref="N16:N27" si="11">K16*I16</f>
        <v>3.3490039666666664</v>
      </c>
      <c r="O16" s="1034">
        <f t="shared" ref="O16:O27" si="12">L16*I16</f>
        <v>0</v>
      </c>
      <c r="AJ16" s="828">
        <v>1</v>
      </c>
      <c r="AK16" s="828" t="s">
        <v>38</v>
      </c>
      <c r="AL16" s="828">
        <f>AS5+AS9+AS12</f>
        <v>16500</v>
      </c>
      <c r="AM16" s="828">
        <v>0</v>
      </c>
      <c r="AN16" s="828">
        <f>AR5+AR9+AR12</f>
        <v>110</v>
      </c>
      <c r="AQ16" s="828" t="s">
        <v>591</v>
      </c>
      <c r="AR16" s="828">
        <v>249</v>
      </c>
      <c r="AS16" s="828">
        <v>34230</v>
      </c>
      <c r="AU16" s="831" t="s">
        <v>625</v>
      </c>
      <c r="AV16" s="831">
        <v>352</v>
      </c>
      <c r="AW16" s="831">
        <v>49800</v>
      </c>
    </row>
    <row r="17" spans="1:49" ht="14.25" customHeight="1" x14ac:dyDescent="0.3">
      <c r="A17" s="1021" t="s">
        <v>191</v>
      </c>
      <c r="B17" s="1021" t="s">
        <v>192</v>
      </c>
      <c r="C17" s="1022" t="s">
        <v>161</v>
      </c>
      <c r="D17" s="1023">
        <v>2153.8304552590289</v>
      </c>
      <c r="E17" s="1024">
        <v>4586.138147566724</v>
      </c>
      <c r="F17" s="1025">
        <v>1</v>
      </c>
      <c r="G17" s="1104">
        <f>3790*4</f>
        <v>15160</v>
      </c>
      <c r="H17" s="1026" t="s">
        <v>193</v>
      </c>
      <c r="I17" s="1027">
        <v>265</v>
      </c>
      <c r="J17" s="1027">
        <f t="shared" ref="J17:J27" si="13">I17/(G17/1000)</f>
        <v>17.480211081794195</v>
      </c>
      <c r="K17" s="1026">
        <f t="shared" si="9"/>
        <v>0.30251570894239604</v>
      </c>
      <c r="L17" s="1026">
        <f t="shared" si="10"/>
        <v>0.14207324902764043</v>
      </c>
      <c r="M17" s="1026" t="s">
        <v>26</v>
      </c>
      <c r="N17" s="1026">
        <f t="shared" si="11"/>
        <v>80.166662869734949</v>
      </c>
      <c r="O17" s="1026">
        <f t="shared" si="12"/>
        <v>37.649410992324711</v>
      </c>
      <c r="AJ17" s="828">
        <v>1</v>
      </c>
      <c r="AK17" s="828" t="s">
        <v>39</v>
      </c>
      <c r="AL17" s="828">
        <f>AS10</f>
        <v>19560</v>
      </c>
      <c r="AM17" s="828">
        <v>0</v>
      </c>
      <c r="AN17" s="828">
        <f>AR10</f>
        <v>131</v>
      </c>
      <c r="AQ17" s="828" t="s">
        <v>592</v>
      </c>
      <c r="AR17" s="828">
        <v>249</v>
      </c>
      <c r="AS17" s="828">
        <v>34230</v>
      </c>
      <c r="AU17" s="831" t="s">
        <v>626</v>
      </c>
      <c r="AV17" s="831">
        <v>113</v>
      </c>
      <c r="AW17" s="831">
        <v>17150</v>
      </c>
    </row>
    <row r="18" spans="1:49" ht="14.25" customHeight="1" x14ac:dyDescent="0.3">
      <c r="A18" s="1021" t="s">
        <v>202</v>
      </c>
      <c r="B18" s="1021" t="s">
        <v>192</v>
      </c>
      <c r="C18" s="1022" t="s">
        <v>14</v>
      </c>
      <c r="D18" s="1023">
        <v>0</v>
      </c>
      <c r="E18" s="1024">
        <v>966.50236757865139</v>
      </c>
      <c r="F18" s="1025">
        <v>1</v>
      </c>
      <c r="G18" s="1104">
        <f>750*6</f>
        <v>4500</v>
      </c>
      <c r="H18" s="1026" t="s">
        <v>203</v>
      </c>
      <c r="I18" s="1027">
        <v>285</v>
      </c>
      <c r="J18" s="1027">
        <f t="shared" si="13"/>
        <v>63.333333333333336</v>
      </c>
      <c r="K18" s="1026">
        <f t="shared" si="9"/>
        <v>0.21477830390636699</v>
      </c>
      <c r="L18" s="1026">
        <f t="shared" si="10"/>
        <v>0</v>
      </c>
      <c r="M18" s="1026" t="s">
        <v>26</v>
      </c>
      <c r="N18" s="1026">
        <f t="shared" si="11"/>
        <v>61.211816613314589</v>
      </c>
      <c r="O18" s="1026">
        <f t="shared" si="12"/>
        <v>0</v>
      </c>
      <c r="AJ18" s="829">
        <v>2</v>
      </c>
      <c r="AK18" s="829" t="s">
        <v>43</v>
      </c>
      <c r="AL18" s="829">
        <f>AS24</f>
        <v>47570</v>
      </c>
      <c r="AM18" s="829">
        <v>0</v>
      </c>
      <c r="AN18" s="829">
        <f>AR24</f>
        <v>325</v>
      </c>
      <c r="AQ18" s="828" t="s">
        <v>593</v>
      </c>
      <c r="AR18" s="828">
        <v>147</v>
      </c>
      <c r="AS18" s="828">
        <v>21960</v>
      </c>
      <c r="AU18" s="831" t="s">
        <v>592</v>
      </c>
      <c r="AV18" s="831">
        <v>113</v>
      </c>
      <c r="AW18" s="831">
        <v>17150</v>
      </c>
    </row>
    <row r="19" spans="1:49" ht="14.25" customHeight="1" x14ac:dyDescent="0.3">
      <c r="A19" s="1028" t="s">
        <v>214</v>
      </c>
      <c r="B19" s="1028" t="s">
        <v>192</v>
      </c>
      <c r="C19" s="1029" t="s">
        <v>161</v>
      </c>
      <c r="D19" s="1030">
        <v>875.76243355641896</v>
      </c>
      <c r="E19" s="1031">
        <v>9546.5166435990868</v>
      </c>
      <c r="F19" s="1032">
        <v>1</v>
      </c>
      <c r="G19" s="1103">
        <v>12000</v>
      </c>
      <c r="H19" s="1029" t="s">
        <v>767</v>
      </c>
      <c r="I19" s="1029">
        <v>60</v>
      </c>
      <c r="J19" s="1033">
        <f t="shared" si="13"/>
        <v>5</v>
      </c>
      <c r="K19" s="1034">
        <f t="shared" si="9"/>
        <v>0.79554305363325728</v>
      </c>
      <c r="L19" s="1034">
        <f t="shared" si="10"/>
        <v>7.2980202796368243E-2</v>
      </c>
      <c r="M19" s="1034" t="s">
        <v>26</v>
      </c>
      <c r="N19" s="1034">
        <f t="shared" si="11"/>
        <v>47.73258321799544</v>
      </c>
      <c r="O19" s="1034">
        <f t="shared" si="12"/>
        <v>4.3788121677820948</v>
      </c>
      <c r="AJ19" s="829">
        <v>2</v>
      </c>
      <c r="AK19" s="829" t="s">
        <v>44</v>
      </c>
      <c r="AL19" s="829">
        <f>AS25</f>
        <v>41570</v>
      </c>
      <c r="AM19" s="829">
        <v>0</v>
      </c>
      <c r="AN19" s="829">
        <f>AR25</f>
        <v>285</v>
      </c>
      <c r="AQ19" s="828" t="s">
        <v>594</v>
      </c>
      <c r="AR19" s="828">
        <v>147</v>
      </c>
      <c r="AS19" s="828">
        <v>21960</v>
      </c>
      <c r="AU19" s="831" t="s">
        <v>862</v>
      </c>
      <c r="AV19" s="831">
        <v>324</v>
      </c>
      <c r="AW19" s="831">
        <v>46490</v>
      </c>
    </row>
    <row r="20" spans="1:49" ht="14.25" customHeight="1" x14ac:dyDescent="0.3">
      <c r="A20" s="1021" t="s">
        <v>195</v>
      </c>
      <c r="B20" s="1021" t="s">
        <v>192</v>
      </c>
      <c r="C20" s="1022" t="s">
        <v>161</v>
      </c>
      <c r="D20" s="1023">
        <v>0</v>
      </c>
      <c r="E20" s="1024">
        <v>1226.4242393427012</v>
      </c>
      <c r="F20" s="1025">
        <v>1</v>
      </c>
      <c r="G20" s="1104">
        <f>259*12</f>
        <v>3108</v>
      </c>
      <c r="H20" s="1026" t="s">
        <v>775</v>
      </c>
      <c r="I20" s="1027">
        <v>115</v>
      </c>
      <c r="J20" s="1027">
        <f t="shared" si="13"/>
        <v>37.001287001286997</v>
      </c>
      <c r="K20" s="1026">
        <f t="shared" si="9"/>
        <v>0.39460239361090771</v>
      </c>
      <c r="L20" s="1026">
        <f t="shared" si="10"/>
        <v>0</v>
      </c>
      <c r="M20" s="1026" t="s">
        <v>26</v>
      </c>
      <c r="N20" s="1026">
        <f t="shared" si="11"/>
        <v>45.379275265254385</v>
      </c>
      <c r="O20" s="1026">
        <f t="shared" si="12"/>
        <v>0</v>
      </c>
      <c r="AJ20" s="829">
        <v>2</v>
      </c>
      <c r="AK20" s="829" t="s">
        <v>860</v>
      </c>
      <c r="AL20" s="829">
        <f>AS30</f>
        <v>45050</v>
      </c>
      <c r="AM20" s="829">
        <v>3000</v>
      </c>
      <c r="AN20" s="829">
        <f>AR30</f>
        <v>301</v>
      </c>
      <c r="AO20" s="1117"/>
      <c r="AQ20" s="828" t="s">
        <v>595</v>
      </c>
      <c r="AR20" s="828">
        <v>110</v>
      </c>
      <c r="AS20" s="828">
        <v>16660</v>
      </c>
      <c r="AU20" s="831" t="s">
        <v>627</v>
      </c>
      <c r="AV20" s="831">
        <v>324</v>
      </c>
      <c r="AW20" s="831">
        <v>46490</v>
      </c>
    </row>
    <row r="21" spans="1:49" ht="14.25" customHeight="1" x14ac:dyDescent="0.3">
      <c r="A21" s="1021" t="s">
        <v>204</v>
      </c>
      <c r="B21" s="1021" t="s">
        <v>192</v>
      </c>
      <c r="C21" s="1022" t="s">
        <v>14</v>
      </c>
      <c r="D21" s="1023">
        <v>0</v>
      </c>
      <c r="E21" s="1024">
        <v>1230.5247640661939</v>
      </c>
      <c r="F21" s="1025">
        <v>1</v>
      </c>
      <c r="G21" s="1104">
        <f>3780*4</f>
        <v>15120</v>
      </c>
      <c r="H21" s="1026" t="s">
        <v>776</v>
      </c>
      <c r="I21" s="1027">
        <v>170</v>
      </c>
      <c r="J21" s="1027">
        <f t="shared" si="13"/>
        <v>11.243386243386244</v>
      </c>
      <c r="K21" s="1026">
        <f t="shared" si="9"/>
        <v>8.1383912967340863E-2</v>
      </c>
      <c r="L21" s="1026">
        <f t="shared" si="10"/>
        <v>0</v>
      </c>
      <c r="M21" s="1026" t="s">
        <v>26</v>
      </c>
      <c r="N21" s="1026">
        <f t="shared" si="11"/>
        <v>13.835265204447946</v>
      </c>
      <c r="O21" s="1026">
        <f t="shared" si="12"/>
        <v>0</v>
      </c>
      <c r="AJ21" s="829">
        <v>2</v>
      </c>
      <c r="AK21" s="829" t="s">
        <v>46</v>
      </c>
      <c r="AL21" s="829">
        <f>AS37</f>
        <v>32830</v>
      </c>
      <c r="AM21" s="829">
        <v>0</v>
      </c>
      <c r="AN21" s="829">
        <f>AR37</f>
        <v>221</v>
      </c>
      <c r="AQ21" s="828" t="s">
        <v>583</v>
      </c>
      <c r="AR21" s="828">
        <v>110</v>
      </c>
      <c r="AS21" s="828">
        <v>16660</v>
      </c>
      <c r="AU21" s="831" t="s">
        <v>628</v>
      </c>
      <c r="AV21" s="831">
        <v>183</v>
      </c>
      <c r="AW21" s="831">
        <v>27190</v>
      </c>
    </row>
    <row r="22" spans="1:49" ht="14.25" customHeight="1" x14ac:dyDescent="0.3">
      <c r="A22" s="1021" t="s">
        <v>198</v>
      </c>
      <c r="B22" s="1021" t="s">
        <v>192</v>
      </c>
      <c r="C22" s="1022" t="s">
        <v>161</v>
      </c>
      <c r="D22" s="1023">
        <v>0</v>
      </c>
      <c r="E22" s="1024">
        <v>1114.1307692307703</v>
      </c>
      <c r="F22" s="1025">
        <v>1</v>
      </c>
      <c r="G22" s="1104">
        <f>600*12</f>
        <v>7200</v>
      </c>
      <c r="H22" s="1026" t="s">
        <v>199</v>
      </c>
      <c r="I22" s="1027">
        <v>107</v>
      </c>
      <c r="J22" s="1027">
        <f t="shared" si="13"/>
        <v>14.861111111111111</v>
      </c>
      <c r="K22" s="1026">
        <f t="shared" si="9"/>
        <v>0.15474038461538475</v>
      </c>
      <c r="L22" s="1026">
        <f t="shared" si="10"/>
        <v>0</v>
      </c>
      <c r="M22" s="1026" t="s">
        <v>26</v>
      </c>
      <c r="N22" s="1026">
        <f t="shared" si="11"/>
        <v>16.557221153846168</v>
      </c>
      <c r="O22" s="1026">
        <f t="shared" si="12"/>
        <v>0</v>
      </c>
      <c r="AJ22" s="829">
        <v>2</v>
      </c>
      <c r="AK22" s="829" t="s">
        <v>48</v>
      </c>
      <c r="AL22" s="829">
        <f>AS27</f>
        <v>45930</v>
      </c>
      <c r="AM22" s="829">
        <v>500</v>
      </c>
      <c r="AN22" s="829">
        <f>AR27</f>
        <v>326</v>
      </c>
      <c r="AO22" s="1117"/>
      <c r="AQ22" s="828" t="s">
        <v>596</v>
      </c>
      <c r="AR22" s="828">
        <v>75</v>
      </c>
      <c r="AS22" s="828">
        <v>75</v>
      </c>
      <c r="AU22" s="831" t="s">
        <v>629</v>
      </c>
      <c r="AV22" s="831">
        <v>183</v>
      </c>
      <c r="AW22" s="831">
        <v>27190</v>
      </c>
    </row>
    <row r="23" spans="1:49" ht="14.25" customHeight="1" x14ac:dyDescent="0.3">
      <c r="A23" s="1021" t="s">
        <v>194</v>
      </c>
      <c r="B23" s="1021" t="s">
        <v>192</v>
      </c>
      <c r="C23" s="1022" t="s">
        <v>161</v>
      </c>
      <c r="D23" s="1023">
        <v>464.69634271978066</v>
      </c>
      <c r="E23" s="1024">
        <v>4915.3624649900303</v>
      </c>
      <c r="F23" s="1025">
        <v>1</v>
      </c>
      <c r="G23" s="1104">
        <f>355*6</f>
        <v>2130</v>
      </c>
      <c r="H23" s="1026" t="s">
        <v>774</v>
      </c>
      <c r="I23" s="1027">
        <v>125</v>
      </c>
      <c r="J23" s="1027">
        <f t="shared" si="13"/>
        <v>58.685446009389672</v>
      </c>
      <c r="K23" s="1026">
        <f t="shared" si="9"/>
        <v>2.3076819084460234</v>
      </c>
      <c r="L23" s="1026">
        <f t="shared" si="10"/>
        <v>0.21816729705154023</v>
      </c>
      <c r="M23" s="1026" t="s">
        <v>26</v>
      </c>
      <c r="N23" s="1026">
        <f t="shared" si="11"/>
        <v>288.46023855575294</v>
      </c>
      <c r="O23" s="1026">
        <f t="shared" si="12"/>
        <v>27.270912131442529</v>
      </c>
      <c r="AJ23" s="829">
        <v>2</v>
      </c>
      <c r="AK23" s="829" t="s">
        <v>51</v>
      </c>
      <c r="AL23" s="829">
        <f>AS33</f>
        <v>19750</v>
      </c>
      <c r="AM23" s="829">
        <v>0</v>
      </c>
      <c r="AN23" s="829">
        <f>AR33</f>
        <v>130</v>
      </c>
      <c r="AU23" s="831" t="s">
        <v>630</v>
      </c>
      <c r="AV23" s="831">
        <v>114</v>
      </c>
      <c r="AW23" s="831">
        <v>16410</v>
      </c>
    </row>
    <row r="24" spans="1:49" ht="14.25" customHeight="1" x14ac:dyDescent="0.3">
      <c r="A24" s="1021" t="s">
        <v>196</v>
      </c>
      <c r="B24" s="1021" t="s">
        <v>192</v>
      </c>
      <c r="C24" s="1022" t="s">
        <v>161</v>
      </c>
      <c r="D24" s="1023">
        <v>0</v>
      </c>
      <c r="E24" s="1024">
        <v>1281.5156024291502</v>
      </c>
      <c r="F24" s="1025">
        <v>1</v>
      </c>
      <c r="G24" s="1104">
        <f>625*12</f>
        <v>7500</v>
      </c>
      <c r="H24" s="1026" t="s">
        <v>197</v>
      </c>
      <c r="I24" s="1027">
        <v>170</v>
      </c>
      <c r="J24" s="1027">
        <f t="shared" si="13"/>
        <v>22.666666666666668</v>
      </c>
      <c r="K24" s="1026">
        <f t="shared" si="9"/>
        <v>0.17086874699055338</v>
      </c>
      <c r="L24" s="1026">
        <f t="shared" si="10"/>
        <v>0</v>
      </c>
      <c r="M24" s="1026" t="s">
        <v>26</v>
      </c>
      <c r="N24" s="1026">
        <f t="shared" si="11"/>
        <v>29.047686988394073</v>
      </c>
      <c r="O24" s="1026">
        <f t="shared" si="12"/>
        <v>0</v>
      </c>
      <c r="AJ24" s="829">
        <v>2</v>
      </c>
      <c r="AK24" s="829" t="s">
        <v>53</v>
      </c>
      <c r="AL24" s="829">
        <f>AS35</f>
        <v>23070</v>
      </c>
      <c r="AM24" s="829">
        <v>1000</v>
      </c>
      <c r="AN24" s="829">
        <f>AR35</f>
        <v>157</v>
      </c>
      <c r="AO24" s="1117"/>
      <c r="AQ24" s="829" t="s">
        <v>597</v>
      </c>
      <c r="AR24" s="829">
        <v>325</v>
      </c>
      <c r="AS24" s="829">
        <v>47570</v>
      </c>
      <c r="AU24" s="831" t="s">
        <v>583</v>
      </c>
      <c r="AV24" s="831">
        <v>114</v>
      </c>
      <c r="AW24" s="831">
        <v>16410</v>
      </c>
    </row>
    <row r="25" spans="1:49" ht="14.25" customHeight="1" x14ac:dyDescent="0.3">
      <c r="A25" s="1021" t="s">
        <v>200</v>
      </c>
      <c r="B25" s="1021" t="s">
        <v>192</v>
      </c>
      <c r="C25" s="1022" t="s">
        <v>161</v>
      </c>
      <c r="D25" s="1023">
        <v>5081.0260128342879</v>
      </c>
      <c r="E25" s="1024">
        <v>29433.744310303166</v>
      </c>
      <c r="F25" s="1025">
        <v>1</v>
      </c>
      <c r="G25" s="1104">
        <f>4*5000</f>
        <v>20000</v>
      </c>
      <c r="H25" s="1026" t="s">
        <v>201</v>
      </c>
      <c r="I25" s="1027">
        <v>65</v>
      </c>
      <c r="J25" s="1027">
        <f t="shared" si="13"/>
        <v>3.25</v>
      </c>
      <c r="K25" s="1026">
        <f t="shared" si="9"/>
        <v>1.4716872155151584</v>
      </c>
      <c r="L25" s="1026">
        <f t="shared" si="10"/>
        <v>0.25405130064171438</v>
      </c>
      <c r="M25" s="1026" t="s">
        <v>26</v>
      </c>
      <c r="N25" s="1026">
        <f t="shared" si="11"/>
        <v>95.659669008485295</v>
      </c>
      <c r="O25" s="1026">
        <f t="shared" si="12"/>
        <v>16.513334541711433</v>
      </c>
      <c r="AJ25" s="829">
        <v>2</v>
      </c>
      <c r="AK25" s="830" t="s">
        <v>54</v>
      </c>
      <c r="AL25" s="829">
        <f>AS42</f>
        <v>238</v>
      </c>
      <c r="AM25" s="829">
        <v>5</v>
      </c>
      <c r="AN25" s="829">
        <f>AR42</f>
        <v>238</v>
      </c>
      <c r="AQ25" s="829" t="s">
        <v>580</v>
      </c>
      <c r="AR25" s="829">
        <v>285</v>
      </c>
      <c r="AS25" s="829">
        <v>41570</v>
      </c>
      <c r="AU25" s="831" t="s">
        <v>631</v>
      </c>
      <c r="AV25" s="831">
        <v>72</v>
      </c>
      <c r="AW25" s="831">
        <v>72</v>
      </c>
    </row>
    <row r="26" spans="1:49" ht="14.25" customHeight="1" x14ac:dyDescent="0.3">
      <c r="A26" s="1021" t="s">
        <v>731</v>
      </c>
      <c r="B26" s="1021" t="s">
        <v>192</v>
      </c>
      <c r="C26" s="1022" t="s">
        <v>14</v>
      </c>
      <c r="D26" s="1023">
        <v>7872.999277864993</v>
      </c>
      <c r="E26" s="1024">
        <v>74010.84102303625</v>
      </c>
      <c r="F26" s="1025">
        <v>1</v>
      </c>
      <c r="G26" s="1104">
        <f>24*400</f>
        <v>9600</v>
      </c>
      <c r="H26" s="1026" t="s">
        <v>158</v>
      </c>
      <c r="I26" s="1027">
        <v>78.260000000000005</v>
      </c>
      <c r="J26" s="1027">
        <f t="shared" si="13"/>
        <v>8.1520833333333336</v>
      </c>
      <c r="K26" s="1026">
        <f t="shared" si="9"/>
        <v>7.7094626065662757</v>
      </c>
      <c r="L26" s="1026">
        <f t="shared" si="10"/>
        <v>0.8201040914442701</v>
      </c>
      <c r="M26" s="1026" t="s">
        <v>26</v>
      </c>
      <c r="N26" s="1026">
        <f t="shared" si="11"/>
        <v>603.34254358987675</v>
      </c>
      <c r="O26" s="1026">
        <f t="shared" si="12"/>
        <v>64.181346196428578</v>
      </c>
      <c r="AI26" s="14"/>
      <c r="AJ26" s="829">
        <v>2</v>
      </c>
      <c r="AK26" s="830" t="s">
        <v>719</v>
      </c>
      <c r="AL26" s="829">
        <f>AR42</f>
        <v>238</v>
      </c>
      <c r="AM26" s="829">
        <v>5</v>
      </c>
      <c r="AN26" s="829">
        <f>AS42</f>
        <v>238</v>
      </c>
      <c r="AQ26" s="829" t="s">
        <v>581</v>
      </c>
      <c r="AR26" s="829">
        <v>40</v>
      </c>
      <c r="AS26" s="829">
        <v>6000</v>
      </c>
    </row>
    <row r="27" spans="1:49" ht="14.25" customHeight="1" x14ac:dyDescent="0.3">
      <c r="A27" s="1028" t="s">
        <v>210</v>
      </c>
      <c r="B27" s="1028" t="s">
        <v>192</v>
      </c>
      <c r="C27" s="1029" t="s">
        <v>161</v>
      </c>
      <c r="D27" s="1030">
        <v>0</v>
      </c>
      <c r="E27" s="1031">
        <v>754.07194334934911</v>
      </c>
      <c r="F27" s="1032">
        <v>1</v>
      </c>
      <c r="G27" s="1103">
        <f>3700*4.5</f>
        <v>16650</v>
      </c>
      <c r="H27" s="1029" t="s">
        <v>768</v>
      </c>
      <c r="I27" s="1029">
        <v>36</v>
      </c>
      <c r="J27" s="1033">
        <f t="shared" si="13"/>
        <v>2.1621621621621623</v>
      </c>
      <c r="K27" s="1034">
        <f t="shared" si="9"/>
        <v>4.5289606207168112E-2</v>
      </c>
      <c r="L27" s="1034">
        <f t="shared" si="10"/>
        <v>0</v>
      </c>
      <c r="M27" s="1034" t="s">
        <v>26</v>
      </c>
      <c r="N27" s="1034">
        <f t="shared" si="11"/>
        <v>1.630425823458052</v>
      </c>
      <c r="O27" s="1034">
        <f t="shared" si="12"/>
        <v>0</v>
      </c>
      <c r="AI27" s="14"/>
      <c r="AJ27" s="829">
        <v>2</v>
      </c>
      <c r="AK27" s="830" t="s">
        <v>57</v>
      </c>
      <c r="AL27" s="829">
        <f>AS40</f>
        <v>46070</v>
      </c>
      <c r="AM27" s="829">
        <v>500</v>
      </c>
      <c r="AN27" s="829">
        <f>AR40</f>
        <v>321</v>
      </c>
      <c r="AQ27" s="829" t="s">
        <v>598</v>
      </c>
      <c r="AR27" s="829">
        <v>326</v>
      </c>
      <c r="AS27" s="829">
        <v>45930</v>
      </c>
      <c r="AU27" s="833" t="s">
        <v>752</v>
      </c>
      <c r="AV27" s="833">
        <v>139</v>
      </c>
      <c r="AW27" s="833">
        <v>139</v>
      </c>
    </row>
    <row r="28" spans="1:49" ht="14.25" customHeight="1" x14ac:dyDescent="0.3">
      <c r="AJ28" s="829">
        <v>2</v>
      </c>
      <c r="AK28" s="830" t="s">
        <v>58</v>
      </c>
      <c r="AL28" s="829">
        <f>AS26+AS28+AS31+AS39</f>
        <v>19050</v>
      </c>
      <c r="AM28" s="829">
        <v>0</v>
      </c>
      <c r="AN28" s="829">
        <f>AR26+AR28+AR31+AR39</f>
        <v>127</v>
      </c>
      <c r="AQ28" s="829" t="s">
        <v>585</v>
      </c>
      <c r="AR28" s="829">
        <v>27</v>
      </c>
      <c r="AS28" s="829">
        <v>4050</v>
      </c>
      <c r="AU28" s="833" t="s">
        <v>632</v>
      </c>
      <c r="AV28" s="833">
        <v>106</v>
      </c>
      <c r="AW28" s="833">
        <v>106</v>
      </c>
    </row>
    <row r="29" spans="1:49" ht="14.25" customHeight="1" x14ac:dyDescent="0.3">
      <c r="A29" s="1035" t="s">
        <v>209</v>
      </c>
      <c r="B29" s="1035" t="s">
        <v>206</v>
      </c>
      <c r="C29" s="1036" t="s">
        <v>161</v>
      </c>
      <c r="D29" s="1037">
        <v>6355.9654631083222</v>
      </c>
      <c r="E29" s="1038">
        <v>23120.099066347197</v>
      </c>
      <c r="F29" s="1039">
        <v>1</v>
      </c>
      <c r="G29" s="1040">
        <v>1000</v>
      </c>
      <c r="H29" s="1040" t="s">
        <v>207</v>
      </c>
      <c r="I29" s="1041">
        <v>0</v>
      </c>
      <c r="J29" s="1100">
        <f t="shared" ref="J29:J30" si="14">I29/(G29/1000)</f>
        <v>0</v>
      </c>
      <c r="K29" s="1040">
        <f>(E29/F29)/G29</f>
        <v>23.120099066347198</v>
      </c>
      <c r="L29" s="1040">
        <f>(D29/F29)/G29</f>
        <v>6.3559654631083218</v>
      </c>
      <c r="M29" s="1040" t="s">
        <v>207</v>
      </c>
      <c r="N29" s="1040">
        <f>K29*I29</f>
        <v>0</v>
      </c>
      <c r="O29" s="1040">
        <f>L29*I29</f>
        <v>0</v>
      </c>
      <c r="AJ29" s="827">
        <v>3</v>
      </c>
      <c r="AK29" s="827" t="s">
        <v>59</v>
      </c>
      <c r="AL29" s="827">
        <f>AS45</f>
        <v>30480</v>
      </c>
      <c r="AM29" s="827">
        <v>1000</v>
      </c>
      <c r="AN29" s="827">
        <f>AR45</f>
        <v>207</v>
      </c>
      <c r="AO29" s="1117"/>
      <c r="AQ29" s="829" t="s">
        <v>599</v>
      </c>
      <c r="AR29" s="829">
        <v>299</v>
      </c>
      <c r="AS29" s="829">
        <v>41880</v>
      </c>
      <c r="AU29" s="833" t="s">
        <v>633</v>
      </c>
      <c r="AV29" s="833">
        <v>139</v>
      </c>
      <c r="AW29" s="833">
        <v>20490</v>
      </c>
    </row>
    <row r="30" spans="1:49" ht="14.25" customHeight="1" x14ac:dyDescent="0.3">
      <c r="A30" s="1035" t="s">
        <v>552</v>
      </c>
      <c r="B30" s="1035" t="s">
        <v>206</v>
      </c>
      <c r="C30" s="1036" t="s">
        <v>161</v>
      </c>
      <c r="D30" s="1037">
        <v>0</v>
      </c>
      <c r="E30" s="1038">
        <v>11185.375979381444</v>
      </c>
      <c r="F30" s="1039">
        <v>1</v>
      </c>
      <c r="G30" s="1040">
        <v>1000</v>
      </c>
      <c r="H30" s="1040" t="s">
        <v>207</v>
      </c>
      <c r="I30" s="1041">
        <v>0</v>
      </c>
      <c r="J30" s="1100">
        <f t="shared" si="14"/>
        <v>0</v>
      </c>
      <c r="K30" s="1040">
        <f>(E30/F30)/G30</f>
        <v>11.185375979381444</v>
      </c>
      <c r="L30" s="1040">
        <f>(D30/F30)/G30</f>
        <v>0</v>
      </c>
      <c r="M30" s="1040" t="s">
        <v>207</v>
      </c>
      <c r="N30" s="1040">
        <f>K30*I30</f>
        <v>0</v>
      </c>
      <c r="O30" s="1040">
        <f>L30*I30</f>
        <v>0</v>
      </c>
      <c r="AJ30" s="827">
        <v>3</v>
      </c>
      <c r="AK30" s="827" t="s">
        <v>60</v>
      </c>
      <c r="AL30" s="827">
        <f>AS48</f>
        <v>25630</v>
      </c>
      <c r="AM30" s="827">
        <v>0</v>
      </c>
      <c r="AN30" s="827">
        <f>AR48</f>
        <v>175</v>
      </c>
      <c r="AQ30" s="829" t="s">
        <v>863</v>
      </c>
      <c r="AR30" s="829">
        <v>301</v>
      </c>
      <c r="AS30" s="829">
        <v>45050</v>
      </c>
      <c r="AU30" s="833" t="s">
        <v>634</v>
      </c>
      <c r="AV30" s="833">
        <v>117</v>
      </c>
      <c r="AW30" s="833">
        <v>17190</v>
      </c>
    </row>
    <row r="31" spans="1:49" ht="13.5" customHeight="1" x14ac:dyDescent="0.3">
      <c r="A31" s="1035" t="s">
        <v>213</v>
      </c>
      <c r="B31" s="1035" t="s">
        <v>206</v>
      </c>
      <c r="C31" s="1036" t="s">
        <v>161</v>
      </c>
      <c r="D31" s="1037">
        <v>172.62816025137474</v>
      </c>
      <c r="E31" s="1038">
        <v>547.45615243834857</v>
      </c>
      <c r="F31" s="1039">
        <v>1</v>
      </c>
      <c r="G31" s="1102">
        <v>10000</v>
      </c>
      <c r="H31" s="1036" t="s">
        <v>784</v>
      </c>
      <c r="I31" s="1036">
        <v>155</v>
      </c>
      <c r="J31" s="1100">
        <f>I31/(G31/1000)</f>
        <v>15.5</v>
      </c>
      <c r="K31" s="1040">
        <f t="shared" ref="K31:K33" si="15">(E31/F31)/G31</f>
        <v>5.4745615243834859E-2</v>
      </c>
      <c r="L31" s="1040">
        <f t="shared" ref="L31:L33" si="16">(D31/F31)/G31</f>
        <v>1.7262816025137472E-2</v>
      </c>
      <c r="M31" s="1040" t="s">
        <v>207</v>
      </c>
      <c r="N31" s="1040">
        <f t="shared" ref="N31:N33" si="17">K31*I31</f>
        <v>8.4855703627944035</v>
      </c>
      <c r="O31" s="1040">
        <f t="shared" ref="O31:O33" si="18">L31*I31</f>
        <v>2.675736483896308</v>
      </c>
      <c r="AJ31" s="827">
        <v>3</v>
      </c>
      <c r="AK31" s="827" t="s">
        <v>64</v>
      </c>
      <c r="AL31" s="827">
        <f>AS49</f>
        <v>25630</v>
      </c>
      <c r="AM31" s="827">
        <v>0</v>
      </c>
      <c r="AN31" s="827">
        <f>AR48</f>
        <v>175</v>
      </c>
      <c r="AQ31" s="829" t="s">
        <v>581</v>
      </c>
      <c r="AR31" s="829">
        <v>30</v>
      </c>
      <c r="AS31" s="829">
        <v>4500</v>
      </c>
      <c r="AU31" s="833" t="s">
        <v>585</v>
      </c>
      <c r="AV31" s="833">
        <v>22</v>
      </c>
      <c r="AW31" s="833">
        <v>3300</v>
      </c>
    </row>
    <row r="32" spans="1:49" ht="14.25" customHeight="1" x14ac:dyDescent="0.3">
      <c r="A32" s="1035" t="s">
        <v>208</v>
      </c>
      <c r="B32" s="1035" t="s">
        <v>206</v>
      </c>
      <c r="C32" s="1036" t="s">
        <v>161</v>
      </c>
      <c r="D32" s="1037">
        <v>0</v>
      </c>
      <c r="E32" s="1038">
        <v>812.96250000000009</v>
      </c>
      <c r="F32" s="1039">
        <v>1</v>
      </c>
      <c r="G32" s="1040">
        <f>270*24</f>
        <v>6480</v>
      </c>
      <c r="H32" s="1040" t="s">
        <v>783</v>
      </c>
      <c r="I32" s="1041">
        <v>95.65</v>
      </c>
      <c r="J32" s="1100">
        <f t="shared" ref="J32:J33" si="19">I32/(G32/1000)</f>
        <v>14.760802469135802</v>
      </c>
      <c r="K32" s="1040">
        <f t="shared" si="15"/>
        <v>0.12545717592592595</v>
      </c>
      <c r="L32" s="1040">
        <f t="shared" si="16"/>
        <v>0</v>
      </c>
      <c r="M32" s="1040" t="s">
        <v>207</v>
      </c>
      <c r="N32" s="1040">
        <f t="shared" si="17"/>
        <v>11.999978877314819</v>
      </c>
      <c r="O32" s="1040">
        <f t="shared" si="18"/>
        <v>0</v>
      </c>
      <c r="AJ32" s="827">
        <v>3</v>
      </c>
      <c r="AK32" s="827" t="s">
        <v>66</v>
      </c>
      <c r="AL32" s="827">
        <f>AS50</f>
        <v>43340</v>
      </c>
      <c r="AM32" s="827">
        <v>0</v>
      </c>
      <c r="AN32" s="827">
        <f>AR50</f>
        <v>305</v>
      </c>
      <c r="AQ32" s="829" t="s">
        <v>590</v>
      </c>
      <c r="AR32" s="829">
        <v>271</v>
      </c>
      <c r="AS32" s="829">
        <v>40550</v>
      </c>
      <c r="AU32" s="833" t="s">
        <v>635</v>
      </c>
      <c r="AV32" s="833">
        <v>349</v>
      </c>
      <c r="AW32" s="833">
        <v>50800</v>
      </c>
    </row>
    <row r="33" spans="1:49" ht="14.25" customHeight="1" x14ac:dyDescent="0.3">
      <c r="A33" s="1035" t="s">
        <v>205</v>
      </c>
      <c r="B33" s="1035" t="s">
        <v>206</v>
      </c>
      <c r="C33" s="1036" t="s">
        <v>161</v>
      </c>
      <c r="D33" s="1037">
        <v>308077.05879740563</v>
      </c>
      <c r="E33" s="1038">
        <v>790737.44129376917</v>
      </c>
      <c r="F33" s="1039">
        <v>1</v>
      </c>
      <c r="G33" s="1040">
        <v>1000</v>
      </c>
      <c r="H33" s="1040" t="s">
        <v>207</v>
      </c>
      <c r="I33" s="1041">
        <v>0</v>
      </c>
      <c r="J33" s="1100">
        <f t="shared" si="19"/>
        <v>0</v>
      </c>
      <c r="K33" s="1040">
        <f t="shared" si="15"/>
        <v>790.73744129376917</v>
      </c>
      <c r="L33" s="1040">
        <f t="shared" si="16"/>
        <v>308.07705879740564</v>
      </c>
      <c r="M33" s="1040" t="s">
        <v>207</v>
      </c>
      <c r="N33" s="1040">
        <f t="shared" si="17"/>
        <v>0</v>
      </c>
      <c r="O33" s="1040">
        <f t="shared" si="18"/>
        <v>0</v>
      </c>
      <c r="AJ33" s="827">
        <v>3</v>
      </c>
      <c r="AK33" s="827" t="s">
        <v>68</v>
      </c>
      <c r="AL33" s="827">
        <f>AS53</f>
        <v>35290</v>
      </c>
      <c r="AM33" s="827">
        <v>500</v>
      </c>
      <c r="AN33" s="827">
        <f>AR53</f>
        <v>229</v>
      </c>
      <c r="AO33" s="1117"/>
      <c r="AQ33" s="829" t="s">
        <v>600</v>
      </c>
      <c r="AR33" s="829">
        <v>130</v>
      </c>
      <c r="AS33" s="829">
        <v>19750</v>
      </c>
      <c r="AU33" s="833" t="s">
        <v>592</v>
      </c>
      <c r="AV33" s="833">
        <v>307</v>
      </c>
      <c r="AW33" s="833">
        <v>44500</v>
      </c>
    </row>
    <row r="34" spans="1:49" ht="14.25" customHeight="1" x14ac:dyDescent="0.3">
      <c r="AJ34" s="827">
        <v>3</v>
      </c>
      <c r="AK34" s="827" t="s">
        <v>872</v>
      </c>
      <c r="AL34" s="827">
        <f>AS56</f>
        <v>36910</v>
      </c>
      <c r="AM34" s="827">
        <v>3000</v>
      </c>
      <c r="AN34" s="827">
        <f>AR56</f>
        <v>255</v>
      </c>
      <c r="AO34" s="1117"/>
      <c r="AQ34" s="829" t="s">
        <v>592</v>
      </c>
      <c r="AR34" s="829">
        <v>130</v>
      </c>
      <c r="AS34" s="829">
        <v>19750</v>
      </c>
      <c r="AU34" s="833" t="s">
        <v>581</v>
      </c>
      <c r="AV34" s="833">
        <v>42</v>
      </c>
      <c r="AW34" s="833">
        <v>6300</v>
      </c>
    </row>
    <row r="35" spans="1:49" ht="14.25" customHeight="1" x14ac:dyDescent="0.3">
      <c r="A35" s="23" t="s">
        <v>760</v>
      </c>
      <c r="B35" s="23" t="s">
        <v>95</v>
      </c>
      <c r="C35" s="24" t="s">
        <v>14</v>
      </c>
      <c r="D35" s="25">
        <v>0</v>
      </c>
      <c r="E35" s="26">
        <v>270.2</v>
      </c>
      <c r="F35" s="1308">
        <v>1</v>
      </c>
      <c r="G35" s="1097">
        <f>12*200</f>
        <v>2400</v>
      </c>
      <c r="H35" s="26" t="s">
        <v>782</v>
      </c>
      <c r="I35" s="27">
        <v>104</v>
      </c>
      <c r="J35" s="27">
        <f>I35/(G35/1000)</f>
        <v>43.333333333333336</v>
      </c>
      <c r="K35" s="26">
        <f t="shared" ref="K35:K61" si="20">(E35/F35)/G35</f>
        <v>0.11258333333333333</v>
      </c>
      <c r="L35" s="26">
        <f t="shared" ref="L35:L61" si="21">(D35/F35)/G35</f>
        <v>0</v>
      </c>
      <c r="M35" s="26" t="s">
        <v>45</v>
      </c>
      <c r="N35" s="26">
        <f t="shared" ref="N35:N61" si="22">K35*I35</f>
        <v>11.708666666666666</v>
      </c>
      <c r="O35" s="26">
        <f t="shared" ref="O35:O61" si="23">L35*I35</f>
        <v>0</v>
      </c>
      <c r="AJ35" s="827">
        <v>3</v>
      </c>
      <c r="AK35" s="827" t="s">
        <v>73</v>
      </c>
      <c r="AL35" s="827">
        <f>AS59</f>
        <v>32630</v>
      </c>
      <c r="AM35" s="827">
        <v>0</v>
      </c>
      <c r="AN35" s="827">
        <f>AR59</f>
        <v>215</v>
      </c>
      <c r="AQ35" s="829" t="s">
        <v>601</v>
      </c>
      <c r="AR35" s="829">
        <v>157</v>
      </c>
      <c r="AS35" s="829">
        <v>23070</v>
      </c>
      <c r="AU35" s="833" t="s">
        <v>636</v>
      </c>
      <c r="AV35" s="833">
        <v>172</v>
      </c>
      <c r="AW35" s="833">
        <v>25280</v>
      </c>
    </row>
    <row r="36" spans="1:49" ht="14.25" customHeight="1" x14ac:dyDescent="0.3">
      <c r="A36" s="23" t="s">
        <v>136</v>
      </c>
      <c r="B36" s="23" t="s">
        <v>95</v>
      </c>
      <c r="C36" s="24" t="s">
        <v>14</v>
      </c>
      <c r="D36" s="25">
        <v>0</v>
      </c>
      <c r="E36" s="26">
        <v>219.84265734265762</v>
      </c>
      <c r="F36" s="1308">
        <v>1</v>
      </c>
      <c r="G36" s="1097">
        <v>1000</v>
      </c>
      <c r="H36" s="26" t="s">
        <v>45</v>
      </c>
      <c r="I36" s="27">
        <v>43</v>
      </c>
      <c r="J36" s="27">
        <f>I36</f>
        <v>43</v>
      </c>
      <c r="K36" s="26">
        <f t="shared" si="20"/>
        <v>0.21984265734265762</v>
      </c>
      <c r="L36" s="26">
        <f t="shared" si="21"/>
        <v>0</v>
      </c>
      <c r="M36" s="26" t="s">
        <v>45</v>
      </c>
      <c r="N36" s="26">
        <f t="shared" si="22"/>
        <v>9.4532342657342774</v>
      </c>
      <c r="O36" s="26">
        <f t="shared" si="23"/>
        <v>0</v>
      </c>
      <c r="AJ36" s="827">
        <v>3</v>
      </c>
      <c r="AK36" s="827" t="s">
        <v>74</v>
      </c>
      <c r="AL36" s="827">
        <f>AS59</f>
        <v>32630</v>
      </c>
      <c r="AM36" s="827">
        <v>0</v>
      </c>
      <c r="AN36" s="827">
        <f>AR59</f>
        <v>215</v>
      </c>
      <c r="AQ36" s="829" t="s">
        <v>602</v>
      </c>
      <c r="AR36" s="829">
        <v>157</v>
      </c>
      <c r="AS36" s="829">
        <v>23070</v>
      </c>
      <c r="AU36" s="833" t="s">
        <v>629</v>
      </c>
      <c r="AV36" s="833">
        <v>172</v>
      </c>
      <c r="AW36" s="833">
        <v>25280</v>
      </c>
    </row>
    <row r="37" spans="1:49" ht="14.25" customHeight="1" x14ac:dyDescent="0.3">
      <c r="A37" s="23" t="s">
        <v>100</v>
      </c>
      <c r="B37" s="23" t="s">
        <v>95</v>
      </c>
      <c r="C37" s="24" t="s">
        <v>14</v>
      </c>
      <c r="D37" s="25">
        <v>174.22614207221355</v>
      </c>
      <c r="E37" s="26">
        <v>1660.1423846320583</v>
      </c>
      <c r="F37" s="1308">
        <v>1</v>
      </c>
      <c r="G37" s="1097">
        <v>1000</v>
      </c>
      <c r="H37" s="26" t="s">
        <v>45</v>
      </c>
      <c r="I37" s="27">
        <v>31</v>
      </c>
      <c r="J37" s="27">
        <f t="shared" ref="J37:J53" si="24">I37/(G37/1000)</f>
        <v>31</v>
      </c>
      <c r="K37" s="26">
        <f t="shared" si="20"/>
        <v>1.6601423846320584</v>
      </c>
      <c r="L37" s="26">
        <f t="shared" si="21"/>
        <v>0.17422614207221354</v>
      </c>
      <c r="M37" s="26" t="s">
        <v>45</v>
      </c>
      <c r="N37" s="26">
        <f t="shared" si="22"/>
        <v>51.46441392359381</v>
      </c>
      <c r="O37" s="26">
        <f t="shared" si="23"/>
        <v>5.4010104042386198</v>
      </c>
      <c r="AJ37" s="827">
        <v>3</v>
      </c>
      <c r="AK37" s="827" t="s">
        <v>75</v>
      </c>
      <c r="AL37" s="827">
        <f>AS61</f>
        <v>38430</v>
      </c>
      <c r="AM37" s="827">
        <v>500</v>
      </c>
      <c r="AN37" s="827">
        <f>AR61</f>
        <v>268</v>
      </c>
      <c r="AO37" s="1117"/>
      <c r="AQ37" s="829" t="s">
        <v>603</v>
      </c>
      <c r="AR37" s="829">
        <v>221</v>
      </c>
      <c r="AS37" s="829">
        <v>32830</v>
      </c>
      <c r="AU37" s="833" t="s">
        <v>864</v>
      </c>
      <c r="AV37" s="833">
        <v>270</v>
      </c>
      <c r="AW37" s="833">
        <v>39160</v>
      </c>
    </row>
    <row r="38" spans="1:49" ht="14.25" customHeight="1" x14ac:dyDescent="0.3">
      <c r="A38" s="23" t="s">
        <v>98</v>
      </c>
      <c r="B38" s="23" t="s">
        <v>95</v>
      </c>
      <c r="C38" s="24" t="s">
        <v>14</v>
      </c>
      <c r="D38" s="25">
        <v>8.2332692307692383</v>
      </c>
      <c r="E38" s="26">
        <v>202.03798114417685</v>
      </c>
      <c r="F38" s="1308">
        <v>1</v>
      </c>
      <c r="G38" s="1097">
        <v>1000</v>
      </c>
      <c r="H38" s="26" t="s">
        <v>45</v>
      </c>
      <c r="I38" s="27">
        <v>38</v>
      </c>
      <c r="J38" s="27">
        <f t="shared" si="24"/>
        <v>38</v>
      </c>
      <c r="K38" s="26">
        <f t="shared" si="20"/>
        <v>0.20203798114417684</v>
      </c>
      <c r="L38" s="26">
        <f t="shared" si="21"/>
        <v>8.2332692307692384E-3</v>
      </c>
      <c r="M38" s="26" t="s">
        <v>45</v>
      </c>
      <c r="N38" s="26">
        <f t="shared" si="22"/>
        <v>7.6774432834787198</v>
      </c>
      <c r="O38" s="26">
        <f t="shared" si="23"/>
        <v>0.31286423076923109</v>
      </c>
      <c r="AJ38" s="827">
        <v>3</v>
      </c>
      <c r="AK38" s="827" t="s">
        <v>728</v>
      </c>
      <c r="AL38" s="827">
        <f>AS62</f>
        <v>38430</v>
      </c>
      <c r="AM38" s="827">
        <v>0</v>
      </c>
      <c r="AN38" s="827">
        <f>AR62</f>
        <v>268</v>
      </c>
      <c r="AQ38" s="829" t="s">
        <v>592</v>
      </c>
      <c r="AR38" s="829">
        <v>191</v>
      </c>
      <c r="AS38" s="829">
        <v>28330</v>
      </c>
      <c r="AU38" s="833" t="s">
        <v>637</v>
      </c>
      <c r="AV38" s="833">
        <v>239</v>
      </c>
      <c r="AW38" s="833">
        <v>34510</v>
      </c>
    </row>
    <row r="39" spans="1:49" ht="14.25" customHeight="1" x14ac:dyDescent="0.3">
      <c r="A39" s="23" t="s">
        <v>129</v>
      </c>
      <c r="B39" s="23" t="s">
        <v>95</v>
      </c>
      <c r="C39" s="24" t="s">
        <v>14</v>
      </c>
      <c r="D39" s="25">
        <v>0</v>
      </c>
      <c r="E39" s="26">
        <v>56.97190504807692</v>
      </c>
      <c r="F39" s="1308">
        <v>1</v>
      </c>
      <c r="G39" s="1097">
        <v>1000</v>
      </c>
      <c r="H39" s="26" t="s">
        <v>45</v>
      </c>
      <c r="I39" s="27">
        <v>107</v>
      </c>
      <c r="J39" s="27">
        <f t="shared" si="24"/>
        <v>107</v>
      </c>
      <c r="K39" s="26">
        <f t="shared" si="20"/>
        <v>5.6971905048076921E-2</v>
      </c>
      <c r="L39" s="26">
        <f t="shared" si="21"/>
        <v>0</v>
      </c>
      <c r="M39" s="26" t="s">
        <v>45</v>
      </c>
      <c r="N39" s="26">
        <f t="shared" si="22"/>
        <v>6.0959938401442306</v>
      </c>
      <c r="O39" s="26">
        <f t="shared" si="23"/>
        <v>0</v>
      </c>
      <c r="AJ39" s="827">
        <v>3</v>
      </c>
      <c r="AK39" s="827" t="s">
        <v>77</v>
      </c>
      <c r="AL39" s="827">
        <f>AS63</f>
        <v>14430</v>
      </c>
      <c r="AM39" s="827">
        <v>1000</v>
      </c>
      <c r="AN39" s="827">
        <f>AR63</f>
        <v>101</v>
      </c>
      <c r="AO39" s="1117"/>
      <c r="AQ39" s="829" t="s">
        <v>581</v>
      </c>
      <c r="AR39" s="829">
        <v>30</v>
      </c>
      <c r="AS39" s="829">
        <v>4500</v>
      </c>
      <c r="AU39" s="833" t="s">
        <v>581</v>
      </c>
      <c r="AV39" s="833">
        <v>31</v>
      </c>
      <c r="AW39" s="833">
        <v>4650</v>
      </c>
    </row>
    <row r="40" spans="1:49" ht="14.25" customHeight="1" x14ac:dyDescent="0.3">
      <c r="A40" s="23" t="s">
        <v>127</v>
      </c>
      <c r="B40" s="23" t="s">
        <v>95</v>
      </c>
      <c r="C40" s="24" t="s">
        <v>14</v>
      </c>
      <c r="D40" s="25">
        <v>144.15246626180837</v>
      </c>
      <c r="E40" s="26">
        <v>548.64567740328619</v>
      </c>
      <c r="F40" s="1308">
        <v>1</v>
      </c>
      <c r="G40" s="1097">
        <v>1000</v>
      </c>
      <c r="H40" s="26" t="s">
        <v>45</v>
      </c>
      <c r="I40" s="27">
        <v>125</v>
      </c>
      <c r="J40" s="27">
        <f t="shared" si="24"/>
        <v>125</v>
      </c>
      <c r="K40" s="26">
        <f t="shared" si="20"/>
        <v>0.54864567740328618</v>
      </c>
      <c r="L40" s="26">
        <f t="shared" si="21"/>
        <v>0.14415246626180836</v>
      </c>
      <c r="M40" s="26" t="s">
        <v>45</v>
      </c>
      <c r="N40" s="26">
        <f t="shared" si="22"/>
        <v>68.580709675410773</v>
      </c>
      <c r="O40" s="26">
        <f t="shared" si="23"/>
        <v>18.019058282726046</v>
      </c>
      <c r="AJ40" s="827">
        <v>3</v>
      </c>
      <c r="AK40" s="827" t="s">
        <v>78</v>
      </c>
      <c r="AL40" s="827">
        <f>AS65</f>
        <v>19110</v>
      </c>
      <c r="AM40" s="827">
        <v>1000</v>
      </c>
      <c r="AN40" s="827">
        <f>AR65</f>
        <v>129</v>
      </c>
      <c r="AO40" s="1117"/>
      <c r="AQ40" s="829" t="s">
        <v>604</v>
      </c>
      <c r="AR40" s="829">
        <v>321</v>
      </c>
      <c r="AS40" s="829">
        <v>46070</v>
      </c>
      <c r="AU40" s="833" t="s">
        <v>638</v>
      </c>
      <c r="AV40" s="833">
        <v>156</v>
      </c>
      <c r="AW40" s="833">
        <v>22750</v>
      </c>
    </row>
    <row r="41" spans="1:49" ht="14.25" customHeight="1" x14ac:dyDescent="0.3">
      <c r="A41" s="23" t="s">
        <v>123</v>
      </c>
      <c r="B41" s="23" t="s">
        <v>95</v>
      </c>
      <c r="C41" s="24" t="s">
        <v>14</v>
      </c>
      <c r="D41" s="25">
        <v>76.697886199014036</v>
      </c>
      <c r="E41" s="26">
        <v>771.84349058877945</v>
      </c>
      <c r="F41" s="1308">
        <v>1</v>
      </c>
      <c r="G41" s="1097">
        <v>1000</v>
      </c>
      <c r="H41" s="26" t="s">
        <v>45</v>
      </c>
      <c r="I41" s="27">
        <v>14</v>
      </c>
      <c r="J41" s="27">
        <f t="shared" si="24"/>
        <v>14</v>
      </c>
      <c r="K41" s="26">
        <f t="shared" si="20"/>
        <v>0.77184349058877944</v>
      </c>
      <c r="L41" s="26">
        <f t="shared" si="21"/>
        <v>7.6697886199014034E-2</v>
      </c>
      <c r="M41" s="26" t="s">
        <v>45</v>
      </c>
      <c r="N41" s="26">
        <f t="shared" si="22"/>
        <v>10.805808868242913</v>
      </c>
      <c r="O41" s="26">
        <f t="shared" si="23"/>
        <v>1.0737704067861964</v>
      </c>
      <c r="AJ41" s="827">
        <v>3</v>
      </c>
      <c r="AK41" s="827" t="s">
        <v>79</v>
      </c>
      <c r="AL41" s="827">
        <f>AS68</f>
        <v>386</v>
      </c>
      <c r="AM41" s="827">
        <v>5</v>
      </c>
      <c r="AN41" s="827">
        <f>AR68</f>
        <v>386</v>
      </c>
      <c r="AQ41" s="829" t="s">
        <v>583</v>
      </c>
      <c r="AR41" s="829">
        <v>321</v>
      </c>
      <c r="AS41" s="829">
        <v>46070</v>
      </c>
      <c r="AU41" s="833" t="s">
        <v>639</v>
      </c>
      <c r="AV41" s="833">
        <v>137</v>
      </c>
      <c r="AW41" s="833">
        <v>19900</v>
      </c>
    </row>
    <row r="42" spans="1:49" ht="14.25" customHeight="1" x14ac:dyDescent="0.3">
      <c r="A42" s="23" t="s">
        <v>121</v>
      </c>
      <c r="B42" s="23" t="s">
        <v>95</v>
      </c>
      <c r="C42" s="24" t="s">
        <v>14</v>
      </c>
      <c r="D42" s="25">
        <v>8.2332692307692383</v>
      </c>
      <c r="E42" s="26">
        <v>128.06896721760788</v>
      </c>
      <c r="F42" s="1308">
        <v>1</v>
      </c>
      <c r="G42" s="1097">
        <v>1000</v>
      </c>
      <c r="H42" s="26" t="s">
        <v>45</v>
      </c>
      <c r="I42" s="27">
        <v>15</v>
      </c>
      <c r="J42" s="27">
        <f t="shared" si="24"/>
        <v>15</v>
      </c>
      <c r="K42" s="26">
        <f t="shared" si="20"/>
        <v>0.12806896721760788</v>
      </c>
      <c r="L42" s="26">
        <f t="shared" si="21"/>
        <v>8.2332692307692384E-3</v>
      </c>
      <c r="M42" s="26" t="s">
        <v>45</v>
      </c>
      <c r="N42" s="26">
        <f t="shared" si="22"/>
        <v>1.9210345082641183</v>
      </c>
      <c r="O42" s="26">
        <f t="shared" si="23"/>
        <v>0.12349903846153858</v>
      </c>
      <c r="AJ42" s="827">
        <v>3</v>
      </c>
      <c r="AK42" s="827" t="s">
        <v>82</v>
      </c>
      <c r="AL42" s="827">
        <f>AS67+AS44</f>
        <v>141</v>
      </c>
      <c r="AM42" s="827">
        <v>5</v>
      </c>
      <c r="AN42" s="827">
        <f>AR67+AR44</f>
        <v>141</v>
      </c>
      <c r="AQ42" s="829" t="s">
        <v>605</v>
      </c>
      <c r="AR42" s="829">
        <v>238</v>
      </c>
      <c r="AS42" s="829">
        <v>238</v>
      </c>
      <c r="AU42" s="833" t="s">
        <v>581</v>
      </c>
      <c r="AV42" s="833">
        <v>19</v>
      </c>
      <c r="AW42" s="833">
        <v>2850</v>
      </c>
    </row>
    <row r="43" spans="1:49" ht="14.25" customHeight="1" x14ac:dyDescent="0.3">
      <c r="A43" s="23" t="s">
        <v>125</v>
      </c>
      <c r="B43" s="23" t="s">
        <v>95</v>
      </c>
      <c r="C43" s="24" t="s">
        <v>14</v>
      </c>
      <c r="D43" s="25">
        <v>27.727466261808381</v>
      </c>
      <c r="E43" s="26">
        <v>240.27318217521599</v>
      </c>
      <c r="F43" s="1308">
        <v>1</v>
      </c>
      <c r="G43" s="1097">
        <v>1000</v>
      </c>
      <c r="H43" s="26" t="s">
        <v>45</v>
      </c>
      <c r="I43" s="27">
        <v>37</v>
      </c>
      <c r="J43" s="27">
        <f t="shared" si="24"/>
        <v>37</v>
      </c>
      <c r="K43" s="26">
        <f t="shared" si="20"/>
        <v>0.24027318217521598</v>
      </c>
      <c r="L43" s="26">
        <f t="shared" si="21"/>
        <v>2.772746626180838E-2</v>
      </c>
      <c r="M43" s="26" t="s">
        <v>45</v>
      </c>
      <c r="N43" s="26">
        <f t="shared" si="22"/>
        <v>8.8901077404829909</v>
      </c>
      <c r="O43" s="26">
        <f t="shared" si="23"/>
        <v>1.02591625168691</v>
      </c>
      <c r="AJ43" s="827">
        <v>3</v>
      </c>
      <c r="AK43" s="827" t="s">
        <v>84</v>
      </c>
      <c r="AL43" s="827">
        <f>AS58</f>
        <v>31810</v>
      </c>
      <c r="AM43" s="827">
        <v>0</v>
      </c>
      <c r="AN43" s="827">
        <f>AR58</f>
        <v>221</v>
      </c>
      <c r="AU43" s="833" t="s">
        <v>640</v>
      </c>
      <c r="AV43" s="833">
        <v>126</v>
      </c>
      <c r="AW43" s="833">
        <v>18480</v>
      </c>
    </row>
    <row r="44" spans="1:49" ht="14.25" customHeight="1" x14ac:dyDescent="0.3">
      <c r="A44" s="23" t="s">
        <v>108</v>
      </c>
      <c r="B44" s="23" t="s">
        <v>95</v>
      </c>
      <c r="C44" s="24" t="s">
        <v>14</v>
      </c>
      <c r="D44" s="25">
        <v>1096.3507733619765</v>
      </c>
      <c r="E44" s="26">
        <v>4515.8311347797635</v>
      </c>
      <c r="F44" s="1308">
        <v>1</v>
      </c>
      <c r="G44" s="1097">
        <v>1000</v>
      </c>
      <c r="H44" s="26" t="s">
        <v>45</v>
      </c>
      <c r="I44" s="27">
        <v>8</v>
      </c>
      <c r="J44" s="27">
        <f t="shared" si="24"/>
        <v>8</v>
      </c>
      <c r="K44" s="26">
        <f t="shared" si="20"/>
        <v>4.5158311347797637</v>
      </c>
      <c r="L44" s="26">
        <f t="shared" si="21"/>
        <v>1.0963507733619766</v>
      </c>
      <c r="M44" s="26" t="s">
        <v>45</v>
      </c>
      <c r="N44" s="26">
        <f t="shared" si="22"/>
        <v>36.12664907823811</v>
      </c>
      <c r="O44" s="26">
        <f t="shared" si="23"/>
        <v>8.7708061868958129</v>
      </c>
      <c r="AJ44" s="827">
        <v>3</v>
      </c>
      <c r="AK44" s="827" t="s">
        <v>87</v>
      </c>
      <c r="AL44" s="827">
        <f>AS47</f>
        <v>25230</v>
      </c>
      <c r="AM44" s="827">
        <v>0</v>
      </c>
      <c r="AN44" s="827">
        <f>AR47</f>
        <v>172</v>
      </c>
      <c r="AQ44" s="827" t="s">
        <v>606</v>
      </c>
      <c r="AR44" s="827">
        <v>67</v>
      </c>
      <c r="AS44" s="827">
        <v>67</v>
      </c>
      <c r="AU44" s="833" t="s">
        <v>592</v>
      </c>
      <c r="AV44" s="833">
        <v>104</v>
      </c>
      <c r="AW44" s="833">
        <v>15180</v>
      </c>
    </row>
    <row r="45" spans="1:49" ht="14.25" customHeight="1" x14ac:dyDescent="0.3">
      <c r="A45" s="23" t="s">
        <v>106</v>
      </c>
      <c r="B45" s="23" t="s">
        <v>95</v>
      </c>
      <c r="C45" s="24" t="s">
        <v>14</v>
      </c>
      <c r="D45" s="25">
        <v>833.29198511388358</v>
      </c>
      <c r="E45" s="26">
        <v>5242.3426260284232</v>
      </c>
      <c r="F45" s="1308">
        <v>1</v>
      </c>
      <c r="G45" s="1097">
        <v>1000</v>
      </c>
      <c r="H45" s="26" t="s">
        <v>45</v>
      </c>
      <c r="I45" s="27">
        <v>15</v>
      </c>
      <c r="J45" s="27">
        <f t="shared" si="24"/>
        <v>15</v>
      </c>
      <c r="K45" s="26">
        <f t="shared" si="20"/>
        <v>5.2423426260284236</v>
      </c>
      <c r="L45" s="26">
        <f t="shared" si="21"/>
        <v>0.83329198511388358</v>
      </c>
      <c r="M45" s="26" t="s">
        <v>45</v>
      </c>
      <c r="N45" s="26">
        <f t="shared" si="22"/>
        <v>78.63513939042636</v>
      </c>
      <c r="O45" s="26">
        <f t="shared" si="23"/>
        <v>12.499379776708254</v>
      </c>
      <c r="AJ45" s="827">
        <v>3</v>
      </c>
      <c r="AK45" s="827" t="s">
        <v>90</v>
      </c>
      <c r="AL45" s="827">
        <f>AS46+AS52+AS54+AS57</f>
        <v>19500</v>
      </c>
      <c r="AM45" s="827">
        <v>0</v>
      </c>
      <c r="AN45" s="827">
        <f>AR46+AR52+AR54+AR57</f>
        <v>130</v>
      </c>
      <c r="AQ45" s="827" t="s">
        <v>607</v>
      </c>
      <c r="AR45" s="827">
        <v>207</v>
      </c>
      <c r="AS45" s="827">
        <v>30480</v>
      </c>
      <c r="AU45" s="833" t="s">
        <v>581</v>
      </c>
      <c r="AV45" s="833">
        <v>22</v>
      </c>
      <c r="AW45" s="833">
        <v>3300</v>
      </c>
    </row>
    <row r="46" spans="1:49" ht="14.25" customHeight="1" x14ac:dyDescent="0.3">
      <c r="A46" s="23" t="s">
        <v>104</v>
      </c>
      <c r="B46" s="23" t="s">
        <v>95</v>
      </c>
      <c r="C46" s="24" t="s">
        <v>14</v>
      </c>
      <c r="D46" s="25">
        <v>19.494197031039143</v>
      </c>
      <c r="E46" s="26">
        <v>272.95790894444679</v>
      </c>
      <c r="F46" s="1308">
        <v>1</v>
      </c>
      <c r="G46" s="1097">
        <v>1000</v>
      </c>
      <c r="H46" s="26" t="s">
        <v>45</v>
      </c>
      <c r="I46" s="27">
        <v>19</v>
      </c>
      <c r="J46" s="27">
        <f t="shared" si="24"/>
        <v>19</v>
      </c>
      <c r="K46" s="26">
        <f t="shared" si="20"/>
        <v>0.27295790894444677</v>
      </c>
      <c r="L46" s="26">
        <f t="shared" si="21"/>
        <v>1.9494197031039141E-2</v>
      </c>
      <c r="M46" s="26" t="s">
        <v>45</v>
      </c>
      <c r="N46" s="26">
        <f t="shared" si="22"/>
        <v>5.1862002699444885</v>
      </c>
      <c r="O46" s="26">
        <f t="shared" si="23"/>
        <v>0.37038974358974369</v>
      </c>
      <c r="AJ46" s="831">
        <v>4</v>
      </c>
      <c r="AK46" s="831" t="s">
        <v>92</v>
      </c>
      <c r="AL46" s="831">
        <f>AW4</f>
        <v>35400</v>
      </c>
      <c r="AM46" s="831">
        <v>500</v>
      </c>
      <c r="AN46" s="831">
        <f>AV4</f>
        <v>242</v>
      </c>
      <c r="AO46" s="1117"/>
      <c r="AQ46" s="827" t="s">
        <v>581</v>
      </c>
      <c r="AR46" s="827">
        <v>35</v>
      </c>
      <c r="AS46" s="827">
        <v>5250</v>
      </c>
      <c r="AU46" s="833" t="s">
        <v>641</v>
      </c>
      <c r="AV46" s="833">
        <v>440</v>
      </c>
      <c r="AW46" s="833">
        <v>136500</v>
      </c>
    </row>
    <row r="47" spans="1:49" ht="14.25" customHeight="1" x14ac:dyDescent="0.3">
      <c r="A47" s="23" t="s">
        <v>109</v>
      </c>
      <c r="B47" s="23" t="s">
        <v>95</v>
      </c>
      <c r="C47" s="24" t="s">
        <v>14</v>
      </c>
      <c r="D47" s="25">
        <v>0</v>
      </c>
      <c r="E47" s="26">
        <v>831.8435349154023</v>
      </c>
      <c r="F47" s="1308">
        <v>1</v>
      </c>
      <c r="G47" s="1097">
        <v>1000</v>
      </c>
      <c r="H47" s="26" t="s">
        <v>45</v>
      </c>
      <c r="I47" s="27">
        <v>26.5</v>
      </c>
      <c r="J47" s="27">
        <f t="shared" si="24"/>
        <v>26.5</v>
      </c>
      <c r="K47" s="26">
        <f t="shared" si="20"/>
        <v>0.83184353491540231</v>
      </c>
      <c r="L47" s="26">
        <f t="shared" si="21"/>
        <v>0</v>
      </c>
      <c r="M47" s="26" t="s">
        <v>45</v>
      </c>
      <c r="N47" s="26">
        <f t="shared" si="22"/>
        <v>22.043853675258163</v>
      </c>
      <c r="O47" s="26">
        <f t="shared" si="23"/>
        <v>0</v>
      </c>
      <c r="AH47" s="28"/>
      <c r="AJ47" s="831">
        <v>4</v>
      </c>
      <c r="AK47" s="831" t="s">
        <v>93</v>
      </c>
      <c r="AL47" s="831">
        <f>AW4</f>
        <v>35400</v>
      </c>
      <c r="AM47" s="831">
        <v>500</v>
      </c>
      <c r="AN47" s="831">
        <f>AV4</f>
        <v>242</v>
      </c>
      <c r="AO47" s="1117"/>
      <c r="AQ47" s="827" t="s">
        <v>608</v>
      </c>
      <c r="AR47" s="827">
        <v>172</v>
      </c>
      <c r="AS47" s="827">
        <v>25230</v>
      </c>
      <c r="AU47" s="833" t="s">
        <v>642</v>
      </c>
      <c r="AV47" s="833">
        <v>115</v>
      </c>
      <c r="AW47" s="833">
        <v>16710</v>
      </c>
    </row>
    <row r="48" spans="1:49" ht="16.25" customHeight="1" x14ac:dyDescent="0.3">
      <c r="A48" s="23" t="s">
        <v>132</v>
      </c>
      <c r="B48" s="23" t="s">
        <v>95</v>
      </c>
      <c r="C48" s="24" t="s">
        <v>14</v>
      </c>
      <c r="D48" s="25">
        <v>38.988394062078285</v>
      </c>
      <c r="E48" s="26">
        <v>38.988394062078285</v>
      </c>
      <c r="F48" s="1308">
        <v>1</v>
      </c>
      <c r="G48" s="1097">
        <v>1000</v>
      </c>
      <c r="H48" s="26" t="s">
        <v>45</v>
      </c>
      <c r="I48" s="27">
        <v>10</v>
      </c>
      <c r="J48" s="27">
        <f t="shared" si="24"/>
        <v>10</v>
      </c>
      <c r="K48" s="26">
        <f t="shared" si="20"/>
        <v>3.8988394062078283E-2</v>
      </c>
      <c r="L48" s="26">
        <f t="shared" si="21"/>
        <v>3.8988394062078283E-2</v>
      </c>
      <c r="M48" s="26" t="s">
        <v>45</v>
      </c>
      <c r="N48" s="26">
        <f t="shared" si="22"/>
        <v>0.3898839406207828</v>
      </c>
      <c r="O48" s="26">
        <f t="shared" si="23"/>
        <v>0.3898839406207828</v>
      </c>
      <c r="AH48" s="28"/>
      <c r="AJ48" s="831">
        <v>4</v>
      </c>
      <c r="AK48" s="831" t="s">
        <v>97</v>
      </c>
      <c r="AL48" s="831">
        <f>AW7</f>
        <v>19550</v>
      </c>
      <c r="AM48" s="831">
        <v>0</v>
      </c>
      <c r="AN48" s="831">
        <f>AV7</f>
        <v>131</v>
      </c>
      <c r="AO48" s="1118"/>
      <c r="AQ48" s="827" t="s">
        <v>609</v>
      </c>
      <c r="AR48" s="827">
        <v>175</v>
      </c>
      <c r="AS48" s="827">
        <v>25630</v>
      </c>
      <c r="AU48" s="833" t="s">
        <v>580</v>
      </c>
      <c r="AV48" s="833">
        <v>115</v>
      </c>
      <c r="AW48" s="833">
        <v>16710</v>
      </c>
    </row>
    <row r="49" spans="1:49" ht="14.25" customHeight="1" x14ac:dyDescent="0.3">
      <c r="A49" s="23" t="s">
        <v>150</v>
      </c>
      <c r="B49" s="23" t="s">
        <v>95</v>
      </c>
      <c r="C49" s="24" t="s">
        <v>14</v>
      </c>
      <c r="D49" s="25">
        <v>56.679748822606022</v>
      </c>
      <c r="E49" s="26">
        <v>299.91051805337548</v>
      </c>
      <c r="F49" s="1308">
        <v>1</v>
      </c>
      <c r="G49" s="1097">
        <v>1000</v>
      </c>
      <c r="H49" s="26" t="s">
        <v>45</v>
      </c>
      <c r="I49" s="27">
        <v>10</v>
      </c>
      <c r="J49" s="27">
        <f t="shared" si="24"/>
        <v>10</v>
      </c>
      <c r="K49" s="26">
        <f t="shared" si="20"/>
        <v>0.29991051805337549</v>
      </c>
      <c r="L49" s="26">
        <f t="shared" si="21"/>
        <v>5.667974882260602E-2</v>
      </c>
      <c r="M49" s="26" t="s">
        <v>45</v>
      </c>
      <c r="N49" s="26">
        <f t="shared" si="22"/>
        <v>2.9991051805337547</v>
      </c>
      <c r="O49" s="26">
        <f t="shared" si="23"/>
        <v>0.56679748822606024</v>
      </c>
      <c r="AH49" s="28"/>
      <c r="AJ49" s="831">
        <v>4</v>
      </c>
      <c r="AK49" s="831" t="s">
        <v>99</v>
      </c>
      <c r="AL49" s="831">
        <f>AW10</f>
        <v>31570</v>
      </c>
      <c r="AM49" s="831">
        <v>0</v>
      </c>
      <c r="AN49" s="831">
        <f>AV10</f>
        <v>215</v>
      </c>
      <c r="AQ49" s="827" t="s">
        <v>583</v>
      </c>
      <c r="AR49" s="827">
        <v>175</v>
      </c>
      <c r="AS49" s="827">
        <v>25630</v>
      </c>
      <c r="AU49" s="833" t="s">
        <v>643</v>
      </c>
      <c r="AV49" s="833">
        <v>194</v>
      </c>
      <c r="AW49" s="833">
        <v>28190</v>
      </c>
    </row>
    <row r="50" spans="1:49" ht="14.25" customHeight="1" x14ac:dyDescent="0.3">
      <c r="A50" s="23" t="s">
        <v>142</v>
      </c>
      <c r="B50" s="23" t="s">
        <v>95</v>
      </c>
      <c r="C50" s="24" t="s">
        <v>14</v>
      </c>
      <c r="D50" s="25">
        <v>0</v>
      </c>
      <c r="E50" s="26">
        <v>20.418181818181818</v>
      </c>
      <c r="F50" s="1308">
        <v>1</v>
      </c>
      <c r="G50" s="1097">
        <v>34</v>
      </c>
      <c r="H50" s="26" t="s">
        <v>143</v>
      </c>
      <c r="I50" s="27">
        <v>8.5</v>
      </c>
      <c r="J50" s="27">
        <f t="shared" si="24"/>
        <v>249.99999999999997</v>
      </c>
      <c r="K50" s="26">
        <f t="shared" si="20"/>
        <v>0.60053475935828882</v>
      </c>
      <c r="L50" s="26">
        <f t="shared" si="21"/>
        <v>0</v>
      </c>
      <c r="M50" s="26" t="s">
        <v>143</v>
      </c>
      <c r="N50" s="26">
        <f t="shared" si="22"/>
        <v>5.1045454545454554</v>
      </c>
      <c r="O50" s="26">
        <f t="shared" si="23"/>
        <v>0</v>
      </c>
      <c r="AH50" s="29"/>
      <c r="AJ50" s="831">
        <v>4</v>
      </c>
      <c r="AK50" s="831" t="s">
        <v>101</v>
      </c>
      <c r="AL50" s="831">
        <f>AW11</f>
        <v>31570</v>
      </c>
      <c r="AM50" s="831">
        <v>0</v>
      </c>
      <c r="AN50" s="831">
        <f>AV10</f>
        <v>215</v>
      </c>
      <c r="AQ50" s="827" t="s">
        <v>610</v>
      </c>
      <c r="AR50" s="827">
        <v>305</v>
      </c>
      <c r="AS50" s="827">
        <v>43340</v>
      </c>
      <c r="AU50" s="833" t="s">
        <v>583</v>
      </c>
      <c r="AV50" s="833">
        <v>194</v>
      </c>
      <c r="AW50" s="833">
        <v>28190</v>
      </c>
    </row>
    <row r="51" spans="1:49" ht="14.25" customHeight="1" x14ac:dyDescent="0.3">
      <c r="A51" s="23" t="s">
        <v>137</v>
      </c>
      <c r="B51" s="23" t="s">
        <v>95</v>
      </c>
      <c r="C51" s="24" t="s">
        <v>14</v>
      </c>
      <c r="D51" s="25">
        <v>0</v>
      </c>
      <c r="E51" s="26">
        <v>1052.106</v>
      </c>
      <c r="F51" s="1308">
        <v>1</v>
      </c>
      <c r="G51" s="1097">
        <v>2400</v>
      </c>
      <c r="H51" s="26" t="s">
        <v>747</v>
      </c>
      <c r="I51" s="27">
        <v>105</v>
      </c>
      <c r="J51" s="27">
        <f t="shared" si="24"/>
        <v>43.75</v>
      </c>
      <c r="K51" s="26">
        <f t="shared" si="20"/>
        <v>0.43837749999999998</v>
      </c>
      <c r="L51" s="26">
        <f t="shared" si="21"/>
        <v>0</v>
      </c>
      <c r="M51" s="26" t="s">
        <v>138</v>
      </c>
      <c r="N51" s="26">
        <f t="shared" si="22"/>
        <v>46.0296375</v>
      </c>
      <c r="O51" s="26">
        <f t="shared" si="23"/>
        <v>0</v>
      </c>
      <c r="Q51" s="1"/>
      <c r="AH51" s="29"/>
      <c r="AJ51" s="831">
        <v>4</v>
      </c>
      <c r="AK51" s="831" t="s">
        <v>103</v>
      </c>
      <c r="AL51" s="831">
        <f>AW12</f>
        <v>25330</v>
      </c>
      <c r="AM51" s="831">
        <v>0</v>
      </c>
      <c r="AN51" s="831">
        <f>AV12</f>
        <v>167</v>
      </c>
      <c r="AQ51" s="827" t="s">
        <v>592</v>
      </c>
      <c r="AR51" s="827">
        <v>276</v>
      </c>
      <c r="AS51" s="827">
        <v>38990</v>
      </c>
      <c r="AU51" s="833" t="s">
        <v>644</v>
      </c>
      <c r="AV51" s="833">
        <v>64</v>
      </c>
      <c r="AW51" s="833">
        <v>64</v>
      </c>
    </row>
    <row r="52" spans="1:49" ht="14.25" customHeight="1" x14ac:dyDescent="0.3">
      <c r="A52" s="23" t="s">
        <v>116</v>
      </c>
      <c r="B52" s="23" t="s">
        <v>95</v>
      </c>
      <c r="C52" s="24" t="s">
        <v>14</v>
      </c>
      <c r="D52" s="25">
        <v>246.65599696356287</v>
      </c>
      <c r="E52" s="26">
        <v>362.04731275303652</v>
      </c>
      <c r="F52" s="1308">
        <v>1</v>
      </c>
      <c r="G52" s="1097">
        <v>10000</v>
      </c>
      <c r="H52" s="26" t="s">
        <v>117</v>
      </c>
      <c r="I52" s="27">
        <v>145</v>
      </c>
      <c r="J52" s="27">
        <f t="shared" si="24"/>
        <v>14.5</v>
      </c>
      <c r="K52" s="26">
        <f t="shared" si="20"/>
        <v>3.6204731275303652E-2</v>
      </c>
      <c r="L52" s="26">
        <f t="shared" si="21"/>
        <v>2.4665599696356288E-2</v>
      </c>
      <c r="M52" s="26" t="s">
        <v>26</v>
      </c>
      <c r="N52" s="26">
        <f t="shared" si="22"/>
        <v>5.2496860349190291</v>
      </c>
      <c r="O52" s="26">
        <f t="shared" si="23"/>
        <v>3.5765119559716618</v>
      </c>
      <c r="Q52" s="1"/>
      <c r="AH52" s="29"/>
      <c r="AJ52" s="831">
        <v>4</v>
      </c>
      <c r="AK52" s="831" t="s">
        <v>105</v>
      </c>
      <c r="AL52" s="831">
        <f>AW15</f>
        <v>49800</v>
      </c>
      <c r="AM52" s="831">
        <v>500</v>
      </c>
      <c r="AN52" s="831">
        <f>AV15</f>
        <v>352</v>
      </c>
      <c r="AO52" s="1117"/>
      <c r="AQ52" s="827" t="s">
        <v>581</v>
      </c>
      <c r="AR52" s="827">
        <v>29</v>
      </c>
      <c r="AS52" s="827">
        <v>4350</v>
      </c>
    </row>
    <row r="53" spans="1:49" ht="14.25" customHeight="1" x14ac:dyDescent="0.3">
      <c r="A53" s="23" t="s">
        <v>759</v>
      </c>
      <c r="B53" s="23" t="s">
        <v>95</v>
      </c>
      <c r="C53" s="24" t="s">
        <v>14</v>
      </c>
      <c r="D53" s="25">
        <v>0</v>
      </c>
      <c r="E53" s="26">
        <v>127.81201702057342</v>
      </c>
      <c r="F53" s="1308">
        <v>1</v>
      </c>
      <c r="G53" s="1097">
        <v>50</v>
      </c>
      <c r="H53" s="26" t="s">
        <v>134</v>
      </c>
      <c r="I53" s="27">
        <v>2.6</v>
      </c>
      <c r="J53" s="27">
        <f t="shared" si="24"/>
        <v>52</v>
      </c>
      <c r="K53" s="26">
        <f t="shared" si="20"/>
        <v>2.5562403404114686</v>
      </c>
      <c r="L53" s="26">
        <f t="shared" si="21"/>
        <v>0</v>
      </c>
      <c r="M53" s="26" t="s">
        <v>134</v>
      </c>
      <c r="N53" s="26">
        <f t="shared" si="22"/>
        <v>6.6462248850698185</v>
      </c>
      <c r="O53" s="26">
        <f t="shared" si="23"/>
        <v>0</v>
      </c>
      <c r="Q53" s="1"/>
      <c r="AJ53" s="831">
        <v>4</v>
      </c>
      <c r="AK53" s="831" t="s">
        <v>107</v>
      </c>
      <c r="AL53" s="831">
        <f>AW17</f>
        <v>17150</v>
      </c>
      <c r="AM53" s="831">
        <v>0</v>
      </c>
      <c r="AN53" s="831">
        <f>AV17</f>
        <v>113</v>
      </c>
      <c r="AQ53" s="827" t="s">
        <v>611</v>
      </c>
      <c r="AR53" s="827">
        <v>229</v>
      </c>
      <c r="AS53" s="827">
        <v>35290</v>
      </c>
      <c r="AU53" s="834" t="s">
        <v>752</v>
      </c>
      <c r="AV53" s="834">
        <v>152</v>
      </c>
      <c r="AW53" s="834">
        <v>152</v>
      </c>
    </row>
    <row r="54" spans="1:49" ht="14.25" customHeight="1" x14ac:dyDescent="0.3">
      <c r="A54" s="23" t="s">
        <v>140</v>
      </c>
      <c r="B54" s="23" t="s">
        <v>95</v>
      </c>
      <c r="C54" s="24" t="s">
        <v>14</v>
      </c>
      <c r="D54" s="25">
        <v>1151.1389455093779</v>
      </c>
      <c r="E54" s="26">
        <v>5498.2714969517019</v>
      </c>
      <c r="F54" s="1308">
        <v>1</v>
      </c>
      <c r="G54" s="1097">
        <f>20*24*12</f>
        <v>5760</v>
      </c>
      <c r="H54" s="26" t="s">
        <v>26</v>
      </c>
      <c r="I54" s="27">
        <v>88</v>
      </c>
      <c r="J54" s="27">
        <f>I54/5.76</f>
        <v>15.277777777777779</v>
      </c>
      <c r="K54" s="26">
        <f t="shared" si="20"/>
        <v>0.95456102377633711</v>
      </c>
      <c r="L54" s="26">
        <f t="shared" si="21"/>
        <v>0.19985051137315588</v>
      </c>
      <c r="M54" s="26" t="s">
        <v>26</v>
      </c>
      <c r="N54" s="26">
        <f t="shared" si="22"/>
        <v>84.001370092317671</v>
      </c>
      <c r="O54" s="26">
        <f t="shared" si="23"/>
        <v>17.586845000837716</v>
      </c>
      <c r="Q54" s="1"/>
      <c r="AJ54" s="831">
        <v>4</v>
      </c>
      <c r="AK54" s="831" t="s">
        <v>865</v>
      </c>
      <c r="AL54" s="831">
        <f>AW19</f>
        <v>46490</v>
      </c>
      <c r="AM54" s="831">
        <v>2000</v>
      </c>
      <c r="AN54" s="831">
        <f>AV19</f>
        <v>324</v>
      </c>
      <c r="AO54" s="1117"/>
      <c r="AQ54" s="827" t="s">
        <v>581</v>
      </c>
      <c r="AR54" s="827">
        <v>32</v>
      </c>
      <c r="AS54" s="827">
        <v>4800</v>
      </c>
      <c r="AU54" s="834" t="s">
        <v>670</v>
      </c>
      <c r="AV54" s="834">
        <v>94</v>
      </c>
      <c r="AW54" s="834">
        <v>94</v>
      </c>
    </row>
    <row r="55" spans="1:49" ht="14.25" customHeight="1" x14ac:dyDescent="0.3">
      <c r="A55" s="23" t="s">
        <v>147</v>
      </c>
      <c r="B55" s="23" t="s">
        <v>95</v>
      </c>
      <c r="C55" s="24" t="s">
        <v>14</v>
      </c>
      <c r="D55" s="25">
        <v>0</v>
      </c>
      <c r="E55" s="26">
        <v>243.23076923076945</v>
      </c>
      <c r="F55" s="1308">
        <v>1</v>
      </c>
      <c r="G55" s="1097">
        <v>1000</v>
      </c>
      <c r="H55" s="26" t="s">
        <v>45</v>
      </c>
      <c r="I55" s="27">
        <v>12</v>
      </c>
      <c r="J55" s="27">
        <f>I55/(G55/1000)</f>
        <v>12</v>
      </c>
      <c r="K55" s="26">
        <f t="shared" si="20"/>
        <v>0.24323076923076944</v>
      </c>
      <c r="L55" s="26">
        <f t="shared" si="21"/>
        <v>0</v>
      </c>
      <c r="M55" s="26" t="s">
        <v>45</v>
      </c>
      <c r="N55" s="26">
        <f t="shared" si="22"/>
        <v>2.9187692307692332</v>
      </c>
      <c r="O55" s="26">
        <f t="shared" si="23"/>
        <v>0</v>
      </c>
      <c r="Q55" s="1"/>
      <c r="AJ55" s="831">
        <v>4</v>
      </c>
      <c r="AK55" s="831" t="s">
        <v>110</v>
      </c>
      <c r="AL55" s="831">
        <f>AW20</f>
        <v>46490</v>
      </c>
      <c r="AM55" s="831">
        <v>500</v>
      </c>
      <c r="AN55" s="831">
        <f>AV20</f>
        <v>324</v>
      </c>
      <c r="AO55" s="1117"/>
      <c r="AQ55" s="827" t="s">
        <v>590</v>
      </c>
      <c r="AR55" s="827">
        <v>197</v>
      </c>
      <c r="AS55" s="827">
        <v>30490</v>
      </c>
      <c r="AU55" s="834" t="s">
        <v>671</v>
      </c>
      <c r="AV55" s="834">
        <v>218</v>
      </c>
      <c r="AW55" s="834">
        <v>32240</v>
      </c>
    </row>
    <row r="56" spans="1:49" ht="14.25" customHeight="1" x14ac:dyDescent="0.3">
      <c r="A56" s="23" t="s">
        <v>111</v>
      </c>
      <c r="B56" s="23" t="s">
        <v>95</v>
      </c>
      <c r="C56" s="24" t="s">
        <v>14</v>
      </c>
      <c r="D56" s="25">
        <v>205.58849882260603</v>
      </c>
      <c r="E56" s="26">
        <v>617.25081295766938</v>
      </c>
      <c r="F56" s="1308">
        <v>1</v>
      </c>
      <c r="G56" s="1097">
        <v>2724</v>
      </c>
      <c r="H56" s="26" t="s">
        <v>112</v>
      </c>
      <c r="I56" s="27">
        <v>175</v>
      </c>
      <c r="J56" s="27">
        <f>I56/(G56/1000)</f>
        <v>64.243759177679877</v>
      </c>
      <c r="K56" s="26">
        <f t="shared" si="20"/>
        <v>0.22659721474216937</v>
      </c>
      <c r="L56" s="26">
        <f t="shared" si="21"/>
        <v>7.5473017188915581E-2</v>
      </c>
      <c r="M56" s="26" t="s">
        <v>26</v>
      </c>
      <c r="N56" s="26">
        <f t="shared" si="22"/>
        <v>39.654512579879643</v>
      </c>
      <c r="O56" s="26">
        <f t="shared" si="23"/>
        <v>13.207778008060227</v>
      </c>
      <c r="Q56" s="1"/>
      <c r="AJ56" s="831">
        <v>4</v>
      </c>
      <c r="AK56" s="831" t="s">
        <v>495</v>
      </c>
      <c r="AL56" s="831">
        <f>AW21</f>
        <v>27190</v>
      </c>
      <c r="AM56" s="831">
        <v>500</v>
      </c>
      <c r="AN56" s="831">
        <f>AV21</f>
        <v>183</v>
      </c>
      <c r="AO56" s="1117"/>
      <c r="AQ56" s="827" t="s">
        <v>874</v>
      </c>
      <c r="AR56" s="827">
        <v>255</v>
      </c>
      <c r="AS56" s="827">
        <v>36910</v>
      </c>
      <c r="AU56" s="834" t="s">
        <v>581</v>
      </c>
      <c r="AV56" s="834">
        <v>31</v>
      </c>
      <c r="AW56" s="834">
        <v>4650</v>
      </c>
    </row>
    <row r="57" spans="1:49" ht="14.25" customHeight="1" x14ac:dyDescent="0.3">
      <c r="A57" s="23" t="s">
        <v>114</v>
      </c>
      <c r="B57" s="23" t="s">
        <v>95</v>
      </c>
      <c r="C57" s="24" t="s">
        <v>14</v>
      </c>
      <c r="D57" s="25">
        <v>19.759846153846173</v>
      </c>
      <c r="E57" s="26">
        <v>331.00278735550171</v>
      </c>
      <c r="F57" s="1308">
        <v>1</v>
      </c>
      <c r="G57" s="1097">
        <v>1000</v>
      </c>
      <c r="H57" s="26" t="s">
        <v>45</v>
      </c>
      <c r="I57" s="27">
        <v>20</v>
      </c>
      <c r="J57" s="27">
        <f>I57/(G57/1000)</f>
        <v>20</v>
      </c>
      <c r="K57" s="26">
        <f t="shared" si="20"/>
        <v>0.3310027873555017</v>
      </c>
      <c r="L57" s="26">
        <f t="shared" si="21"/>
        <v>1.9759846153846173E-2</v>
      </c>
      <c r="M57" s="26" t="s">
        <v>45</v>
      </c>
      <c r="N57" s="26">
        <f t="shared" si="22"/>
        <v>6.6200557471100341</v>
      </c>
      <c r="O57" s="26">
        <f t="shared" si="23"/>
        <v>0.39519692307692345</v>
      </c>
      <c r="Q57" s="1"/>
      <c r="AJ57" s="831">
        <v>4</v>
      </c>
      <c r="AK57" s="831" t="s">
        <v>113</v>
      </c>
      <c r="AL57" s="831">
        <f>AW23</f>
        <v>16410</v>
      </c>
      <c r="AM57" s="831">
        <v>500</v>
      </c>
      <c r="AN57" s="831">
        <f>AV23</f>
        <v>114</v>
      </c>
      <c r="AO57" s="1117"/>
      <c r="AQ57" s="827" t="s">
        <v>581</v>
      </c>
      <c r="AR57" s="827">
        <v>34</v>
      </c>
      <c r="AS57" s="827">
        <v>5100</v>
      </c>
      <c r="AU57" s="834" t="s">
        <v>672</v>
      </c>
      <c r="AV57" s="834">
        <v>187</v>
      </c>
      <c r="AW57" s="834">
        <v>27590</v>
      </c>
    </row>
    <row r="58" spans="1:49" ht="14.25" customHeight="1" x14ac:dyDescent="0.3">
      <c r="A58" s="23" t="s">
        <v>94</v>
      </c>
      <c r="B58" s="23" t="s">
        <v>95</v>
      </c>
      <c r="C58" s="24" t="s">
        <v>14</v>
      </c>
      <c r="D58" s="25">
        <v>2056.4413076185474</v>
      </c>
      <c r="E58" s="26">
        <v>10668.109793199932</v>
      </c>
      <c r="F58" s="1308">
        <v>1</v>
      </c>
      <c r="G58" s="1097">
        <v>50000</v>
      </c>
      <c r="H58" s="26" t="s">
        <v>96</v>
      </c>
      <c r="I58" s="27">
        <v>37</v>
      </c>
      <c r="J58" s="27">
        <f>I58/(G58/1000)</f>
        <v>0.74</v>
      </c>
      <c r="K58" s="26">
        <f t="shared" si="20"/>
        <v>0.21336219586399863</v>
      </c>
      <c r="L58" s="26">
        <f t="shared" si="21"/>
        <v>4.1128826152370949E-2</v>
      </c>
      <c r="M58" s="26" t="s">
        <v>45</v>
      </c>
      <c r="N58" s="26">
        <f t="shared" si="22"/>
        <v>7.8944012469679494</v>
      </c>
      <c r="O58" s="26">
        <f t="shared" si="23"/>
        <v>1.5217665676377252</v>
      </c>
      <c r="AJ58" s="831">
        <v>4</v>
      </c>
      <c r="AK58" s="831" t="s">
        <v>115</v>
      </c>
      <c r="AL58" s="831">
        <f>AW24</f>
        <v>16410</v>
      </c>
      <c r="AM58" s="831">
        <v>500</v>
      </c>
      <c r="AN58" s="831">
        <f>AV24</f>
        <v>114</v>
      </c>
      <c r="AQ58" s="827" t="s">
        <v>612</v>
      </c>
      <c r="AR58" s="827">
        <v>221</v>
      </c>
      <c r="AS58" s="827">
        <v>31810</v>
      </c>
      <c r="AU58" s="834" t="s">
        <v>673</v>
      </c>
      <c r="AV58" s="834">
        <v>295</v>
      </c>
      <c r="AW58" s="834">
        <v>43040</v>
      </c>
    </row>
    <row r="59" spans="1:49" ht="14.25" customHeight="1" x14ac:dyDescent="0.3">
      <c r="A59" s="23" t="s">
        <v>130</v>
      </c>
      <c r="B59" s="23" t="s">
        <v>95</v>
      </c>
      <c r="C59" s="24" t="s">
        <v>14</v>
      </c>
      <c r="D59" s="25">
        <v>19.494197031039143</v>
      </c>
      <c r="E59" s="26">
        <v>51.260540092101799</v>
      </c>
      <c r="F59" s="1308">
        <v>1</v>
      </c>
      <c r="G59" s="1097">
        <v>1000</v>
      </c>
      <c r="H59" s="26" t="s">
        <v>45</v>
      </c>
      <c r="I59" s="27">
        <v>31.5</v>
      </c>
      <c r="J59" s="27">
        <f>I59</f>
        <v>31.5</v>
      </c>
      <c r="K59" s="26">
        <f t="shared" si="20"/>
        <v>5.1260540092101799E-2</v>
      </c>
      <c r="L59" s="26">
        <f t="shared" si="21"/>
        <v>1.9494197031039141E-2</v>
      </c>
      <c r="M59" s="26" t="s">
        <v>45</v>
      </c>
      <c r="N59" s="26">
        <f t="shared" si="22"/>
        <v>1.6147070129012067</v>
      </c>
      <c r="O59" s="26">
        <f t="shared" si="23"/>
        <v>0.61406720647773294</v>
      </c>
      <c r="AJ59" s="831">
        <v>4</v>
      </c>
      <c r="AK59" s="832" t="s">
        <v>118</v>
      </c>
      <c r="AL59" s="831">
        <f>AW25+AW3</f>
        <v>147</v>
      </c>
      <c r="AM59" s="831">
        <v>5</v>
      </c>
      <c r="AN59" s="831">
        <f>AV25+AV3</f>
        <v>147</v>
      </c>
      <c r="AQ59" s="827" t="s">
        <v>613</v>
      </c>
      <c r="AR59" s="827">
        <v>215</v>
      </c>
      <c r="AS59" s="827">
        <v>32630</v>
      </c>
      <c r="AU59" s="834" t="s">
        <v>592</v>
      </c>
      <c r="AV59" s="834">
        <v>274</v>
      </c>
      <c r="AW59" s="834">
        <v>39890</v>
      </c>
    </row>
    <row r="60" spans="1:49" ht="14.25" customHeight="1" x14ac:dyDescent="0.3">
      <c r="A60" s="23" t="s">
        <v>119</v>
      </c>
      <c r="B60" s="23" t="s">
        <v>95</v>
      </c>
      <c r="C60" s="24" t="s">
        <v>14</v>
      </c>
      <c r="D60" s="25">
        <v>41.449581646423781</v>
      </c>
      <c r="E60" s="26">
        <v>307.7116295984718</v>
      </c>
      <c r="F60" s="1308">
        <v>1</v>
      </c>
      <c r="G60" s="1097">
        <v>1000</v>
      </c>
      <c r="H60" s="26" t="s">
        <v>45</v>
      </c>
      <c r="I60" s="27">
        <v>15</v>
      </c>
      <c r="J60" s="27">
        <f>I60/(G60/1000)</f>
        <v>15</v>
      </c>
      <c r="K60" s="26">
        <f t="shared" si="20"/>
        <v>0.30771162959847181</v>
      </c>
      <c r="L60" s="26">
        <f t="shared" si="21"/>
        <v>4.1449581646423782E-2</v>
      </c>
      <c r="M60" s="26" t="s">
        <v>45</v>
      </c>
      <c r="N60" s="26">
        <f t="shared" si="22"/>
        <v>4.6156744439770776</v>
      </c>
      <c r="O60" s="26">
        <f t="shared" si="23"/>
        <v>0.62174372469635675</v>
      </c>
      <c r="AJ60" s="831">
        <v>4</v>
      </c>
      <c r="AK60" s="832" t="s">
        <v>120</v>
      </c>
      <c r="AL60" s="831">
        <f>AW6</f>
        <v>28200</v>
      </c>
      <c r="AM60" s="831">
        <v>0</v>
      </c>
      <c r="AN60" s="831">
        <f>AV6</f>
        <v>194</v>
      </c>
      <c r="AQ60" s="827" t="s">
        <v>592</v>
      </c>
      <c r="AR60" s="827">
        <v>215</v>
      </c>
      <c r="AS60" s="827">
        <v>32630</v>
      </c>
      <c r="AU60" s="834" t="s">
        <v>581</v>
      </c>
      <c r="AV60" s="834">
        <v>21</v>
      </c>
      <c r="AW60" s="834">
        <v>3150</v>
      </c>
    </row>
    <row r="61" spans="1:49" ht="14.25" customHeight="1" x14ac:dyDescent="0.3">
      <c r="A61" s="23" t="s">
        <v>102</v>
      </c>
      <c r="B61" s="23" t="s">
        <v>95</v>
      </c>
      <c r="C61" s="24" t="s">
        <v>14</v>
      </c>
      <c r="D61" s="25">
        <v>35.006315789473689</v>
      </c>
      <c r="E61" s="26">
        <v>440.02481164398262</v>
      </c>
      <c r="F61" s="1308">
        <v>1</v>
      </c>
      <c r="G61" s="1097">
        <v>1000</v>
      </c>
      <c r="H61" s="26" t="s">
        <v>45</v>
      </c>
      <c r="I61" s="27">
        <v>47</v>
      </c>
      <c r="J61" s="27">
        <f>I61/(G61/1000)</f>
        <v>47</v>
      </c>
      <c r="K61" s="26">
        <f t="shared" si="20"/>
        <v>0.44002481164398261</v>
      </c>
      <c r="L61" s="26">
        <f t="shared" si="21"/>
        <v>3.5006315789473691E-2</v>
      </c>
      <c r="M61" s="26" t="s">
        <v>45</v>
      </c>
      <c r="N61" s="26">
        <f t="shared" si="22"/>
        <v>20.681166147267181</v>
      </c>
      <c r="O61" s="26">
        <f t="shared" si="23"/>
        <v>1.6452968421052634</v>
      </c>
      <c r="AJ61" s="831">
        <v>4</v>
      </c>
      <c r="AK61" s="831" t="s">
        <v>122</v>
      </c>
      <c r="AL61" s="831">
        <f>AW5+AW9+AW13</f>
        <v>18150</v>
      </c>
      <c r="AM61" s="831">
        <v>0</v>
      </c>
      <c r="AN61" s="831">
        <f>AV5+AV9+AV13</f>
        <v>121</v>
      </c>
      <c r="AQ61" s="827" t="s">
        <v>614</v>
      </c>
      <c r="AR61" s="827">
        <v>268</v>
      </c>
      <c r="AS61" s="827">
        <v>38430</v>
      </c>
      <c r="AU61" s="834" t="s">
        <v>674</v>
      </c>
      <c r="AV61" s="834">
        <v>210</v>
      </c>
      <c r="AW61" s="834">
        <v>30910</v>
      </c>
    </row>
    <row r="62" spans="1:49" ht="14.25" customHeight="1" x14ac:dyDescent="0.3">
      <c r="AJ62" s="833">
        <v>5</v>
      </c>
      <c r="AK62" s="833" t="s">
        <v>124</v>
      </c>
      <c r="AL62" s="833">
        <f>AW29</f>
        <v>20490</v>
      </c>
      <c r="AM62" s="833">
        <v>1000</v>
      </c>
      <c r="AN62" s="833">
        <f>AV29</f>
        <v>139</v>
      </c>
      <c r="AO62" s="1117"/>
      <c r="AQ62" s="827" t="s">
        <v>615</v>
      </c>
      <c r="AR62" s="827">
        <v>268</v>
      </c>
      <c r="AS62" s="827">
        <v>38430</v>
      </c>
      <c r="AU62" s="834" t="s">
        <v>581</v>
      </c>
      <c r="AV62" s="834">
        <v>23</v>
      </c>
      <c r="AW62" s="834">
        <v>3450</v>
      </c>
    </row>
    <row r="63" spans="1:49" ht="14.25" customHeight="1" x14ac:dyDescent="0.3">
      <c r="A63" s="49" t="s">
        <v>217</v>
      </c>
      <c r="B63" s="49" t="s">
        <v>215</v>
      </c>
      <c r="C63" s="50" t="s">
        <v>14</v>
      </c>
      <c r="D63" s="51">
        <v>0</v>
      </c>
      <c r="E63" s="52">
        <v>11.656123608247423</v>
      </c>
      <c r="F63" s="53">
        <v>1</v>
      </c>
      <c r="G63" s="54">
        <v>100</v>
      </c>
      <c r="H63" s="54" t="s">
        <v>67</v>
      </c>
      <c r="I63" s="1005">
        <v>4</v>
      </c>
      <c r="J63" s="1005">
        <f>I63/0.1</f>
        <v>40</v>
      </c>
      <c r="K63" s="54">
        <f>(E63/F63)/G63</f>
        <v>0.11656123608247423</v>
      </c>
      <c r="L63" s="54">
        <f>(D63/F63)/G63</f>
        <v>0</v>
      </c>
      <c r="M63" s="54" t="s">
        <v>42</v>
      </c>
      <c r="N63" s="54">
        <f>K63*I63</f>
        <v>0.46624494432989694</v>
      </c>
      <c r="O63" s="54">
        <f>L63*I63</f>
        <v>0</v>
      </c>
      <c r="AJ63" s="833">
        <v>5</v>
      </c>
      <c r="AK63" s="833" t="s">
        <v>126</v>
      </c>
      <c r="AL63" s="833">
        <f>AW32</f>
        <v>50800</v>
      </c>
      <c r="AM63" s="833">
        <v>1000</v>
      </c>
      <c r="AN63" s="833">
        <f>AV32</f>
        <v>349</v>
      </c>
      <c r="AQ63" s="827" t="s">
        <v>616</v>
      </c>
      <c r="AR63" s="827">
        <v>101</v>
      </c>
      <c r="AS63" s="827">
        <v>14430</v>
      </c>
      <c r="AU63" s="834" t="s">
        <v>675</v>
      </c>
      <c r="AV63" s="834">
        <v>187</v>
      </c>
      <c r="AW63" s="834">
        <v>27460</v>
      </c>
    </row>
    <row r="64" spans="1:49" ht="14.25" customHeight="1" x14ac:dyDescent="0.3">
      <c r="A64" s="49" t="s">
        <v>219</v>
      </c>
      <c r="B64" s="49" t="s">
        <v>215</v>
      </c>
      <c r="C64" s="50" t="s">
        <v>14</v>
      </c>
      <c r="D64" s="51">
        <v>0</v>
      </c>
      <c r="E64" s="52">
        <v>124.73574045002621</v>
      </c>
      <c r="F64" s="53">
        <v>1</v>
      </c>
      <c r="G64" s="54">
        <v>10000</v>
      </c>
      <c r="H64" s="54" t="s">
        <v>800</v>
      </c>
      <c r="I64" s="1005">
        <v>60</v>
      </c>
      <c r="J64" s="1005">
        <f>I64/20</f>
        <v>3</v>
      </c>
      <c r="K64" s="54">
        <f>(E64/F64)/G64</f>
        <v>1.2473574045002621E-2</v>
      </c>
      <c r="L64" s="54">
        <f>(D64/F64)/G64</f>
        <v>0</v>
      </c>
      <c r="M64" s="54" t="s">
        <v>802</v>
      </c>
      <c r="N64" s="54">
        <f>K64*I64</f>
        <v>0.74841444270015722</v>
      </c>
      <c r="O64" s="54">
        <f>L64*I64</f>
        <v>0</v>
      </c>
      <c r="AJ64" s="833">
        <v>5</v>
      </c>
      <c r="AK64" s="833" t="s">
        <v>128</v>
      </c>
      <c r="AL64" s="833">
        <f>AW40</f>
        <v>22750</v>
      </c>
      <c r="AM64" s="833">
        <v>1000</v>
      </c>
      <c r="AN64" s="833">
        <f>AV40</f>
        <v>156</v>
      </c>
      <c r="AQ64" s="827" t="s">
        <v>583</v>
      </c>
      <c r="AR64" s="827">
        <v>101</v>
      </c>
      <c r="AS64" s="827">
        <v>14430</v>
      </c>
      <c r="AU64" s="834" t="s">
        <v>676</v>
      </c>
      <c r="AV64" s="834">
        <v>134</v>
      </c>
      <c r="AW64" s="834">
        <v>19920</v>
      </c>
    </row>
    <row r="65" spans="1:49" ht="14.25" customHeight="1" x14ac:dyDescent="0.3">
      <c r="A65" s="49" t="s">
        <v>216</v>
      </c>
      <c r="B65" s="49" t="s">
        <v>215</v>
      </c>
      <c r="C65" s="50" t="s">
        <v>14</v>
      </c>
      <c r="D65" s="51">
        <v>66.891038292847554</v>
      </c>
      <c r="E65" s="52">
        <v>421.35371074370101</v>
      </c>
      <c r="F65" s="53">
        <v>1</v>
      </c>
      <c r="G65" s="54">
        <v>100</v>
      </c>
      <c r="H65" s="54" t="s">
        <v>766</v>
      </c>
      <c r="I65" s="1005">
        <v>3.5</v>
      </c>
      <c r="J65" s="1005">
        <f>I65/(G65/1000)</f>
        <v>35</v>
      </c>
      <c r="K65" s="54">
        <f>(E65/F65)/G65</f>
        <v>4.21353710743701</v>
      </c>
      <c r="L65" s="54">
        <f>(D65/F65)/G65</f>
        <v>0.66891038292847549</v>
      </c>
      <c r="M65" s="54" t="s">
        <v>801</v>
      </c>
      <c r="N65" s="54">
        <f>K65*I65</f>
        <v>14.747379876029536</v>
      </c>
      <c r="O65" s="54">
        <f>L65*I65</f>
        <v>2.3411863402496644</v>
      </c>
      <c r="AJ65" s="833">
        <v>5</v>
      </c>
      <c r="AK65" s="833" t="s">
        <v>866</v>
      </c>
      <c r="AL65" s="833">
        <f>AW37</f>
        <v>39160</v>
      </c>
      <c r="AM65" s="833">
        <v>2000</v>
      </c>
      <c r="AN65" s="833">
        <f>AV37</f>
        <v>270</v>
      </c>
      <c r="AO65" s="1117"/>
      <c r="AQ65" s="827" t="s">
        <v>595</v>
      </c>
      <c r="AR65" s="827">
        <v>129</v>
      </c>
      <c r="AS65" s="827">
        <v>19110</v>
      </c>
      <c r="AU65" s="834" t="s">
        <v>581</v>
      </c>
      <c r="AV65" s="834">
        <v>15</v>
      </c>
      <c r="AW65" s="834">
        <v>2250</v>
      </c>
    </row>
    <row r="66" spans="1:49" ht="14.25" customHeight="1" x14ac:dyDescent="0.3">
      <c r="A66" s="49" t="s">
        <v>218</v>
      </c>
      <c r="B66" s="49" t="s">
        <v>215</v>
      </c>
      <c r="C66" s="50" t="s">
        <v>14</v>
      </c>
      <c r="D66" s="51">
        <v>0</v>
      </c>
      <c r="E66" s="52">
        <v>295.86618556701035</v>
      </c>
      <c r="F66" s="53">
        <v>1</v>
      </c>
      <c r="G66" s="54">
        <v>1000</v>
      </c>
      <c r="H66" s="54" t="s">
        <v>45</v>
      </c>
      <c r="I66" s="1005">
        <v>5</v>
      </c>
      <c r="J66" s="1005">
        <f>I66/1</f>
        <v>5</v>
      </c>
      <c r="K66" s="54">
        <f>(E66/F66)/G66</f>
        <v>0.29586618556701033</v>
      </c>
      <c r="L66" s="54">
        <f>(D66/F66)/G66</f>
        <v>0</v>
      </c>
      <c r="M66" s="54" t="s">
        <v>45</v>
      </c>
      <c r="N66" s="54">
        <f>K66*I66</f>
        <v>1.4793309278350517</v>
      </c>
      <c r="O66" s="54">
        <f>L66*I66</f>
        <v>0</v>
      </c>
      <c r="AJ66" s="833">
        <v>5</v>
      </c>
      <c r="AK66" s="833" t="s">
        <v>131</v>
      </c>
      <c r="AL66" s="833">
        <f>AW43</f>
        <v>18480</v>
      </c>
      <c r="AM66" s="833">
        <v>1000</v>
      </c>
      <c r="AN66" s="833">
        <f>AV43</f>
        <v>126</v>
      </c>
      <c r="AQ66" s="827" t="s">
        <v>583</v>
      </c>
      <c r="AR66" s="827">
        <v>129</v>
      </c>
      <c r="AS66" s="827">
        <v>19110</v>
      </c>
      <c r="AU66" s="834" t="s">
        <v>677</v>
      </c>
      <c r="AV66" s="834">
        <v>119</v>
      </c>
      <c r="AW66" s="834">
        <v>17670</v>
      </c>
    </row>
    <row r="67" spans="1:49" ht="14.25" customHeight="1" x14ac:dyDescent="0.3">
      <c r="A67" s="49" t="s">
        <v>877</v>
      </c>
      <c r="B67" s="49" t="s">
        <v>215</v>
      </c>
      <c r="C67" s="50" t="s">
        <v>14</v>
      </c>
      <c r="D67" s="51">
        <v>46.904076923076957</v>
      </c>
      <c r="E67" s="52">
        <v>553.27308843579726</v>
      </c>
      <c r="F67" s="53">
        <v>1</v>
      </c>
      <c r="G67" s="54">
        <v>100</v>
      </c>
      <c r="H67" s="54" t="s">
        <v>766</v>
      </c>
      <c r="I67" s="1005">
        <v>2.25</v>
      </c>
      <c r="J67" s="1005">
        <f>I67/(G67/1000)</f>
        <v>22.5</v>
      </c>
      <c r="K67" s="54">
        <f>(E67/F67)/G67</f>
        <v>5.5327308843579726</v>
      </c>
      <c r="L67" s="54">
        <f>(D67/F67)/G67</f>
        <v>0.46904076923076959</v>
      </c>
      <c r="M67" s="54" t="s">
        <v>801</v>
      </c>
      <c r="N67" s="54">
        <f>K67*I67</f>
        <v>12.448644489805439</v>
      </c>
      <c r="O67" s="54">
        <f>L67*I67</f>
        <v>1.0553417307692317</v>
      </c>
      <c r="AJ67" s="833">
        <v>5</v>
      </c>
      <c r="AK67" s="833" t="s">
        <v>133</v>
      </c>
      <c r="AL67" s="833">
        <f>AW35</f>
        <v>25280</v>
      </c>
      <c r="AM67" s="833">
        <v>1000</v>
      </c>
      <c r="AN67" s="833">
        <f>AV35</f>
        <v>172</v>
      </c>
      <c r="AO67" s="1117"/>
      <c r="AQ67" s="827" t="s">
        <v>617</v>
      </c>
      <c r="AR67" s="827">
        <v>74</v>
      </c>
      <c r="AS67" s="827">
        <v>74</v>
      </c>
      <c r="AU67" s="834" t="s">
        <v>678</v>
      </c>
      <c r="AV67" s="834">
        <v>348</v>
      </c>
      <c r="AW67" s="834">
        <v>49530</v>
      </c>
    </row>
    <row r="68" spans="1:49" ht="14.25" customHeight="1" x14ac:dyDescent="0.3">
      <c r="AJ68" s="833">
        <v>5</v>
      </c>
      <c r="AK68" s="833" t="s">
        <v>135</v>
      </c>
      <c r="AL68" s="833">
        <f>AW47</f>
        <v>16710</v>
      </c>
      <c r="AM68" s="833">
        <v>0</v>
      </c>
      <c r="AN68" s="833">
        <f>AV47</f>
        <v>115</v>
      </c>
      <c r="AQ68" s="827" t="s">
        <v>682</v>
      </c>
      <c r="AR68" s="827">
        <v>386</v>
      </c>
      <c r="AS68" s="827">
        <v>386</v>
      </c>
      <c r="AU68" s="834" t="s">
        <v>581</v>
      </c>
      <c r="AV68" s="834">
        <v>27</v>
      </c>
      <c r="AW68" s="834">
        <v>4050</v>
      </c>
    </row>
    <row r="69" spans="1:49" ht="14.25" customHeight="1" x14ac:dyDescent="0.3">
      <c r="A69" s="1042" t="s">
        <v>498</v>
      </c>
      <c r="B69" s="1042" t="s">
        <v>499</v>
      </c>
      <c r="C69" s="1043" t="s">
        <v>14</v>
      </c>
      <c r="D69" s="1044">
        <v>0</v>
      </c>
      <c r="E69" s="1045">
        <v>2857.0875000000001</v>
      </c>
      <c r="F69" s="1046">
        <v>1</v>
      </c>
      <c r="G69" s="1047">
        <f>12*400</f>
        <v>4800</v>
      </c>
      <c r="H69" s="1047" t="s">
        <v>769</v>
      </c>
      <c r="I69" s="1048">
        <v>80</v>
      </c>
      <c r="J69" s="1048">
        <f t="shared" ref="J69:J75" si="25">I69/(G69/1000)</f>
        <v>16.666666666666668</v>
      </c>
      <c r="K69" s="1047">
        <v>5.3362865497076024</v>
      </c>
      <c r="L69" s="1047">
        <v>0</v>
      </c>
      <c r="M69" s="1047" t="s">
        <v>45</v>
      </c>
      <c r="N69" s="1047">
        <v>0</v>
      </c>
      <c r="O69" s="1047">
        <v>0</v>
      </c>
      <c r="AJ69" s="833">
        <v>5</v>
      </c>
      <c r="AK69" s="833" t="s">
        <v>139</v>
      </c>
      <c r="AL69" s="833">
        <f>AW46</f>
        <v>136500</v>
      </c>
      <c r="AM69" s="833">
        <v>1000</v>
      </c>
      <c r="AN69" s="833">
        <f>AV46</f>
        <v>440</v>
      </c>
      <c r="AO69" s="1117"/>
      <c r="AU69" s="834" t="s">
        <v>588</v>
      </c>
      <c r="AV69" s="834">
        <v>321</v>
      </c>
      <c r="AW69" s="834">
        <v>45480</v>
      </c>
    </row>
    <row r="70" spans="1:49" ht="14.25" customHeight="1" x14ac:dyDescent="0.3">
      <c r="A70" s="1042" t="s">
        <v>732</v>
      </c>
      <c r="B70" s="1042" t="s">
        <v>499</v>
      </c>
      <c r="C70" s="1043" t="s">
        <v>14</v>
      </c>
      <c r="D70" s="1044">
        <v>0</v>
      </c>
      <c r="E70" s="1045">
        <v>10154.474226804125</v>
      </c>
      <c r="F70" s="1046">
        <v>1</v>
      </c>
      <c r="G70" s="1047">
        <f>20*400</f>
        <v>8000</v>
      </c>
      <c r="H70" s="1047" t="s">
        <v>25</v>
      </c>
      <c r="I70" s="1048">
        <v>33</v>
      </c>
      <c r="J70" s="1048">
        <f t="shared" si="25"/>
        <v>4.125</v>
      </c>
      <c r="K70" s="1047">
        <v>1.4916494845360828</v>
      </c>
      <c r="L70" s="1047">
        <v>0</v>
      </c>
      <c r="M70" s="1047" t="s">
        <v>26</v>
      </c>
      <c r="N70" s="1047">
        <v>49.224432989690733</v>
      </c>
      <c r="O70" s="1047">
        <v>0</v>
      </c>
      <c r="AJ70" s="833">
        <v>5</v>
      </c>
      <c r="AK70" s="833" t="s">
        <v>141</v>
      </c>
      <c r="AL70" s="833">
        <f>AW46</f>
        <v>136500</v>
      </c>
      <c r="AM70" s="833">
        <v>0</v>
      </c>
      <c r="AN70" s="833">
        <f>AV46</f>
        <v>440</v>
      </c>
      <c r="AU70" s="834" t="s">
        <v>679</v>
      </c>
      <c r="AV70" s="834">
        <v>181</v>
      </c>
      <c r="AW70" s="834">
        <v>26060</v>
      </c>
    </row>
    <row r="71" spans="1:49" ht="14.25" customHeight="1" x14ac:dyDescent="0.3">
      <c r="A71" s="1042" t="s">
        <v>733</v>
      </c>
      <c r="B71" s="1042" t="s">
        <v>499</v>
      </c>
      <c r="C71" s="1043" t="s">
        <v>14</v>
      </c>
      <c r="D71" s="1044">
        <v>0</v>
      </c>
      <c r="E71" s="1045">
        <v>12003.983805668022</v>
      </c>
      <c r="F71" s="1046">
        <v>1</v>
      </c>
      <c r="G71" s="1047">
        <f>20*400</f>
        <v>8000</v>
      </c>
      <c r="H71" s="1047" t="s">
        <v>25</v>
      </c>
      <c r="I71" s="1048">
        <v>130</v>
      </c>
      <c r="J71" s="1048">
        <f t="shared" si="25"/>
        <v>16.25</v>
      </c>
      <c r="K71" s="1047">
        <v>1.4117287449392715</v>
      </c>
      <c r="L71" s="1047">
        <v>0</v>
      </c>
      <c r="M71" s="1047" t="s">
        <v>26</v>
      </c>
      <c r="N71" s="1047">
        <v>22.940592105263161</v>
      </c>
      <c r="O71" s="1047">
        <v>0</v>
      </c>
      <c r="AJ71" s="833">
        <v>5</v>
      </c>
      <c r="AK71" s="833" t="s">
        <v>144</v>
      </c>
      <c r="AL71" s="833">
        <f>AW49</f>
        <v>28190</v>
      </c>
      <c r="AM71" s="833">
        <v>500</v>
      </c>
      <c r="AN71" s="833">
        <f>AV49</f>
        <v>194</v>
      </c>
      <c r="AO71" s="1117"/>
      <c r="AU71" s="834" t="s">
        <v>592</v>
      </c>
      <c r="AV71" s="834">
        <v>181</v>
      </c>
      <c r="AW71" s="834">
        <v>26060</v>
      </c>
    </row>
    <row r="72" spans="1:49" ht="14.25" customHeight="1" x14ac:dyDescent="0.3">
      <c r="A72" s="1042" t="s">
        <v>729</v>
      </c>
      <c r="B72" s="1042" t="s">
        <v>499</v>
      </c>
      <c r="C72" s="1043" t="s">
        <v>14</v>
      </c>
      <c r="D72" s="1044">
        <v>0</v>
      </c>
      <c r="E72" s="1045">
        <v>441</v>
      </c>
      <c r="F72" s="1046">
        <v>1</v>
      </c>
      <c r="G72" s="1047">
        <v>1000</v>
      </c>
      <c r="H72" s="1047" t="s">
        <v>231</v>
      </c>
      <c r="I72" s="1048">
        <v>8</v>
      </c>
      <c r="J72" s="1048">
        <f t="shared" si="25"/>
        <v>8</v>
      </c>
      <c r="K72" s="1047">
        <v>1.4117287449392715</v>
      </c>
      <c r="L72" s="1047">
        <v>0</v>
      </c>
      <c r="M72" s="1047" t="s">
        <v>26</v>
      </c>
      <c r="N72" s="1047">
        <v>22.940592105263161</v>
      </c>
      <c r="O72" s="1047">
        <v>0</v>
      </c>
      <c r="AJ72" s="833">
        <v>5</v>
      </c>
      <c r="AK72" s="833" t="s">
        <v>146</v>
      </c>
      <c r="AL72" s="833">
        <f>AW51+AW28</f>
        <v>170</v>
      </c>
      <c r="AM72" s="833">
        <v>5</v>
      </c>
      <c r="AN72" s="833">
        <f>AV51+AV28</f>
        <v>170</v>
      </c>
      <c r="AU72" s="834" t="s">
        <v>616</v>
      </c>
      <c r="AV72" s="834">
        <v>154</v>
      </c>
      <c r="AW72" s="834">
        <v>22600</v>
      </c>
    </row>
    <row r="73" spans="1:49" ht="14.25" customHeight="1" x14ac:dyDescent="0.3">
      <c r="A73" s="1042" t="s">
        <v>546</v>
      </c>
      <c r="B73" s="1042" t="s">
        <v>499</v>
      </c>
      <c r="C73" s="1043" t="s">
        <v>14</v>
      </c>
      <c r="D73" s="1044">
        <v>0</v>
      </c>
      <c r="E73" s="1045">
        <v>1152.8136</v>
      </c>
      <c r="F73" s="1046">
        <v>1</v>
      </c>
      <c r="G73" s="1047">
        <f>24*400</f>
        <v>9600</v>
      </c>
      <c r="H73" s="1047" t="s">
        <v>770</v>
      </c>
      <c r="I73" s="1048">
        <v>80</v>
      </c>
      <c r="J73" s="1048">
        <f t="shared" si="25"/>
        <v>8.3333333333333339</v>
      </c>
      <c r="K73" s="1047">
        <v>1.4117287449392715</v>
      </c>
      <c r="L73" s="1047">
        <v>0</v>
      </c>
      <c r="M73" s="1047" t="s">
        <v>26</v>
      </c>
      <c r="N73" s="1047">
        <v>22.940592105263161</v>
      </c>
      <c r="O73" s="1047">
        <v>0</v>
      </c>
      <c r="AJ73" s="833">
        <v>5</v>
      </c>
      <c r="AK73" s="833" t="s">
        <v>541</v>
      </c>
      <c r="AL73" s="833">
        <f>AW48</f>
        <v>16710</v>
      </c>
      <c r="AM73" s="833">
        <v>0</v>
      </c>
      <c r="AN73" s="833">
        <f>AV48</f>
        <v>115</v>
      </c>
      <c r="AU73" s="834" t="s">
        <v>583</v>
      </c>
      <c r="AV73" s="834">
        <v>154</v>
      </c>
      <c r="AW73" s="834">
        <v>22600</v>
      </c>
    </row>
    <row r="74" spans="1:49" ht="14.25" customHeight="1" x14ac:dyDescent="0.3">
      <c r="A74" s="1042" t="s">
        <v>545</v>
      </c>
      <c r="B74" s="1042" t="s">
        <v>499</v>
      </c>
      <c r="C74" s="1043" t="s">
        <v>14</v>
      </c>
      <c r="D74" s="1044">
        <v>0</v>
      </c>
      <c r="E74" s="1045">
        <v>11318.630395932616</v>
      </c>
      <c r="F74" s="1046">
        <v>1</v>
      </c>
      <c r="G74" s="1047">
        <f>2125*6</f>
        <v>12750</v>
      </c>
      <c r="H74" s="1047" t="s">
        <v>221</v>
      </c>
      <c r="I74" s="1048">
        <v>130</v>
      </c>
      <c r="J74" s="1048">
        <f t="shared" si="25"/>
        <v>10.196078431372548</v>
      </c>
      <c r="K74" s="1047">
        <v>1.4117287449392715</v>
      </c>
      <c r="L74" s="1047">
        <v>0</v>
      </c>
      <c r="M74" s="1047" t="s">
        <v>26</v>
      </c>
      <c r="N74" s="1047">
        <v>22.940592105263161</v>
      </c>
      <c r="O74" s="1047">
        <v>0</v>
      </c>
      <c r="AJ74" s="833">
        <v>5</v>
      </c>
      <c r="AK74" s="833" t="s">
        <v>148</v>
      </c>
      <c r="AL74" s="833">
        <f>AW31+AW34+AW39+AW42+AW45</f>
        <v>20400</v>
      </c>
      <c r="AM74" s="833">
        <v>0</v>
      </c>
      <c r="AN74" s="833">
        <f>AV31+AV34+AV39+AV42+AV45</f>
        <v>136</v>
      </c>
      <c r="AU74" s="834" t="s">
        <v>680</v>
      </c>
      <c r="AV74" s="834">
        <v>203</v>
      </c>
      <c r="AW74" s="834">
        <v>30470</v>
      </c>
    </row>
    <row r="75" spans="1:49" ht="14.25" customHeight="1" x14ac:dyDescent="0.3">
      <c r="A75" s="1042" t="s">
        <v>222</v>
      </c>
      <c r="B75" s="1042" t="s">
        <v>499</v>
      </c>
      <c r="C75" s="1043" t="s">
        <v>14</v>
      </c>
      <c r="D75" s="1044">
        <v>0</v>
      </c>
      <c r="E75" s="1045">
        <v>6515.3846153846162</v>
      </c>
      <c r="F75" s="1046">
        <v>1</v>
      </c>
      <c r="G75" s="1047">
        <f>24*400</f>
        <v>9600</v>
      </c>
      <c r="H75" s="1047" t="s">
        <v>770</v>
      </c>
      <c r="I75" s="1048">
        <v>69</v>
      </c>
      <c r="J75" s="1048">
        <f t="shared" si="25"/>
        <v>7.1875</v>
      </c>
      <c r="K75" s="1047">
        <v>1.4117287449392715</v>
      </c>
      <c r="L75" s="1047">
        <v>0</v>
      </c>
      <c r="M75" s="1047" t="s">
        <v>26</v>
      </c>
      <c r="N75" s="1047">
        <v>22.940592105263161</v>
      </c>
      <c r="O75" s="1047">
        <v>0</v>
      </c>
      <c r="AJ75" s="833">
        <v>5</v>
      </c>
      <c r="AK75" s="833" t="s">
        <v>560</v>
      </c>
      <c r="AL75" s="833">
        <f>AW66</f>
        <v>17670</v>
      </c>
      <c r="AM75" s="833">
        <v>500</v>
      </c>
      <c r="AN75" s="833">
        <f>AV66</f>
        <v>119</v>
      </c>
      <c r="AU75" s="834" t="s">
        <v>583</v>
      </c>
      <c r="AV75" s="834">
        <v>203</v>
      </c>
      <c r="AW75" s="834">
        <v>30470</v>
      </c>
    </row>
    <row r="76" spans="1:49" ht="14.25" customHeight="1" x14ac:dyDescent="0.3">
      <c r="AJ76" s="833">
        <v>5</v>
      </c>
      <c r="AK76" s="833" t="s">
        <v>561</v>
      </c>
      <c r="AL76" s="833">
        <f>AW57</f>
        <v>27590</v>
      </c>
      <c r="AM76" s="833">
        <v>500</v>
      </c>
      <c r="AN76" s="833">
        <f>AV57</f>
        <v>187</v>
      </c>
      <c r="AU76" s="834" t="s">
        <v>681</v>
      </c>
      <c r="AV76" s="834">
        <v>94</v>
      </c>
      <c r="AW76" s="834">
        <v>94</v>
      </c>
    </row>
    <row r="77" spans="1:49" ht="14.25" customHeight="1" x14ac:dyDescent="0.3">
      <c r="A77" s="30" t="s">
        <v>178</v>
      </c>
      <c r="B77" s="30" t="s">
        <v>179</v>
      </c>
      <c r="C77" s="31" t="s">
        <v>14</v>
      </c>
      <c r="D77" s="32">
        <v>0</v>
      </c>
      <c r="E77" s="33">
        <v>3881.5200989333339</v>
      </c>
      <c r="F77" s="34">
        <v>1</v>
      </c>
      <c r="G77" s="35">
        <v>1000</v>
      </c>
      <c r="H77" s="35" t="s">
        <v>45</v>
      </c>
      <c r="I77" s="1012">
        <v>39</v>
      </c>
      <c r="J77" s="1012">
        <f>I77/(G77/1000)</f>
        <v>39</v>
      </c>
      <c r="K77" s="35">
        <f>(E77/F77)/G77</f>
        <v>3.8815200989333341</v>
      </c>
      <c r="L77" s="35">
        <f>(D77/F77)/G77</f>
        <v>0</v>
      </c>
      <c r="M77" s="35" t="s">
        <v>45</v>
      </c>
      <c r="N77" s="35">
        <f>K77*I77</f>
        <v>151.37928385840002</v>
      </c>
      <c r="O77" s="35">
        <f>L77*I77</f>
        <v>0</v>
      </c>
      <c r="AJ77" s="834">
        <v>6</v>
      </c>
      <c r="AK77" s="834" t="s">
        <v>149</v>
      </c>
      <c r="AL77" s="834">
        <f>AW55</f>
        <v>32240</v>
      </c>
      <c r="AM77" s="834">
        <v>500</v>
      </c>
      <c r="AN77" s="834">
        <f>AV55</f>
        <v>218</v>
      </c>
    </row>
    <row r="78" spans="1:49" ht="14.25" customHeight="1" x14ac:dyDescent="0.3">
      <c r="A78" s="30" t="s">
        <v>180</v>
      </c>
      <c r="B78" s="30" t="s">
        <v>179</v>
      </c>
      <c r="C78" s="31" t="s">
        <v>14</v>
      </c>
      <c r="D78" s="32">
        <v>0</v>
      </c>
      <c r="E78" s="33">
        <v>1529.2291408466224</v>
      </c>
      <c r="F78" s="34">
        <v>1</v>
      </c>
      <c r="G78" s="35">
        <v>1000</v>
      </c>
      <c r="H78" s="35" t="s">
        <v>45</v>
      </c>
      <c r="I78" s="1012">
        <v>40</v>
      </c>
      <c r="J78" s="1012">
        <f>I78/(G78/1000)</f>
        <v>40</v>
      </c>
      <c r="K78" s="35">
        <f>(E78/F78)/G78</f>
        <v>1.5292291408466223</v>
      </c>
      <c r="L78" s="35">
        <f>(D78/F78)/G78</f>
        <v>0</v>
      </c>
      <c r="M78" s="35" t="s">
        <v>45</v>
      </c>
      <c r="N78" s="35">
        <f>K78*I78</f>
        <v>61.169165633864893</v>
      </c>
      <c r="O78" s="35">
        <f>L78*I78</f>
        <v>0</v>
      </c>
      <c r="AJ78" s="834">
        <v>6</v>
      </c>
      <c r="AK78" s="834" t="s">
        <v>151</v>
      </c>
      <c r="AL78" s="834">
        <f>AW58</f>
        <v>43040</v>
      </c>
      <c r="AM78" s="834">
        <v>500</v>
      </c>
      <c r="AN78" s="834">
        <f>AV58</f>
        <v>295</v>
      </c>
    </row>
    <row r="79" spans="1:49" ht="14.25" customHeight="1" x14ac:dyDescent="0.3">
      <c r="A79" s="30" t="s">
        <v>735</v>
      </c>
      <c r="B79" s="30" t="s">
        <v>179</v>
      </c>
      <c r="C79" s="31" t="s">
        <v>14</v>
      </c>
      <c r="D79" s="32">
        <v>0</v>
      </c>
      <c r="E79" s="33">
        <v>268</v>
      </c>
      <c r="F79" s="34">
        <v>1</v>
      </c>
      <c r="G79" s="35">
        <v>1000</v>
      </c>
      <c r="H79" s="35" t="s">
        <v>231</v>
      </c>
      <c r="I79" s="1012">
        <v>40</v>
      </c>
      <c r="J79" s="1012">
        <f>I79/(G79/1000)</f>
        <v>40</v>
      </c>
      <c r="K79" s="35">
        <f t="shared" ref="K79:K81" si="26">(E79/F79)/G79</f>
        <v>0.26800000000000002</v>
      </c>
      <c r="L79" s="35">
        <f t="shared" ref="L79:L81" si="27">(D79/F79)/G79</f>
        <v>0</v>
      </c>
      <c r="M79" s="35" t="s">
        <v>45</v>
      </c>
      <c r="N79" s="35">
        <f t="shared" ref="N79:N83" si="28">K79*I79</f>
        <v>10.72</v>
      </c>
      <c r="O79" s="35">
        <f t="shared" ref="O79:O83" si="29">L79*I79</f>
        <v>0</v>
      </c>
      <c r="AJ79" s="834">
        <v>6</v>
      </c>
      <c r="AK79" s="834" t="s">
        <v>152</v>
      </c>
      <c r="AL79" s="834">
        <f>AW61</f>
        <v>30910</v>
      </c>
      <c r="AM79" s="834">
        <v>1000</v>
      </c>
      <c r="AN79" s="834">
        <f>AV61</f>
        <v>210</v>
      </c>
      <c r="AO79" s="1118"/>
    </row>
    <row r="80" spans="1:49" ht="14.25" customHeight="1" x14ac:dyDescent="0.3">
      <c r="A80" s="30" t="s">
        <v>730</v>
      </c>
      <c r="B80" s="30" t="s">
        <v>179</v>
      </c>
      <c r="C80" s="31" t="s">
        <v>14</v>
      </c>
      <c r="D80" s="32">
        <v>0</v>
      </c>
      <c r="E80" s="33">
        <v>7.29</v>
      </c>
      <c r="F80" s="34">
        <v>1</v>
      </c>
      <c r="G80" s="35">
        <v>1000</v>
      </c>
      <c r="H80" s="35" t="s">
        <v>231</v>
      </c>
      <c r="I80" s="1012">
        <v>13</v>
      </c>
      <c r="J80" s="1012">
        <f>I80/(G80/1000)</f>
        <v>13</v>
      </c>
      <c r="K80" s="35">
        <f t="shared" si="26"/>
        <v>7.2899999999999996E-3</v>
      </c>
      <c r="L80" s="35">
        <f t="shared" si="27"/>
        <v>0</v>
      </c>
      <c r="M80" s="35" t="s">
        <v>45</v>
      </c>
      <c r="N80" s="35">
        <f t="shared" si="28"/>
        <v>9.4769999999999993E-2</v>
      </c>
      <c r="O80" s="35">
        <f t="shared" si="29"/>
        <v>0</v>
      </c>
      <c r="AJ80" s="834">
        <v>6</v>
      </c>
      <c r="AK80" s="834" t="s">
        <v>156</v>
      </c>
      <c r="AL80" s="834">
        <f>AW64</f>
        <v>19920</v>
      </c>
      <c r="AM80" s="834">
        <v>500</v>
      </c>
      <c r="AN80" s="834">
        <f>AV64</f>
        <v>134</v>
      </c>
    </row>
    <row r="81" spans="1:41" ht="14.25" customHeight="1" x14ac:dyDescent="0.3">
      <c r="A81" s="30" t="s">
        <v>734</v>
      </c>
      <c r="B81" s="30" t="s">
        <v>179</v>
      </c>
      <c r="C81" s="31" t="s">
        <v>14</v>
      </c>
      <c r="D81" s="32">
        <v>0</v>
      </c>
      <c r="E81" s="33">
        <v>268</v>
      </c>
      <c r="F81" s="34">
        <v>1</v>
      </c>
      <c r="G81" s="35">
        <v>1000</v>
      </c>
      <c r="H81" s="35" t="s">
        <v>231</v>
      </c>
      <c r="I81" s="1012">
        <v>160</v>
      </c>
      <c r="J81" s="1012">
        <f>I81/(G81/1000)</f>
        <v>160</v>
      </c>
      <c r="K81" s="35">
        <f t="shared" si="26"/>
        <v>0.26800000000000002</v>
      </c>
      <c r="L81" s="35">
        <f t="shared" si="27"/>
        <v>0</v>
      </c>
      <c r="M81" s="35" t="s">
        <v>45</v>
      </c>
      <c r="N81" s="35">
        <f t="shared" si="28"/>
        <v>42.88</v>
      </c>
      <c r="O81" s="35">
        <f t="shared" si="29"/>
        <v>0</v>
      </c>
      <c r="AJ81" s="834">
        <v>6</v>
      </c>
      <c r="AK81" s="834" t="s">
        <v>159</v>
      </c>
      <c r="AL81" s="834">
        <f>AW67</f>
        <v>49530</v>
      </c>
      <c r="AM81" s="834">
        <v>1000</v>
      </c>
      <c r="AN81" s="834">
        <f>AV67</f>
        <v>348</v>
      </c>
      <c r="AO81" s="1117"/>
    </row>
    <row r="82" spans="1:41" ht="14.25" customHeight="1" x14ac:dyDescent="0.3">
      <c r="A82" s="30" t="s">
        <v>186</v>
      </c>
      <c r="B82" s="30" t="s">
        <v>179</v>
      </c>
      <c r="C82" s="31" t="s">
        <v>14</v>
      </c>
      <c r="D82" s="32">
        <v>0</v>
      </c>
      <c r="E82" s="33">
        <v>1478.9749999999999</v>
      </c>
      <c r="F82" s="34">
        <v>1</v>
      </c>
      <c r="G82" s="35">
        <v>1000</v>
      </c>
      <c r="H82" s="35" t="s">
        <v>45</v>
      </c>
      <c r="I82" s="1012">
        <v>17.5</v>
      </c>
      <c r="J82" s="1012">
        <f>I82</f>
        <v>17.5</v>
      </c>
      <c r="K82" s="35">
        <f>(E82/F82)/G82</f>
        <v>1.4789749999999999</v>
      </c>
      <c r="L82" s="35">
        <f>(D82/F82)/G82</f>
        <v>0</v>
      </c>
      <c r="M82" s="35" t="s">
        <v>45</v>
      </c>
      <c r="N82" s="35">
        <f>K82*I82</f>
        <v>25.8820625</v>
      </c>
      <c r="O82" s="35">
        <f>L82*I82</f>
        <v>0</v>
      </c>
      <c r="AJ82" s="834">
        <v>6</v>
      </c>
      <c r="AK82" s="834" t="s">
        <v>163</v>
      </c>
      <c r="AL82" s="834">
        <f>AW70</f>
        <v>26060</v>
      </c>
      <c r="AM82" s="834">
        <v>1000</v>
      </c>
      <c r="AN82" s="834">
        <f>AV70</f>
        <v>181</v>
      </c>
    </row>
    <row r="83" spans="1:41" ht="14.25" customHeight="1" x14ac:dyDescent="0.3">
      <c r="A83" s="1013" t="s">
        <v>575</v>
      </c>
      <c r="B83" s="1014" t="s">
        <v>179</v>
      </c>
      <c r="C83" s="1015" t="s">
        <v>14</v>
      </c>
      <c r="D83" s="1016">
        <v>4173</v>
      </c>
      <c r="E83" s="1017">
        <v>4173</v>
      </c>
      <c r="F83" s="1018">
        <v>1</v>
      </c>
      <c r="G83" s="1019"/>
      <c r="H83" s="1019"/>
      <c r="I83" s="1020"/>
      <c r="J83" s="1020"/>
      <c r="K83" s="35"/>
      <c r="L83" s="35"/>
      <c r="M83" s="35" t="s">
        <v>45</v>
      </c>
      <c r="N83" s="35">
        <f t="shared" si="28"/>
        <v>0</v>
      </c>
      <c r="O83" s="35">
        <f t="shared" si="29"/>
        <v>0</v>
      </c>
      <c r="AJ83" s="834">
        <v>6</v>
      </c>
      <c r="AK83" s="834" t="s">
        <v>166</v>
      </c>
      <c r="AL83" s="834">
        <f>AW76+AW54</f>
        <v>188</v>
      </c>
      <c r="AM83" s="834">
        <v>5</v>
      </c>
      <c r="AN83" s="834">
        <f>AV76+AV54</f>
        <v>188</v>
      </c>
    </row>
    <row r="84" spans="1:41" ht="14.25" customHeight="1" x14ac:dyDescent="0.3">
      <c r="B84" s="9"/>
      <c r="C84" s="10"/>
      <c r="D84" s="11"/>
      <c r="E84" s="12">
        <v>84.396768535990304</v>
      </c>
      <c r="F84" s="1309"/>
      <c r="G84" s="1098"/>
      <c r="H84" s="999"/>
      <c r="I84" s="1000"/>
      <c r="J84" s="1000"/>
      <c r="K84" s="13"/>
      <c r="L84" s="13"/>
      <c r="M84" s="13"/>
      <c r="N84" s="13"/>
      <c r="O84" s="13"/>
      <c r="AJ84" s="834">
        <v>6</v>
      </c>
      <c r="AK84" s="834" t="s">
        <v>171</v>
      </c>
      <c r="AL84" s="834">
        <f>AW72</f>
        <v>22600</v>
      </c>
      <c r="AM84" s="834">
        <v>1000</v>
      </c>
      <c r="AN84" s="834">
        <f>AV72</f>
        <v>154</v>
      </c>
      <c r="AO84" s="1117"/>
    </row>
    <row r="85" spans="1:41" ht="14.25" customHeight="1" x14ac:dyDescent="0.3">
      <c r="A85" s="36" t="s">
        <v>183</v>
      </c>
      <c r="B85" s="36" t="s">
        <v>182</v>
      </c>
      <c r="C85" s="37" t="s">
        <v>14</v>
      </c>
      <c r="D85" s="38">
        <v>0</v>
      </c>
      <c r="E85" s="39">
        <v>117.54055468341187</v>
      </c>
      <c r="F85" s="40">
        <v>1</v>
      </c>
      <c r="G85" s="41">
        <v>20000</v>
      </c>
      <c r="H85" s="41" t="s">
        <v>184</v>
      </c>
      <c r="I85" s="1010">
        <v>130</v>
      </c>
      <c r="J85" s="1010">
        <f>I85/20</f>
        <v>6.5</v>
      </c>
      <c r="K85" s="42">
        <f>(E85/F85)/G85</f>
        <v>5.8770277341705932E-3</v>
      </c>
      <c r="L85" s="42">
        <f>(D85/F85)/G85</f>
        <v>0</v>
      </c>
      <c r="M85" s="41" t="s">
        <v>45</v>
      </c>
      <c r="N85" s="42">
        <f>K85*I85</f>
        <v>0.76401360544217711</v>
      </c>
      <c r="O85" s="42">
        <f>L85*I85</f>
        <v>0</v>
      </c>
      <c r="AJ85" s="834">
        <v>6</v>
      </c>
      <c r="AK85" s="834" t="s">
        <v>168</v>
      </c>
      <c r="AL85" s="834">
        <f>AW74</f>
        <v>30470</v>
      </c>
      <c r="AM85" s="834">
        <v>500</v>
      </c>
      <c r="AN85" s="834">
        <f>AV74</f>
        <v>203</v>
      </c>
    </row>
    <row r="86" spans="1:41" ht="14.25" customHeight="1" x14ac:dyDescent="0.3">
      <c r="A86" s="36" t="s">
        <v>185</v>
      </c>
      <c r="B86" s="36" t="s">
        <v>182</v>
      </c>
      <c r="C86" s="37" t="s">
        <v>14</v>
      </c>
      <c r="D86" s="38">
        <v>1537.2342153460579</v>
      </c>
      <c r="E86" s="39">
        <v>5990.1500369999567</v>
      </c>
      <c r="F86" s="40">
        <v>1</v>
      </c>
      <c r="G86" s="41">
        <f>4*2000</f>
        <v>8000</v>
      </c>
      <c r="H86" s="41" t="s">
        <v>778</v>
      </c>
      <c r="I86" s="1010">
        <v>136</v>
      </c>
      <c r="J86" s="1010">
        <f>I86/(G86/1000)</f>
        <v>17</v>
      </c>
      <c r="K86" s="41">
        <f>(E86/F86)/G86</f>
        <v>0.74876875462499459</v>
      </c>
      <c r="L86" s="41">
        <f>(D86/F86)/G86</f>
        <v>0.19215427691825723</v>
      </c>
      <c r="M86" s="41" t="s">
        <v>45</v>
      </c>
      <c r="N86" s="41">
        <f>K86*I86</f>
        <v>101.83255062899926</v>
      </c>
      <c r="O86" s="41">
        <f>L86*I86</f>
        <v>26.132981660882983</v>
      </c>
      <c r="AJ86" s="834">
        <v>6</v>
      </c>
      <c r="AK86" s="834" t="s">
        <v>542</v>
      </c>
      <c r="AL86" s="834">
        <f>AW63</f>
        <v>27460</v>
      </c>
      <c r="AM86" s="834">
        <v>0</v>
      </c>
      <c r="AN86" s="834">
        <f>AV63</f>
        <v>187</v>
      </c>
    </row>
    <row r="87" spans="1:41" ht="14.25" customHeight="1" x14ac:dyDescent="0.3">
      <c r="A87" s="36" t="s">
        <v>181</v>
      </c>
      <c r="B87" s="36" t="s">
        <v>182</v>
      </c>
      <c r="C87" s="37" t="s">
        <v>14</v>
      </c>
      <c r="D87" s="38">
        <v>0</v>
      </c>
      <c r="E87" s="39">
        <v>149.84152276295148</v>
      </c>
      <c r="F87" s="40">
        <v>1</v>
      </c>
      <c r="G87" s="41">
        <v>10000</v>
      </c>
      <c r="H87" s="41" t="s">
        <v>779</v>
      </c>
      <c r="I87" s="1010">
        <v>27</v>
      </c>
      <c r="J87" s="1010">
        <f>I87/(G87/1000)</f>
        <v>2.7</v>
      </c>
      <c r="K87" s="42">
        <f>(E87/F87)/G87</f>
        <v>1.4984152276295149E-2</v>
      </c>
      <c r="L87" s="42">
        <f>(D87/F87)/G87</f>
        <v>0</v>
      </c>
      <c r="M87" s="41" t="s">
        <v>45</v>
      </c>
      <c r="N87" s="42">
        <f>K87*I87</f>
        <v>0.40457211145996902</v>
      </c>
      <c r="O87" s="42">
        <f>L87*I87</f>
        <v>0</v>
      </c>
      <c r="AJ87" s="834">
        <v>6</v>
      </c>
      <c r="AK87" s="834" t="s">
        <v>173</v>
      </c>
      <c r="AL87" s="834">
        <f>AW56+AW60+AW62+AW65+AW68</f>
        <v>17550</v>
      </c>
      <c r="AM87" s="834">
        <v>0</v>
      </c>
      <c r="AN87" s="834">
        <f>AV56+AV60+AV62+AV65+AV68</f>
        <v>117</v>
      </c>
    </row>
    <row r="88" spans="1:41" ht="14.25" customHeight="1" x14ac:dyDescent="0.3">
      <c r="B88" s="9"/>
      <c r="C88" s="10"/>
      <c r="D88" s="11"/>
      <c r="E88" s="12"/>
      <c r="F88" s="1309"/>
      <c r="G88" s="1098"/>
      <c r="H88" s="999"/>
      <c r="I88" s="1000"/>
      <c r="J88" s="1000"/>
      <c r="K88" s="13"/>
      <c r="L88" s="13"/>
      <c r="M88" s="13"/>
      <c r="N88" s="13"/>
      <c r="O88" s="13"/>
      <c r="AJ88" s="834"/>
      <c r="AK88" s="834"/>
      <c r="AL88" s="834"/>
      <c r="AM88" s="834"/>
      <c r="AN88" s="834"/>
    </row>
    <row r="89" spans="1:41" ht="14.25" customHeight="1" x14ac:dyDescent="0.3">
      <c r="A89" s="43" t="s">
        <v>878</v>
      </c>
      <c r="B89" s="43" t="s">
        <v>848</v>
      </c>
      <c r="C89" s="44" t="s">
        <v>234</v>
      </c>
      <c r="D89" s="45">
        <v>0</v>
      </c>
      <c r="E89" s="46">
        <v>487</v>
      </c>
      <c r="F89" s="47">
        <v>1</v>
      </c>
      <c r="G89" s="48">
        <v>1</v>
      </c>
      <c r="H89" s="44" t="s">
        <v>234</v>
      </c>
      <c r="I89" s="1011">
        <v>0.5</v>
      </c>
      <c r="J89" s="1011">
        <f>I89</f>
        <v>0.5</v>
      </c>
      <c r="K89" s="48">
        <f>(E89/F89)/G89</f>
        <v>487</v>
      </c>
      <c r="L89" s="48">
        <f>(D89/F89)/G89</f>
        <v>0</v>
      </c>
      <c r="M89" s="44" t="s">
        <v>234</v>
      </c>
      <c r="N89" s="48">
        <f>K89*I89</f>
        <v>243.5</v>
      </c>
      <c r="O89" s="48">
        <f>L89*I89</f>
        <v>0</v>
      </c>
    </row>
    <row r="90" spans="1:41" ht="14.25" customHeight="1" x14ac:dyDescent="0.3">
      <c r="A90" s="43" t="s">
        <v>879</v>
      </c>
      <c r="B90" s="43" t="s">
        <v>848</v>
      </c>
      <c r="C90" s="44" t="s">
        <v>234</v>
      </c>
      <c r="D90" s="45">
        <v>0</v>
      </c>
      <c r="E90" s="46">
        <v>345</v>
      </c>
      <c r="F90" s="47">
        <v>1</v>
      </c>
      <c r="G90" s="48">
        <v>1</v>
      </c>
      <c r="H90" s="44" t="s">
        <v>234</v>
      </c>
      <c r="I90" s="1011">
        <v>1</v>
      </c>
      <c r="J90" s="1011">
        <f t="shared" ref="J90:J91" si="30">I90</f>
        <v>1</v>
      </c>
      <c r="K90" s="48">
        <f>(E90/F90)/G90</f>
        <v>345</v>
      </c>
      <c r="L90" s="48">
        <f>(D90/F90)/G90</f>
        <v>0</v>
      </c>
      <c r="M90" s="44" t="s">
        <v>234</v>
      </c>
      <c r="N90" s="48">
        <f>K90*I90</f>
        <v>345</v>
      </c>
      <c r="O90" s="48">
        <f>L90*I90</f>
        <v>0</v>
      </c>
    </row>
    <row r="91" spans="1:41" ht="14.25" customHeight="1" x14ac:dyDescent="0.3">
      <c r="A91" s="43" t="s">
        <v>845</v>
      </c>
      <c r="B91" s="43" t="s">
        <v>848</v>
      </c>
      <c r="C91" s="44" t="s">
        <v>234</v>
      </c>
      <c r="D91" s="45">
        <v>243</v>
      </c>
      <c r="E91" s="46">
        <v>243</v>
      </c>
      <c r="F91" s="47">
        <v>1</v>
      </c>
      <c r="G91" s="48">
        <v>1</v>
      </c>
      <c r="H91" s="44" t="s">
        <v>234</v>
      </c>
      <c r="I91" s="1011">
        <v>0.6</v>
      </c>
      <c r="J91" s="1011">
        <f t="shared" si="30"/>
        <v>0.6</v>
      </c>
      <c r="K91" s="48">
        <f>(E91/F91)/G91</f>
        <v>243</v>
      </c>
      <c r="L91" s="48">
        <f>(D91/F91)/G91</f>
        <v>243</v>
      </c>
      <c r="M91" s="44" t="s">
        <v>234</v>
      </c>
      <c r="N91" s="48">
        <f>K91*I91</f>
        <v>145.79999999999998</v>
      </c>
      <c r="O91" s="48">
        <f>L91*I91</f>
        <v>145.79999999999998</v>
      </c>
    </row>
    <row r="92" spans="1:41" ht="14.25" customHeight="1" x14ac:dyDescent="0.3"/>
    <row r="93" spans="1:41" ht="14.25" customHeight="1" x14ac:dyDescent="0.3">
      <c r="A93" s="43" t="s">
        <v>190</v>
      </c>
      <c r="B93" s="43" t="s">
        <v>188</v>
      </c>
      <c r="C93" s="44" t="s">
        <v>14</v>
      </c>
      <c r="D93" s="45">
        <v>0</v>
      </c>
      <c r="E93" s="46">
        <v>5049.7801484000001</v>
      </c>
      <c r="F93" s="47">
        <v>1</v>
      </c>
      <c r="G93" s="48">
        <v>12000</v>
      </c>
      <c r="H93" s="48" t="s">
        <v>781</v>
      </c>
      <c r="I93" s="1011">
        <v>102</v>
      </c>
      <c r="J93" s="1011">
        <f>I93/(G93/1000)</f>
        <v>8.5</v>
      </c>
      <c r="K93" s="48">
        <f>(E93/F93)/G93</f>
        <v>0.42081501236666669</v>
      </c>
      <c r="L93" s="48">
        <f>(D93/F93)/G93</f>
        <v>0</v>
      </c>
      <c r="M93" s="48" t="s">
        <v>45</v>
      </c>
      <c r="N93" s="48">
        <f>K93*I93</f>
        <v>42.923131261400002</v>
      </c>
      <c r="O93" s="48">
        <f>L93*I93</f>
        <v>0</v>
      </c>
    </row>
    <row r="94" spans="1:41" ht="14.25" customHeight="1" x14ac:dyDescent="0.3">
      <c r="A94" s="43" t="s">
        <v>189</v>
      </c>
      <c r="B94" s="43" t="s">
        <v>188</v>
      </c>
      <c r="C94" s="44" t="s">
        <v>14</v>
      </c>
      <c r="D94" s="45">
        <v>2328.3270408163276</v>
      </c>
      <c r="E94" s="46">
        <v>9572.716172509281</v>
      </c>
      <c r="F94" s="1316">
        <v>0.9</v>
      </c>
      <c r="G94" s="48">
        <v>25000</v>
      </c>
      <c r="H94" s="48" t="s">
        <v>231</v>
      </c>
      <c r="I94" s="1011">
        <v>58</v>
      </c>
      <c r="J94" s="1011">
        <f>I94/(G94/1000)</f>
        <v>2.3199999999999998</v>
      </c>
      <c r="K94" s="48">
        <f>(E94/F94)/G94</f>
        <v>0.42545405211152354</v>
      </c>
      <c r="L94" s="48">
        <f>(D94/F94)/G94</f>
        <v>0.10348120181405901</v>
      </c>
      <c r="M94" s="48" t="s">
        <v>45</v>
      </c>
      <c r="N94" s="48">
        <f>K94*I94</f>
        <v>24.676335022468365</v>
      </c>
      <c r="O94" s="48">
        <f>L94*I94</f>
        <v>6.0019097052154224</v>
      </c>
    </row>
    <row r="95" spans="1:41" ht="14.25" customHeight="1" x14ac:dyDescent="0.3">
      <c r="A95" s="43" t="s">
        <v>187</v>
      </c>
      <c r="B95" s="43" t="s">
        <v>188</v>
      </c>
      <c r="C95" s="44" t="s">
        <v>14</v>
      </c>
      <c r="D95" s="45">
        <v>262.54736842105268</v>
      </c>
      <c r="E95" s="46">
        <v>6642.2601637739226</v>
      </c>
      <c r="F95" s="47">
        <v>1</v>
      </c>
      <c r="G95" s="48">
        <f>1*10000</f>
        <v>10000</v>
      </c>
      <c r="H95" s="48" t="s">
        <v>780</v>
      </c>
      <c r="I95" s="1011">
        <f>17</f>
        <v>17</v>
      </c>
      <c r="J95" s="1011">
        <f>I95/(G95/1000)</f>
        <v>1.7</v>
      </c>
      <c r="K95" s="48">
        <f>(E95/F95)/G95</f>
        <v>0.66422601637739231</v>
      </c>
      <c r="L95" s="48">
        <f>(D95/F95)/G95</f>
        <v>2.6254736842105268E-2</v>
      </c>
      <c r="M95" s="48" t="s">
        <v>45</v>
      </c>
      <c r="N95" s="48">
        <f>K95*I95</f>
        <v>11.29184227841567</v>
      </c>
      <c r="O95" s="48">
        <f>L95*I95</f>
        <v>0.44633052631578957</v>
      </c>
    </row>
    <row r="96" spans="1:41" ht="14.25" customHeight="1" x14ac:dyDescent="0.3"/>
    <row r="97" spans="1:15" ht="14.25" customHeight="1" x14ac:dyDescent="0.3">
      <c r="A97" s="17" t="s">
        <v>91</v>
      </c>
      <c r="B97" s="17" t="s">
        <v>81</v>
      </c>
      <c r="C97" s="18" t="s">
        <v>14</v>
      </c>
      <c r="D97" s="19">
        <v>0</v>
      </c>
      <c r="E97" s="20">
        <v>32.266504907216493</v>
      </c>
      <c r="F97" s="1310">
        <v>1</v>
      </c>
      <c r="G97" s="1099">
        <v>100</v>
      </c>
      <c r="H97" s="20" t="s">
        <v>799</v>
      </c>
      <c r="I97" s="21">
        <v>3.04</v>
      </c>
      <c r="J97" s="21">
        <f>I97/1</f>
        <v>3.04</v>
      </c>
      <c r="K97" s="20">
        <f>(E97/F97)/G97</f>
        <v>0.32266504907216492</v>
      </c>
      <c r="L97" s="20">
        <f>(D97/F97)/G97</f>
        <v>0</v>
      </c>
      <c r="M97" s="20" t="s">
        <v>14</v>
      </c>
      <c r="N97" s="20">
        <f>K97*I97</f>
        <v>0.98090174917938133</v>
      </c>
      <c r="O97" s="20">
        <f>L97*I97</f>
        <v>0</v>
      </c>
    </row>
    <row r="98" spans="1:15" ht="14.25" customHeight="1" x14ac:dyDescent="0.3">
      <c r="A98" s="17" t="s">
        <v>88</v>
      </c>
      <c r="B98" s="17" t="s">
        <v>81</v>
      </c>
      <c r="C98" s="18" t="s">
        <v>14</v>
      </c>
      <c r="D98" s="19">
        <v>0</v>
      </c>
      <c r="E98" s="20">
        <v>31.630316105769243</v>
      </c>
      <c r="F98" s="1310">
        <v>1</v>
      </c>
      <c r="G98" s="1099">
        <v>200</v>
      </c>
      <c r="H98" s="20" t="s">
        <v>89</v>
      </c>
      <c r="I98" s="21">
        <v>4</v>
      </c>
      <c r="J98" s="21">
        <f>I98/0.2</f>
        <v>20</v>
      </c>
      <c r="K98" s="20">
        <f>(E98/F98)/G98</f>
        <v>0.1581515805288462</v>
      </c>
      <c r="L98" s="639">
        <f>(D98/F98)/G98</f>
        <v>0</v>
      </c>
      <c r="M98" s="20" t="s">
        <v>42</v>
      </c>
      <c r="N98" s="20">
        <f>K98*I98</f>
        <v>0.63260632211538481</v>
      </c>
      <c r="O98" s="20">
        <f>L98*I98</f>
        <v>0</v>
      </c>
    </row>
    <row r="99" spans="1:15" ht="14.25" customHeight="1" x14ac:dyDescent="0.3">
      <c r="A99" s="17" t="s">
        <v>85</v>
      </c>
      <c r="B99" s="17" t="s">
        <v>81</v>
      </c>
      <c r="C99" s="18" t="s">
        <v>14</v>
      </c>
      <c r="D99" s="19">
        <v>0</v>
      </c>
      <c r="E99" s="20">
        <v>28.349110413396136</v>
      </c>
      <c r="F99" s="1310">
        <v>1</v>
      </c>
      <c r="G99" s="1099">
        <v>142</v>
      </c>
      <c r="H99" s="20" t="s">
        <v>86</v>
      </c>
      <c r="I99" s="21">
        <v>20</v>
      </c>
      <c r="J99" s="21">
        <f>I99/0.142</f>
        <v>140.84507042253523</v>
      </c>
      <c r="K99" s="20">
        <f>(E99/F99)/G99</f>
        <v>0.19964162262955026</v>
      </c>
      <c r="L99" s="639">
        <f>(D99/F99)/G99</f>
        <v>0</v>
      </c>
      <c r="M99" s="20" t="s">
        <v>42</v>
      </c>
      <c r="N99" s="20">
        <f>K99*I99</f>
        <v>3.9928324525910055</v>
      </c>
      <c r="O99" s="20">
        <f>L99*I99</f>
        <v>0</v>
      </c>
    </row>
    <row r="100" spans="1:15" ht="14.25" customHeight="1" x14ac:dyDescent="0.3">
      <c r="A100" s="17" t="s">
        <v>83</v>
      </c>
      <c r="B100" s="17" t="s">
        <v>81</v>
      </c>
      <c r="C100" s="18" t="s">
        <v>14</v>
      </c>
      <c r="D100" s="19">
        <v>22.813269230769237</v>
      </c>
      <c r="E100" s="20">
        <v>110.28795778670175</v>
      </c>
      <c r="F100" s="1310">
        <v>1</v>
      </c>
      <c r="G100" s="1099">
        <v>142</v>
      </c>
      <c r="H100" s="20" t="s">
        <v>86</v>
      </c>
      <c r="I100" s="21">
        <v>21</v>
      </c>
      <c r="J100" s="1001">
        <f>I100/(G100/1000)</f>
        <v>147.88732394366198</v>
      </c>
      <c r="K100" s="20">
        <f>(E100/F100)/G100</f>
        <v>0.77667575906127995</v>
      </c>
      <c r="L100" s="639">
        <f>(D100/F100)/G100</f>
        <v>0.16065682556879743</v>
      </c>
      <c r="M100" s="20" t="s">
        <v>42</v>
      </c>
      <c r="N100" s="20">
        <f>K100*I100</f>
        <v>16.31019094028688</v>
      </c>
      <c r="O100" s="20">
        <f>L100*I100</f>
        <v>3.3737933369447459</v>
      </c>
    </row>
    <row r="101" spans="1:15" ht="14.25" customHeight="1" x14ac:dyDescent="0.3">
      <c r="A101" s="17" t="s">
        <v>80</v>
      </c>
      <c r="B101" s="17" t="s">
        <v>81</v>
      </c>
      <c r="C101" s="18" t="s">
        <v>14</v>
      </c>
      <c r="D101" s="19">
        <v>0</v>
      </c>
      <c r="E101" s="20">
        <v>11.982971393685681</v>
      </c>
      <c r="F101" s="1310">
        <v>1</v>
      </c>
      <c r="G101" s="1099">
        <v>1000</v>
      </c>
      <c r="H101" s="20" t="s">
        <v>45</v>
      </c>
      <c r="I101" s="21">
        <v>7</v>
      </c>
      <c r="J101" s="21">
        <f>I101*(G101/1000)</f>
        <v>7</v>
      </c>
      <c r="K101" s="20">
        <f>(E101/F101)/G101</f>
        <v>1.198297139368568E-2</v>
      </c>
      <c r="L101" s="639">
        <f>(D101/F101)/G101</f>
        <v>0</v>
      </c>
      <c r="M101" s="20" t="s">
        <v>45</v>
      </c>
      <c r="N101" s="20">
        <f>K101*I101</f>
        <v>8.3880799755799762E-2</v>
      </c>
      <c r="O101" s="20">
        <f>L101*I101</f>
        <v>0</v>
      </c>
    </row>
    <row r="102" spans="1:15" ht="14.25" customHeight="1" x14ac:dyDescent="0.3"/>
    <row r="103" spans="1:15" ht="14.25" customHeight="1" x14ac:dyDescent="0.3">
      <c r="A103" s="688" t="s">
        <v>529</v>
      </c>
      <c r="B103" s="688" t="s">
        <v>544</v>
      </c>
      <c r="C103" s="688" t="s">
        <v>14</v>
      </c>
      <c r="D103" s="758">
        <v>8751.5789473684217</v>
      </c>
      <c r="E103" s="689">
        <v>8751.5789473684217</v>
      </c>
      <c r="F103" s="1009">
        <v>1</v>
      </c>
      <c r="G103" s="1007">
        <f>24*400</f>
        <v>9600</v>
      </c>
      <c r="H103" s="1007" t="s">
        <v>773</v>
      </c>
      <c r="I103" s="1008">
        <v>98</v>
      </c>
      <c r="J103" s="1008">
        <f t="shared" ref="J103:J108" si="31">I103/(G103/1000)</f>
        <v>10.208333333333334</v>
      </c>
      <c r="K103" s="1121">
        <f>(E103/F103)/G103</f>
        <v>0.91162280701754395</v>
      </c>
      <c r="L103" s="1121">
        <f>(D103/F103)/G103</f>
        <v>0.91162280701754395</v>
      </c>
      <c r="M103" s="1119" t="s">
        <v>26</v>
      </c>
      <c r="N103" s="1120">
        <f>K103*I103</f>
        <v>89.33903508771931</v>
      </c>
      <c r="O103" s="1120">
        <f>L103*I103</f>
        <v>89.33903508771931</v>
      </c>
    </row>
    <row r="104" spans="1:15" ht="14.25" customHeight="1" x14ac:dyDescent="0.3">
      <c r="A104" s="688" t="s">
        <v>417</v>
      </c>
      <c r="B104" s="688" t="s">
        <v>544</v>
      </c>
      <c r="C104" s="688" t="s">
        <v>14</v>
      </c>
      <c r="D104" s="758">
        <v>0</v>
      </c>
      <c r="E104" s="689">
        <v>7576.8</v>
      </c>
      <c r="F104" s="1009">
        <v>1</v>
      </c>
      <c r="G104" s="1007">
        <f>24*450</f>
        <v>10800</v>
      </c>
      <c r="H104" s="1007" t="s">
        <v>772</v>
      </c>
      <c r="I104" s="1008">
        <v>90</v>
      </c>
      <c r="J104" s="1008">
        <f t="shared" si="31"/>
        <v>8.3333333333333321</v>
      </c>
      <c r="K104" s="1121">
        <f t="shared" ref="K104:K108" si="32">(E104/F104)/G104</f>
        <v>0.7015555555555556</v>
      </c>
      <c r="L104" s="1121">
        <f t="shared" ref="L104:L108" si="33">(D104/F104)/G104</f>
        <v>0</v>
      </c>
      <c r="M104" s="1119" t="s">
        <v>26</v>
      </c>
      <c r="N104" s="1120">
        <f t="shared" ref="N104:N108" si="34">K104*I104</f>
        <v>63.14</v>
      </c>
      <c r="O104" s="1120">
        <f t="shared" ref="O104:O108" si="35">L104*I104</f>
        <v>0</v>
      </c>
    </row>
    <row r="105" spans="1:15" ht="14.25" customHeight="1" x14ac:dyDescent="0.3">
      <c r="A105" s="688" t="s">
        <v>460</v>
      </c>
      <c r="B105" s="688" t="s">
        <v>544</v>
      </c>
      <c r="C105" s="688" t="s">
        <v>14</v>
      </c>
      <c r="D105" s="758">
        <v>0</v>
      </c>
      <c r="E105" s="689">
        <v>9400.8814025245447</v>
      </c>
      <c r="F105" s="1009">
        <v>1</v>
      </c>
      <c r="G105" s="1007">
        <f>12*454</f>
        <v>5448</v>
      </c>
      <c r="H105" s="1007" t="s">
        <v>771</v>
      </c>
      <c r="I105" s="1008">
        <v>165</v>
      </c>
      <c r="J105" s="1008">
        <f t="shared" si="31"/>
        <v>30.2863436123348</v>
      </c>
      <c r="K105" s="1121">
        <f t="shared" si="32"/>
        <v>1.7255656025191894</v>
      </c>
      <c r="L105" s="1121">
        <f t="shared" si="33"/>
        <v>0</v>
      </c>
      <c r="M105" s="1119" t="s">
        <v>26</v>
      </c>
      <c r="N105" s="1120">
        <f t="shared" si="34"/>
        <v>284.71832441566625</v>
      </c>
      <c r="O105" s="1120">
        <f t="shared" si="35"/>
        <v>0</v>
      </c>
    </row>
    <row r="106" spans="1:15" ht="14.25" customHeight="1" x14ac:dyDescent="0.3">
      <c r="A106" s="688" t="s">
        <v>535</v>
      </c>
      <c r="B106" s="688" t="s">
        <v>544</v>
      </c>
      <c r="C106" s="688" t="s">
        <v>14</v>
      </c>
      <c r="D106" s="758">
        <v>0</v>
      </c>
      <c r="E106" s="689">
        <v>11507.755102040817</v>
      </c>
      <c r="F106" s="1009">
        <v>1</v>
      </c>
      <c r="G106" s="1007">
        <f>450*24</f>
        <v>10800</v>
      </c>
      <c r="H106" s="1007" t="s">
        <v>772</v>
      </c>
      <c r="I106" s="1008">
        <v>95</v>
      </c>
      <c r="J106" s="1008">
        <f t="shared" si="31"/>
        <v>8.7962962962962958</v>
      </c>
      <c r="K106" s="1121">
        <f t="shared" si="32"/>
        <v>1.0655328798185941</v>
      </c>
      <c r="L106" s="1121">
        <f t="shared" si="33"/>
        <v>0</v>
      </c>
      <c r="M106" s="1119" t="s">
        <v>26</v>
      </c>
      <c r="N106" s="1120">
        <f t="shared" si="34"/>
        <v>101.22562358276645</v>
      </c>
      <c r="O106" s="1120">
        <f t="shared" si="35"/>
        <v>0</v>
      </c>
    </row>
    <row r="107" spans="1:15" ht="14.25" customHeight="1" x14ac:dyDescent="0.3">
      <c r="A107" s="688" t="s">
        <v>534</v>
      </c>
      <c r="B107" s="688" t="s">
        <v>544</v>
      </c>
      <c r="C107" s="688" t="s">
        <v>14</v>
      </c>
      <c r="D107" s="758">
        <v>0</v>
      </c>
      <c r="E107" s="689">
        <v>6213.3333333333339</v>
      </c>
      <c r="F107" s="1009">
        <v>1</v>
      </c>
      <c r="G107" s="1007">
        <f>24*450</f>
        <v>10800</v>
      </c>
      <c r="H107" s="1007" t="s">
        <v>772</v>
      </c>
      <c r="I107" s="1008">
        <f>100</f>
        <v>100</v>
      </c>
      <c r="J107" s="1008">
        <f t="shared" si="31"/>
        <v>9.2592592592592595</v>
      </c>
      <c r="K107" s="1121">
        <f t="shared" si="32"/>
        <v>0.57530864197530873</v>
      </c>
      <c r="L107" s="1121">
        <f>(D107/F107)/G107</f>
        <v>0</v>
      </c>
      <c r="M107" s="1119" t="s">
        <v>26</v>
      </c>
      <c r="N107" s="1120">
        <f t="shared" si="34"/>
        <v>57.530864197530875</v>
      </c>
      <c r="O107" s="1120">
        <f t="shared" si="35"/>
        <v>0</v>
      </c>
    </row>
    <row r="108" spans="1:15" ht="14.25" customHeight="1" x14ac:dyDescent="0.3">
      <c r="A108" s="688" t="s">
        <v>537</v>
      </c>
      <c r="B108" s="688" t="s">
        <v>544</v>
      </c>
      <c r="C108" s="688" t="s">
        <v>14</v>
      </c>
      <c r="D108" s="758">
        <v>0</v>
      </c>
      <c r="E108" s="689">
        <v>18409.382178217824</v>
      </c>
      <c r="F108" s="1009">
        <v>1</v>
      </c>
      <c r="G108" s="1007">
        <f>24*450</f>
        <v>10800</v>
      </c>
      <c r="H108" s="1007" t="s">
        <v>772</v>
      </c>
      <c r="I108" s="1008">
        <v>98</v>
      </c>
      <c r="J108" s="1008">
        <f t="shared" si="31"/>
        <v>9.0740740740740726</v>
      </c>
      <c r="K108" s="1121">
        <f t="shared" si="32"/>
        <v>1.7045724239090578</v>
      </c>
      <c r="L108" s="1121">
        <f t="shared" si="33"/>
        <v>0</v>
      </c>
      <c r="M108" s="1119" t="s">
        <v>26</v>
      </c>
      <c r="N108" s="1120">
        <f t="shared" si="34"/>
        <v>167.04809754308766</v>
      </c>
      <c r="O108" s="1120">
        <f t="shared" si="35"/>
        <v>0</v>
      </c>
    </row>
    <row r="109" spans="1:15" ht="14.25" customHeight="1" x14ac:dyDescent="0.3"/>
    <row r="110" spans="1:15" ht="14.25" customHeight="1" x14ac:dyDescent="0.3">
      <c r="A110" s="1078" t="s">
        <v>765</v>
      </c>
      <c r="B110" s="1078" t="s">
        <v>13</v>
      </c>
      <c r="C110" s="1082" t="s">
        <v>14</v>
      </c>
      <c r="D110" s="1133">
        <v>0</v>
      </c>
      <c r="E110" s="1134">
        <v>22.25145375</v>
      </c>
      <c r="F110" s="1311">
        <v>0.52</v>
      </c>
      <c r="G110" s="1135">
        <v>100</v>
      </c>
      <c r="H110" s="1134" t="s">
        <v>67</v>
      </c>
      <c r="I110" s="1136">
        <v>10</v>
      </c>
      <c r="J110" s="1136">
        <f t="shared" ref="J110:J127" si="36">I110/(G110/1000)</f>
        <v>100</v>
      </c>
      <c r="K110" s="1134">
        <f>(E110/F110)/G110</f>
        <v>0.42791257211538458</v>
      </c>
      <c r="L110" s="1137">
        <f>(D110/F110)/G110</f>
        <v>0</v>
      </c>
      <c r="M110" s="1134" t="s">
        <v>42</v>
      </c>
      <c r="N110" s="1134">
        <f t="shared" ref="N110:N122" si="37">K110*I110</f>
        <v>4.2791257211538456</v>
      </c>
      <c r="O110" s="1134">
        <f t="shared" ref="O110:O122" si="38">L110*I110</f>
        <v>0</v>
      </c>
    </row>
    <row r="111" spans="1:15" ht="14.25" customHeight="1" x14ac:dyDescent="0.3">
      <c r="A111" s="1138" t="s">
        <v>19</v>
      </c>
      <c r="B111" s="1138" t="s">
        <v>13</v>
      </c>
      <c r="C111" s="1139" t="s">
        <v>14</v>
      </c>
      <c r="D111" s="1140">
        <v>8702.5</v>
      </c>
      <c r="E111" s="1141">
        <v>59124.130501906067</v>
      </c>
      <c r="F111" s="1312">
        <v>0.84</v>
      </c>
      <c r="G111" s="1142">
        <v>1000</v>
      </c>
      <c r="H111" s="1141" t="s">
        <v>15</v>
      </c>
      <c r="I111" s="1143">
        <v>2.6</v>
      </c>
      <c r="J111" s="1143">
        <f t="shared" si="36"/>
        <v>2.6</v>
      </c>
      <c r="K111" s="1141">
        <f>(E111/F111)/G111</f>
        <v>70.385869645126277</v>
      </c>
      <c r="L111" s="1137">
        <f t="shared" ref="L111:L139" si="39">(D111/F111)/G111</f>
        <v>10.360119047619047</v>
      </c>
      <c r="M111" s="1141" t="s">
        <v>15</v>
      </c>
      <c r="N111" s="1141">
        <f t="shared" si="37"/>
        <v>183.00326107732832</v>
      </c>
      <c r="O111" s="1141">
        <f t="shared" si="38"/>
        <v>26.936309523809523</v>
      </c>
    </row>
    <row r="112" spans="1:15" ht="14.25" customHeight="1" x14ac:dyDescent="0.3">
      <c r="A112" s="1138" t="s">
        <v>50</v>
      </c>
      <c r="B112" s="1138" t="s">
        <v>13</v>
      </c>
      <c r="C112" s="1139" t="s">
        <v>14</v>
      </c>
      <c r="D112" s="1140">
        <v>1524</v>
      </c>
      <c r="E112" s="1141">
        <v>8892</v>
      </c>
      <c r="F112" s="1312">
        <v>0.75</v>
      </c>
      <c r="G112" s="1142">
        <v>1000</v>
      </c>
      <c r="H112" s="1141" t="s">
        <v>45</v>
      </c>
      <c r="I112" s="1143">
        <v>20</v>
      </c>
      <c r="J112" s="1143">
        <f t="shared" si="36"/>
        <v>20</v>
      </c>
      <c r="K112" s="1141">
        <f>(E112/F112)/G112</f>
        <v>11.856</v>
      </c>
      <c r="L112" s="1137">
        <f t="shared" si="39"/>
        <v>2.032</v>
      </c>
      <c r="M112" s="1141" t="s">
        <v>45</v>
      </c>
      <c r="N112" s="1141">
        <f t="shared" si="37"/>
        <v>237.12</v>
      </c>
      <c r="O112" s="1141">
        <f t="shared" si="38"/>
        <v>40.64</v>
      </c>
    </row>
    <row r="113" spans="1:15" ht="14.25" customHeight="1" x14ac:dyDescent="0.3">
      <c r="A113" s="1078" t="s">
        <v>61</v>
      </c>
      <c r="B113" s="1078" t="s">
        <v>13</v>
      </c>
      <c r="C113" s="1082" t="s">
        <v>14</v>
      </c>
      <c r="D113" s="1133">
        <v>507.45158569500711</v>
      </c>
      <c r="E113" s="1134">
        <v>2544.7292098125322</v>
      </c>
      <c r="F113" s="1311">
        <v>0.94</v>
      </c>
      <c r="G113" s="1135">
        <v>825</v>
      </c>
      <c r="H113" s="1134" t="s">
        <v>63</v>
      </c>
      <c r="I113" s="1136">
        <v>3</v>
      </c>
      <c r="J113" s="1136">
        <f t="shared" si="36"/>
        <v>3.6363636363636367</v>
      </c>
      <c r="K113" s="1134">
        <f>(E113/F113)/G113</f>
        <v>3.2814045258704478</v>
      </c>
      <c r="L113" s="1137">
        <f t="shared" si="39"/>
        <v>0.65435407568666304</v>
      </c>
      <c r="M113" s="1134" t="s">
        <v>42</v>
      </c>
      <c r="N113" s="1134">
        <f t="shared" si="37"/>
        <v>9.8442135776113435</v>
      </c>
      <c r="O113" s="1134">
        <f t="shared" si="38"/>
        <v>1.9630622270599891</v>
      </c>
    </row>
    <row r="114" spans="1:15" ht="14.25" customHeight="1" x14ac:dyDescent="0.3">
      <c r="A114" s="1078" t="s">
        <v>716</v>
      </c>
      <c r="B114" s="1078" t="s">
        <v>13</v>
      </c>
      <c r="C114" s="1082" t="s">
        <v>14</v>
      </c>
      <c r="D114" s="1133">
        <v>98.210000000000008</v>
      </c>
      <c r="E114" s="1134">
        <v>1199.6800000000003</v>
      </c>
      <c r="F114" s="1311">
        <v>0.65</v>
      </c>
      <c r="G114" s="1135">
        <v>1000</v>
      </c>
      <c r="H114" s="1134" t="s">
        <v>45</v>
      </c>
      <c r="I114" s="1136">
        <v>45</v>
      </c>
      <c r="J114" s="1136">
        <f t="shared" si="36"/>
        <v>45</v>
      </c>
      <c r="K114" s="1134">
        <f>(E114/F114)</f>
        <v>1845.6615384615388</v>
      </c>
      <c r="L114" s="1137">
        <f t="shared" si="39"/>
        <v>0.15109230769230772</v>
      </c>
      <c r="M114" s="1134" t="s">
        <v>15</v>
      </c>
      <c r="N114" s="1134">
        <f t="shared" si="37"/>
        <v>83054.769230769249</v>
      </c>
      <c r="O114" s="1134">
        <f t="shared" si="38"/>
        <v>6.799153846153847</v>
      </c>
    </row>
    <row r="115" spans="1:15" ht="14.25" customHeight="1" x14ac:dyDescent="0.3">
      <c r="A115" s="1078" t="s">
        <v>76</v>
      </c>
      <c r="B115" s="1078" t="s">
        <v>13</v>
      </c>
      <c r="C115" s="1082" t="s">
        <v>14</v>
      </c>
      <c r="D115" s="1133">
        <v>91.965764170040529</v>
      </c>
      <c r="E115" s="1134">
        <v>91.965764170040529</v>
      </c>
      <c r="F115" s="1311">
        <v>0.6</v>
      </c>
      <c r="G115" s="1135">
        <v>100</v>
      </c>
      <c r="H115" s="1134" t="s">
        <v>67</v>
      </c>
      <c r="I115" s="1136">
        <v>9</v>
      </c>
      <c r="J115" s="1136">
        <f t="shared" si="36"/>
        <v>90</v>
      </c>
      <c r="K115" s="1134">
        <f t="shared" ref="K115:K122" si="40">(E115/F115)/G115</f>
        <v>1.5327627361673422</v>
      </c>
      <c r="L115" s="1137">
        <f t="shared" si="39"/>
        <v>1.5327627361673422</v>
      </c>
      <c r="M115" s="1134" t="s">
        <v>42</v>
      </c>
      <c r="N115" s="1134">
        <f t="shared" si="37"/>
        <v>13.794864625506079</v>
      </c>
      <c r="O115" s="1134">
        <f t="shared" si="38"/>
        <v>13.794864625506079</v>
      </c>
    </row>
    <row r="116" spans="1:15" ht="14.25" customHeight="1" x14ac:dyDescent="0.3">
      <c r="A116" s="1078" t="s">
        <v>71</v>
      </c>
      <c r="B116" s="1078" t="s">
        <v>13</v>
      </c>
      <c r="C116" s="1082" t="s">
        <v>14</v>
      </c>
      <c r="D116" s="1133">
        <v>0</v>
      </c>
      <c r="E116" s="1134">
        <v>568.46249999999998</v>
      </c>
      <c r="F116" s="1311">
        <v>0.71</v>
      </c>
      <c r="G116" s="1135">
        <v>1000</v>
      </c>
      <c r="H116" s="1134" t="s">
        <v>72</v>
      </c>
      <c r="I116" s="1136">
        <v>3</v>
      </c>
      <c r="J116" s="1136">
        <f t="shared" si="36"/>
        <v>3</v>
      </c>
      <c r="K116" s="1134">
        <f t="shared" si="40"/>
        <v>0.80065140845070426</v>
      </c>
      <c r="L116" s="1137">
        <f t="shared" si="39"/>
        <v>0</v>
      </c>
      <c r="M116" s="1134" t="s">
        <v>42</v>
      </c>
      <c r="N116" s="1134">
        <f t="shared" si="37"/>
        <v>2.4019542253521129</v>
      </c>
      <c r="O116" s="1134">
        <f t="shared" si="38"/>
        <v>0</v>
      </c>
    </row>
    <row r="117" spans="1:15" ht="14.25" customHeight="1" x14ac:dyDescent="0.3">
      <c r="A117" s="1138" t="s">
        <v>23</v>
      </c>
      <c r="B117" s="1138" t="s">
        <v>13</v>
      </c>
      <c r="C117" s="1139" t="s">
        <v>14</v>
      </c>
      <c r="D117" s="1140">
        <v>0</v>
      </c>
      <c r="E117" s="1141">
        <v>16315</v>
      </c>
      <c r="F117" s="1312">
        <v>0.82</v>
      </c>
      <c r="G117" s="1142">
        <v>1000</v>
      </c>
      <c r="H117" s="1141" t="s">
        <v>15</v>
      </c>
      <c r="I117" s="1143">
        <v>3</v>
      </c>
      <c r="J117" s="1143">
        <f t="shared" si="36"/>
        <v>3</v>
      </c>
      <c r="K117" s="1141">
        <f t="shared" si="40"/>
        <v>19.896341463414636</v>
      </c>
      <c r="L117" s="1137">
        <f t="shared" si="39"/>
        <v>0</v>
      </c>
      <c r="M117" s="1141" t="s">
        <v>15</v>
      </c>
      <c r="N117" s="1141">
        <f t="shared" si="37"/>
        <v>59.689024390243908</v>
      </c>
      <c r="O117" s="1141">
        <f t="shared" si="38"/>
        <v>0</v>
      </c>
    </row>
    <row r="118" spans="1:15" ht="14.25" customHeight="1" x14ac:dyDescent="0.3">
      <c r="A118" s="1138" t="s">
        <v>787</v>
      </c>
      <c r="B118" s="1138" t="s">
        <v>13</v>
      </c>
      <c r="C118" s="1139" t="s">
        <v>14</v>
      </c>
      <c r="D118" s="1140">
        <v>0</v>
      </c>
      <c r="E118" s="1141">
        <v>2685.1428571428573</v>
      </c>
      <c r="F118" s="1312">
        <v>1</v>
      </c>
      <c r="G118" s="1142">
        <v>125</v>
      </c>
      <c r="H118" s="1141" t="s">
        <v>788</v>
      </c>
      <c r="I118" s="1143">
        <v>10</v>
      </c>
      <c r="J118" s="1143">
        <f t="shared" si="36"/>
        <v>80</v>
      </c>
      <c r="K118" s="1141">
        <f t="shared" si="40"/>
        <v>21.48114285714286</v>
      </c>
      <c r="L118" s="1137">
        <f>(D118/F118)/G118</f>
        <v>0</v>
      </c>
      <c r="M118" s="1141" t="s">
        <v>37</v>
      </c>
      <c r="N118" s="1141">
        <f t="shared" si="37"/>
        <v>214.81142857142859</v>
      </c>
      <c r="O118" s="1141">
        <f t="shared" si="38"/>
        <v>0</v>
      </c>
    </row>
    <row r="119" spans="1:15" ht="14.25" customHeight="1" x14ac:dyDescent="0.3">
      <c r="A119" s="1138" t="s">
        <v>763</v>
      </c>
      <c r="B119" s="1138" t="s">
        <v>13</v>
      </c>
      <c r="C119" s="1139" t="s">
        <v>14</v>
      </c>
      <c r="D119" s="1140">
        <v>3667.9561403508787</v>
      </c>
      <c r="E119" s="1141">
        <v>3827.5715249662635</v>
      </c>
      <c r="F119" s="1312">
        <v>1</v>
      </c>
      <c r="G119" s="1142">
        <v>135</v>
      </c>
      <c r="H119" s="1141" t="s">
        <v>52</v>
      </c>
      <c r="I119" s="1143">
        <v>5.5</v>
      </c>
      <c r="J119" s="1143">
        <f t="shared" si="36"/>
        <v>40.74074074074074</v>
      </c>
      <c r="K119" s="1141">
        <f t="shared" si="40"/>
        <v>28.352381666416768</v>
      </c>
      <c r="L119" s="1137">
        <f t="shared" si="39"/>
        <v>27.170045484080582</v>
      </c>
      <c r="M119" s="1141" t="s">
        <v>37</v>
      </c>
      <c r="N119" s="1141">
        <f t="shared" si="37"/>
        <v>155.93809916529221</v>
      </c>
      <c r="O119" s="1141">
        <f t="shared" si="38"/>
        <v>149.4352501624432</v>
      </c>
    </row>
    <row r="120" spans="1:15" ht="14.25" customHeight="1" x14ac:dyDescent="0.3">
      <c r="A120" s="1078" t="s">
        <v>764</v>
      </c>
      <c r="B120" s="1078" t="s">
        <v>13</v>
      </c>
      <c r="C120" s="1082" t="s">
        <v>14</v>
      </c>
      <c r="D120" s="1133">
        <v>0</v>
      </c>
      <c r="E120" s="1134">
        <v>54.508839027535686</v>
      </c>
      <c r="F120" s="1313">
        <v>0.5</v>
      </c>
      <c r="G120" s="1135">
        <v>100</v>
      </c>
      <c r="H120" s="1134" t="s">
        <v>67</v>
      </c>
      <c r="I120" s="1136">
        <v>9</v>
      </c>
      <c r="J120" s="1136">
        <f t="shared" si="36"/>
        <v>90</v>
      </c>
      <c r="K120" s="1134">
        <f t="shared" si="40"/>
        <v>1.0901767805507137</v>
      </c>
      <c r="L120" s="1137">
        <f>(D120/F120)/G120</f>
        <v>0</v>
      </c>
      <c r="M120" s="1134" t="s">
        <v>42</v>
      </c>
      <c r="N120" s="1134">
        <f t="shared" si="37"/>
        <v>9.8115910249564227</v>
      </c>
      <c r="O120" s="1134">
        <f t="shared" si="38"/>
        <v>0</v>
      </c>
    </row>
    <row r="121" spans="1:15" ht="14.25" customHeight="1" x14ac:dyDescent="0.3">
      <c r="A121" s="1138" t="s">
        <v>762</v>
      </c>
      <c r="B121" s="1138" t="s">
        <v>13</v>
      </c>
      <c r="C121" s="1139" t="s">
        <v>14</v>
      </c>
      <c r="D121" s="1140">
        <v>2784.9469582610386</v>
      </c>
      <c r="E121" s="1141">
        <v>20128.131462498259</v>
      </c>
      <c r="F121" s="1312">
        <v>1</v>
      </c>
      <c r="G121" s="1142">
        <v>1000</v>
      </c>
      <c r="H121" s="1141" t="s">
        <v>45</v>
      </c>
      <c r="I121" s="1143">
        <v>10.5</v>
      </c>
      <c r="J121" s="1143">
        <f t="shared" si="36"/>
        <v>10.5</v>
      </c>
      <c r="K121" s="1141">
        <f t="shared" si="40"/>
        <v>20.12813146249826</v>
      </c>
      <c r="L121" s="1137">
        <f t="shared" si="39"/>
        <v>2.7849469582610387</v>
      </c>
      <c r="M121" s="1141" t="s">
        <v>45</v>
      </c>
      <c r="N121" s="1141">
        <f t="shared" si="37"/>
        <v>211.34538035623171</v>
      </c>
      <c r="O121" s="1141">
        <f t="shared" si="38"/>
        <v>29.241943061740905</v>
      </c>
    </row>
    <row r="122" spans="1:15" ht="14.25" customHeight="1" x14ac:dyDescent="0.3">
      <c r="A122" s="1144" t="s">
        <v>55</v>
      </c>
      <c r="B122" s="1144" t="s">
        <v>13</v>
      </c>
      <c r="C122" s="1145" t="s">
        <v>14</v>
      </c>
      <c r="D122" s="1146">
        <v>377.64230769230812</v>
      </c>
      <c r="E122" s="1147">
        <v>5775.0458884568488</v>
      </c>
      <c r="F122" s="1314">
        <v>0.87</v>
      </c>
      <c r="G122" s="1148">
        <v>1000</v>
      </c>
      <c r="H122" s="1147" t="s">
        <v>45</v>
      </c>
      <c r="I122" s="1149">
        <v>7</v>
      </c>
      <c r="J122" s="1149">
        <f t="shared" si="36"/>
        <v>7</v>
      </c>
      <c r="K122" s="1147">
        <f t="shared" si="40"/>
        <v>6.6379837798354586</v>
      </c>
      <c r="L122" s="1137">
        <f t="shared" si="39"/>
        <v>0.43407161803713573</v>
      </c>
      <c r="M122" s="1147" t="s">
        <v>45</v>
      </c>
      <c r="N122" s="1147">
        <f t="shared" si="37"/>
        <v>46.46588645884821</v>
      </c>
      <c r="O122" s="1147">
        <f t="shared" si="38"/>
        <v>3.0385013262599503</v>
      </c>
    </row>
    <row r="123" spans="1:15" ht="14.25" customHeight="1" x14ac:dyDescent="0.3">
      <c r="A123" s="1138" t="s">
        <v>553</v>
      </c>
      <c r="B123" s="1138" t="s">
        <v>13</v>
      </c>
      <c r="C123" s="1139" t="s">
        <v>14</v>
      </c>
      <c r="D123" s="1140">
        <v>0</v>
      </c>
      <c r="E123" s="1141">
        <v>136.27500000000001</v>
      </c>
      <c r="F123" s="1312">
        <v>0.56999999999999995</v>
      </c>
      <c r="G123" s="1142">
        <v>1000</v>
      </c>
      <c r="H123" s="1141" t="s">
        <v>45</v>
      </c>
      <c r="I123" s="1143">
        <v>5</v>
      </c>
      <c r="J123" s="1143">
        <f t="shared" si="36"/>
        <v>5</v>
      </c>
      <c r="K123" s="1141"/>
      <c r="L123" s="1137">
        <f t="shared" si="39"/>
        <v>0</v>
      </c>
      <c r="M123" s="1147" t="s">
        <v>45</v>
      </c>
      <c r="N123" s="1141"/>
      <c r="O123" s="1141"/>
    </row>
    <row r="124" spans="1:15" ht="14.25" customHeight="1" x14ac:dyDescent="0.3">
      <c r="A124" s="1138" t="s">
        <v>32</v>
      </c>
      <c r="B124" s="1138" t="s">
        <v>13</v>
      </c>
      <c r="C124" s="1139" t="s">
        <v>14</v>
      </c>
      <c r="D124" s="1140">
        <v>5024.4395604395622</v>
      </c>
      <c r="E124" s="1141">
        <v>20477.385123638956</v>
      </c>
      <c r="F124" s="1312">
        <v>0.69</v>
      </c>
      <c r="G124" s="1142">
        <v>1000</v>
      </c>
      <c r="H124" s="1141" t="s">
        <v>15</v>
      </c>
      <c r="I124" s="1143">
        <v>4</v>
      </c>
      <c r="J124" s="1143">
        <f t="shared" si="36"/>
        <v>4</v>
      </c>
      <c r="K124" s="1141">
        <f t="shared" ref="K124:K135" si="41">(E124/F124)/G124</f>
        <v>29.677369744404288</v>
      </c>
      <c r="L124" s="1137">
        <f t="shared" si="39"/>
        <v>7.2817964644051631</v>
      </c>
      <c r="M124" s="1141" t="s">
        <v>15</v>
      </c>
      <c r="N124" s="1141">
        <f t="shared" ref="N124:N135" si="42">K124*I124</f>
        <v>118.70947897761715</v>
      </c>
      <c r="O124" s="1141">
        <f t="shared" ref="O124:O140" si="43">L124*I124</f>
        <v>29.127185857620653</v>
      </c>
    </row>
    <row r="125" spans="1:15" ht="14.25" customHeight="1" x14ac:dyDescent="0.3">
      <c r="A125" s="1138" t="s">
        <v>34</v>
      </c>
      <c r="B125" s="1138" t="s">
        <v>13</v>
      </c>
      <c r="C125" s="1139" t="s">
        <v>14</v>
      </c>
      <c r="D125" s="1140">
        <v>16.466538461538477</v>
      </c>
      <c r="E125" s="1141">
        <v>1117.995382306769</v>
      </c>
      <c r="F125" s="1312">
        <v>0.86</v>
      </c>
      <c r="G125" s="1142">
        <v>1000</v>
      </c>
      <c r="H125" s="1141" t="s">
        <v>15</v>
      </c>
      <c r="I125" s="1143">
        <v>14</v>
      </c>
      <c r="J125" s="1143">
        <f t="shared" si="36"/>
        <v>14</v>
      </c>
      <c r="K125" s="1150">
        <f t="shared" si="41"/>
        <v>1.2999946305892662</v>
      </c>
      <c r="L125" s="1137">
        <f t="shared" si="39"/>
        <v>1.9147137745974974E-2</v>
      </c>
      <c r="M125" s="1141" t="s">
        <v>15</v>
      </c>
      <c r="N125" s="1141">
        <f t="shared" si="42"/>
        <v>18.199924828249728</v>
      </c>
      <c r="O125" s="1141">
        <f t="shared" si="43"/>
        <v>0.26805992844364962</v>
      </c>
    </row>
    <row r="126" spans="1:15" ht="14.25" customHeight="1" x14ac:dyDescent="0.3">
      <c r="A126" s="1138" t="s">
        <v>40</v>
      </c>
      <c r="B126" s="1138" t="s">
        <v>13</v>
      </c>
      <c r="C126" s="1139" t="s">
        <v>14</v>
      </c>
      <c r="D126" s="1140">
        <v>0</v>
      </c>
      <c r="E126" s="1141">
        <v>2727.3504273504282</v>
      </c>
      <c r="F126" s="1312">
        <v>0.84</v>
      </c>
      <c r="G126" s="1142">
        <v>1350</v>
      </c>
      <c r="H126" s="1141" t="s">
        <v>41</v>
      </c>
      <c r="I126" s="1143">
        <v>4</v>
      </c>
      <c r="J126" s="1143">
        <f t="shared" si="36"/>
        <v>2.9629629629629628</v>
      </c>
      <c r="K126" s="1141">
        <f t="shared" si="41"/>
        <v>2.405070923589443</v>
      </c>
      <c r="L126" s="1137">
        <f t="shared" si="39"/>
        <v>0</v>
      </c>
      <c r="M126" s="1141" t="s">
        <v>42</v>
      </c>
      <c r="N126" s="1141">
        <f t="shared" si="42"/>
        <v>9.6202836943577719</v>
      </c>
      <c r="O126" s="1141">
        <f t="shared" si="43"/>
        <v>0</v>
      </c>
    </row>
    <row r="127" spans="1:15" ht="14.25" customHeight="1" x14ac:dyDescent="0.3">
      <c r="A127" s="1138" t="s">
        <v>370</v>
      </c>
      <c r="B127" s="1138" t="s">
        <v>13</v>
      </c>
      <c r="C127" s="1139" t="s">
        <v>14</v>
      </c>
      <c r="D127" s="1140">
        <v>2673</v>
      </c>
      <c r="E127" s="1141">
        <v>4333</v>
      </c>
      <c r="F127" s="1312">
        <v>0.56999999999999995</v>
      </c>
      <c r="G127" s="1142">
        <v>1000</v>
      </c>
      <c r="H127" s="1141" t="s">
        <v>45</v>
      </c>
      <c r="I127" s="1143">
        <v>8.5</v>
      </c>
      <c r="J127" s="1143">
        <f t="shared" si="36"/>
        <v>8.5</v>
      </c>
      <c r="K127" s="1141">
        <f t="shared" si="41"/>
        <v>7.601754385964913</v>
      </c>
      <c r="L127" s="1137">
        <f t="shared" si="39"/>
        <v>4.6894736842105269</v>
      </c>
      <c r="M127" s="1141" t="s">
        <v>45</v>
      </c>
      <c r="N127" s="1141">
        <f t="shared" si="42"/>
        <v>64.614912280701759</v>
      </c>
      <c r="O127" s="1141">
        <f t="shared" si="43"/>
        <v>39.860526315789478</v>
      </c>
    </row>
    <row r="128" spans="1:15" ht="14.25" customHeight="1" x14ac:dyDescent="0.3">
      <c r="A128" s="1144" t="s">
        <v>794</v>
      </c>
      <c r="B128" s="1144" t="s">
        <v>13</v>
      </c>
      <c r="C128" s="1145" t="s">
        <v>14</v>
      </c>
      <c r="D128" s="1146">
        <v>0</v>
      </c>
      <c r="E128" s="1147">
        <v>26.446624803767673</v>
      </c>
      <c r="F128" s="1314">
        <v>0.85</v>
      </c>
      <c r="G128" s="1148">
        <v>1000</v>
      </c>
      <c r="H128" s="1147" t="s">
        <v>45</v>
      </c>
      <c r="I128" s="1149">
        <v>30</v>
      </c>
      <c r="J128" s="1149">
        <f>I128</f>
        <v>30</v>
      </c>
      <c r="K128" s="1147">
        <f t="shared" si="41"/>
        <v>3.1113676239726676E-2</v>
      </c>
      <c r="L128" s="1137">
        <f t="shared" si="39"/>
        <v>0</v>
      </c>
      <c r="M128" s="1147" t="s">
        <v>45</v>
      </c>
      <c r="N128" s="1147">
        <f t="shared" si="42"/>
        <v>0.9334102871918003</v>
      </c>
      <c r="O128" s="1147">
        <f t="shared" si="43"/>
        <v>0</v>
      </c>
    </row>
    <row r="129" spans="1:24" ht="13.5" customHeight="1" x14ac:dyDescent="0.3">
      <c r="A129" s="1144" t="s">
        <v>793</v>
      </c>
      <c r="B129" s="1144" t="s">
        <v>13</v>
      </c>
      <c r="C129" s="1145" t="s">
        <v>14</v>
      </c>
      <c r="D129" s="1146">
        <v>0</v>
      </c>
      <c r="E129" s="1147">
        <v>52.893249607535346</v>
      </c>
      <c r="F129" s="1314">
        <v>0.9</v>
      </c>
      <c r="G129" s="1148">
        <v>1000</v>
      </c>
      <c r="H129" s="1147" t="s">
        <v>45</v>
      </c>
      <c r="I129" s="1149">
        <v>30</v>
      </c>
      <c r="J129" s="1149">
        <f>I129</f>
        <v>30</v>
      </c>
      <c r="K129" s="1147">
        <f t="shared" si="41"/>
        <v>5.8770277341705937E-2</v>
      </c>
      <c r="L129" s="1422">
        <f t="shared" si="39"/>
        <v>0</v>
      </c>
      <c r="M129" s="1147" t="s">
        <v>45</v>
      </c>
      <c r="N129" s="1147">
        <f t="shared" si="42"/>
        <v>1.7631083202511781</v>
      </c>
      <c r="O129" s="1147">
        <f t="shared" si="43"/>
        <v>0</v>
      </c>
    </row>
    <row r="130" spans="1:24" ht="14.25" customHeight="1" x14ac:dyDescent="0.3">
      <c r="A130" s="1078" t="s">
        <v>69</v>
      </c>
      <c r="B130" s="1078" t="s">
        <v>13</v>
      </c>
      <c r="C130" s="1082" t="s">
        <v>14</v>
      </c>
      <c r="D130" s="1133">
        <v>0</v>
      </c>
      <c r="E130" s="1134">
        <v>548.4669024985435</v>
      </c>
      <c r="F130" s="1311">
        <v>0.43</v>
      </c>
      <c r="G130" s="1135">
        <v>900</v>
      </c>
      <c r="H130" s="1134" t="s">
        <v>70</v>
      </c>
      <c r="I130" s="1136">
        <v>3</v>
      </c>
      <c r="J130" s="1136">
        <f t="shared" ref="J130:J136" si="44">I130/(G130/1000)</f>
        <v>3.333333333333333</v>
      </c>
      <c r="K130" s="1134">
        <f t="shared" si="41"/>
        <v>1.4172271382391306</v>
      </c>
      <c r="L130" s="1137">
        <f t="shared" si="39"/>
        <v>0</v>
      </c>
      <c r="M130" s="1134" t="s">
        <v>42</v>
      </c>
      <c r="N130" s="1134">
        <f t="shared" si="42"/>
        <v>4.2516814147173916</v>
      </c>
      <c r="O130" s="1134">
        <f t="shared" si="43"/>
        <v>0</v>
      </c>
    </row>
    <row r="131" spans="1:24" ht="14.25" customHeight="1" x14ac:dyDescent="0.3">
      <c r="A131" s="1138" t="s">
        <v>789</v>
      </c>
      <c r="B131" s="1138" t="s">
        <v>13</v>
      </c>
      <c r="C131" s="1139" t="s">
        <v>14</v>
      </c>
      <c r="D131" s="1140">
        <v>0</v>
      </c>
      <c r="E131" s="1141">
        <v>5528.9711878937287</v>
      </c>
      <c r="F131" s="1312">
        <v>1</v>
      </c>
      <c r="G131" s="1142">
        <v>250</v>
      </c>
      <c r="H131" s="1141" t="s">
        <v>36</v>
      </c>
      <c r="I131" s="1143">
        <v>5.5</v>
      </c>
      <c r="J131" s="1143">
        <f t="shared" si="44"/>
        <v>22</v>
      </c>
      <c r="K131" s="1141">
        <f t="shared" si="41"/>
        <v>22.115884751574914</v>
      </c>
      <c r="L131" s="1137">
        <f>(D131/F131)/G131</f>
        <v>0</v>
      </c>
      <c r="M131" s="1141" t="s">
        <v>37</v>
      </c>
      <c r="N131" s="1141">
        <f t="shared" si="42"/>
        <v>121.63736613366203</v>
      </c>
      <c r="O131" s="1141">
        <f t="shared" si="43"/>
        <v>0</v>
      </c>
    </row>
    <row r="132" spans="1:24" x14ac:dyDescent="0.3">
      <c r="A132" s="1138" t="s">
        <v>12</v>
      </c>
      <c r="B132" s="1138" t="s">
        <v>13</v>
      </c>
      <c r="C132" s="1139" t="s">
        <v>14</v>
      </c>
      <c r="D132" s="1140">
        <v>32598.543477426403</v>
      </c>
      <c r="E132" s="1141">
        <v>122535.69712913323</v>
      </c>
      <c r="F132" s="1312">
        <v>0.9</v>
      </c>
      <c r="G132" s="1142">
        <v>1000</v>
      </c>
      <c r="H132" s="1141" t="s">
        <v>15</v>
      </c>
      <c r="I132" s="1143">
        <v>3</v>
      </c>
      <c r="J132" s="1143">
        <f t="shared" si="44"/>
        <v>3</v>
      </c>
      <c r="K132" s="1141">
        <f t="shared" si="41"/>
        <v>136.15077458792581</v>
      </c>
      <c r="L132" s="1137">
        <f t="shared" si="39"/>
        <v>36.220603863807113</v>
      </c>
      <c r="M132" s="1141" t="s">
        <v>15</v>
      </c>
      <c r="N132" s="1141">
        <f t="shared" si="42"/>
        <v>408.45232376377743</v>
      </c>
      <c r="O132" s="1141">
        <f t="shared" si="43"/>
        <v>108.66181159142134</v>
      </c>
    </row>
    <row r="133" spans="1:24" ht="14.25" customHeight="1" x14ac:dyDescent="0.3">
      <c r="A133" s="1138" t="s">
        <v>49</v>
      </c>
      <c r="B133" s="1138" t="s">
        <v>13</v>
      </c>
      <c r="C133" s="1139" t="s">
        <v>14</v>
      </c>
      <c r="D133" s="1140">
        <v>0</v>
      </c>
      <c r="E133" s="1141">
        <v>5264.9</v>
      </c>
      <c r="F133" s="1315">
        <v>0.5</v>
      </c>
      <c r="G133" s="1142">
        <v>1000</v>
      </c>
      <c r="H133" s="1141" t="s">
        <v>45</v>
      </c>
      <c r="I133" s="1143">
        <v>4.5</v>
      </c>
      <c r="J133" s="1143">
        <f t="shared" si="44"/>
        <v>4.5</v>
      </c>
      <c r="K133" s="1141">
        <f t="shared" si="41"/>
        <v>10.5298</v>
      </c>
      <c r="L133" s="1137">
        <f t="shared" si="39"/>
        <v>0</v>
      </c>
      <c r="M133" s="1141" t="s">
        <v>45</v>
      </c>
      <c r="N133" s="1141">
        <f t="shared" si="42"/>
        <v>47.384099999999997</v>
      </c>
      <c r="O133" s="1141">
        <f t="shared" si="43"/>
        <v>0</v>
      </c>
    </row>
    <row r="134" spans="1:24" x14ac:dyDescent="0.3">
      <c r="A134" s="1138" t="s">
        <v>21</v>
      </c>
      <c r="B134" s="1138" t="s">
        <v>13</v>
      </c>
      <c r="C134" s="1139" t="s">
        <v>14</v>
      </c>
      <c r="D134" s="1140">
        <v>21761.194029850747</v>
      </c>
      <c r="E134" s="1141">
        <v>206638.41429038788</v>
      </c>
      <c r="F134" s="1312">
        <v>0.9</v>
      </c>
      <c r="G134" s="1142">
        <v>1000</v>
      </c>
      <c r="H134" s="1141" t="s">
        <v>15</v>
      </c>
      <c r="I134" s="1143">
        <v>2.2999999999999998</v>
      </c>
      <c r="J134" s="1143">
        <f t="shared" si="44"/>
        <v>2.2999999999999998</v>
      </c>
      <c r="K134" s="1141">
        <f t="shared" si="41"/>
        <v>229.59823810043099</v>
      </c>
      <c r="L134" s="1137">
        <f t="shared" si="39"/>
        <v>24.17910447761194</v>
      </c>
      <c r="M134" s="1141" t="s">
        <v>15</v>
      </c>
      <c r="N134" s="1141">
        <f t="shared" si="42"/>
        <v>528.07594763099121</v>
      </c>
      <c r="O134" s="1141">
        <f t="shared" si="43"/>
        <v>55.611940298507456</v>
      </c>
    </row>
    <row r="135" spans="1:24" x14ac:dyDescent="0.3">
      <c r="A135" s="1138" t="s">
        <v>28</v>
      </c>
      <c r="B135" s="1138" t="s">
        <v>13</v>
      </c>
      <c r="C135" s="1139" t="s">
        <v>14</v>
      </c>
      <c r="D135" s="1140">
        <v>2729.1799450549461</v>
      </c>
      <c r="E135" s="1141">
        <v>17262.8569697928</v>
      </c>
      <c r="F135" s="1312">
        <v>0.73</v>
      </c>
      <c r="G135" s="1142">
        <v>1000</v>
      </c>
      <c r="H135" s="1141" t="s">
        <v>15</v>
      </c>
      <c r="I135" s="1143">
        <v>8.5</v>
      </c>
      <c r="J135" s="1143">
        <f t="shared" si="44"/>
        <v>8.5</v>
      </c>
      <c r="K135" s="1141">
        <f t="shared" si="41"/>
        <v>23.64774927368877</v>
      </c>
      <c r="L135" s="1137">
        <f t="shared" si="39"/>
        <v>3.7386026644588304</v>
      </c>
      <c r="M135" s="1141" t="s">
        <v>15</v>
      </c>
      <c r="N135" s="1141">
        <f t="shared" si="42"/>
        <v>201.00586882635454</v>
      </c>
      <c r="O135" s="1141">
        <f t="shared" si="43"/>
        <v>31.778122647900059</v>
      </c>
    </row>
    <row r="136" spans="1:24" x14ac:dyDescent="0.3">
      <c r="A136" s="1138" t="s">
        <v>500</v>
      </c>
      <c r="B136" s="1138" t="s">
        <v>13</v>
      </c>
      <c r="C136" s="1139" t="s">
        <v>14</v>
      </c>
      <c r="D136" s="1140">
        <v>0</v>
      </c>
      <c r="E136" s="1141">
        <v>2769</v>
      </c>
      <c r="F136" s="1315">
        <v>0.88</v>
      </c>
      <c r="G136" s="1142">
        <v>1000</v>
      </c>
      <c r="H136" s="1141" t="s">
        <v>45</v>
      </c>
      <c r="I136" s="1143">
        <v>3</v>
      </c>
      <c r="J136" s="1143">
        <f t="shared" si="44"/>
        <v>3</v>
      </c>
      <c r="K136" s="1141"/>
      <c r="L136" s="1137">
        <f>(D136/F136)/G136</f>
        <v>0</v>
      </c>
      <c r="M136" s="1141" t="s">
        <v>15</v>
      </c>
      <c r="N136" s="1141"/>
      <c r="O136" s="1141">
        <f t="shared" si="43"/>
        <v>0</v>
      </c>
    </row>
    <row r="137" spans="1:24" x14ac:dyDescent="0.3">
      <c r="A137" s="1078" t="s">
        <v>791</v>
      </c>
      <c r="B137" s="1078" t="s">
        <v>13</v>
      </c>
      <c r="C137" s="1082" t="s">
        <v>14</v>
      </c>
      <c r="D137" s="1133">
        <v>0</v>
      </c>
      <c r="E137" s="1134">
        <v>80.411335934752174</v>
      </c>
      <c r="F137" s="1313">
        <v>0.74</v>
      </c>
      <c r="G137" s="1135">
        <v>100</v>
      </c>
      <c r="H137" s="1134" t="s">
        <v>67</v>
      </c>
      <c r="I137" s="1136">
        <v>10</v>
      </c>
      <c r="J137" s="1136">
        <f>I137/0.1</f>
        <v>100</v>
      </c>
      <c r="K137" s="1134">
        <f>(E137/F137)/G137</f>
        <v>1.0866396747939482</v>
      </c>
      <c r="L137" s="1137">
        <f t="shared" si="39"/>
        <v>0</v>
      </c>
      <c r="M137" s="1134" t="s">
        <v>42</v>
      </c>
      <c r="N137" s="1134">
        <f>K137*I137</f>
        <v>10.866396747939483</v>
      </c>
      <c r="O137" s="1134">
        <f t="shared" si="43"/>
        <v>0</v>
      </c>
    </row>
    <row r="138" spans="1:24" x14ac:dyDescent="0.3">
      <c r="A138" s="1138" t="s">
        <v>17</v>
      </c>
      <c r="B138" s="1138" t="s">
        <v>13</v>
      </c>
      <c r="C138" s="1139" t="s">
        <v>14</v>
      </c>
      <c r="D138" s="1140">
        <v>12371.988108320256</v>
      </c>
      <c r="E138" s="1141">
        <v>137005.81448748935</v>
      </c>
      <c r="F138" s="1312">
        <v>0.98</v>
      </c>
      <c r="G138" s="1142">
        <v>1000</v>
      </c>
      <c r="H138" s="1141" t="s">
        <v>15</v>
      </c>
      <c r="I138" s="1143">
        <v>3.5</v>
      </c>
      <c r="J138" s="1143">
        <f>I138/(G138/1000)</f>
        <v>3.5</v>
      </c>
      <c r="K138" s="1141">
        <f>(E138/F138)/G138</f>
        <v>139.80185151784627</v>
      </c>
      <c r="L138" s="1137">
        <f t="shared" si="39"/>
        <v>12.624477661551282</v>
      </c>
      <c r="M138" s="1141" t="s">
        <v>15</v>
      </c>
      <c r="N138" s="1141">
        <f>K138*I138</f>
        <v>489.30648031246199</v>
      </c>
      <c r="O138" s="1141">
        <f t="shared" si="43"/>
        <v>44.185671815429487</v>
      </c>
    </row>
    <row r="139" spans="1:24" x14ac:dyDescent="0.3">
      <c r="A139" s="1138" t="s">
        <v>30</v>
      </c>
      <c r="B139" s="1138" t="s">
        <v>13</v>
      </c>
      <c r="C139" s="1139" t="s">
        <v>14</v>
      </c>
      <c r="D139" s="1140">
        <v>2866.4010989011003</v>
      </c>
      <c r="E139" s="1141">
        <v>15204.078123638954</v>
      </c>
      <c r="F139" s="1312">
        <v>0.71</v>
      </c>
      <c r="G139" s="1142">
        <v>1000</v>
      </c>
      <c r="H139" s="1141" t="s">
        <v>15</v>
      </c>
      <c r="I139" s="1143">
        <v>8.5</v>
      </c>
      <c r="J139" s="1143">
        <f>I139/(G139/1000)</f>
        <v>8.5</v>
      </c>
      <c r="K139" s="1141">
        <f>(E139/F139)/G139</f>
        <v>21.414194540336556</v>
      </c>
      <c r="L139" s="1137">
        <f t="shared" si="39"/>
        <v>4.0371846463395782</v>
      </c>
      <c r="M139" s="1141" t="s">
        <v>15</v>
      </c>
      <c r="N139" s="1141">
        <f>K139*I139</f>
        <v>182.02065359286073</v>
      </c>
      <c r="O139" s="1141">
        <f t="shared" si="43"/>
        <v>34.316069493886417</v>
      </c>
    </row>
    <row r="140" spans="1:24" x14ac:dyDescent="0.3">
      <c r="A140" s="1138" t="s">
        <v>47</v>
      </c>
      <c r="B140" s="1138" t="s">
        <v>13</v>
      </c>
      <c r="C140" s="1139" t="s">
        <v>14</v>
      </c>
      <c r="D140" s="1140">
        <v>8572.5</v>
      </c>
      <c r="E140" s="1141">
        <v>52706.447826808224</v>
      </c>
      <c r="F140" s="1315">
        <v>0.78</v>
      </c>
      <c r="G140" s="1142">
        <v>1000</v>
      </c>
      <c r="H140" s="1141" t="s">
        <v>45</v>
      </c>
      <c r="I140" s="1143">
        <v>3.7</v>
      </c>
      <c r="J140" s="1143">
        <f>I140/(G140/1000)</f>
        <v>3.7</v>
      </c>
      <c r="K140" s="1141">
        <f>(E140/F140)/G140</f>
        <v>67.572369008728487</v>
      </c>
      <c r="L140" s="1137">
        <f>(D140/F140)/G140</f>
        <v>10.990384615384615</v>
      </c>
      <c r="M140" s="1141" t="s">
        <v>45</v>
      </c>
      <c r="N140" s="1141">
        <f>K140*I140</f>
        <v>250.01776533229543</v>
      </c>
      <c r="O140" s="1141">
        <f t="shared" si="43"/>
        <v>40.664423076923079</v>
      </c>
    </row>
    <row r="141" spans="1:24" x14ac:dyDescent="0.3">
      <c r="B141" s="9"/>
      <c r="C141" s="10"/>
      <c r="D141" s="11"/>
      <c r="E141" s="12"/>
      <c r="F141" s="1309"/>
      <c r="G141" s="1098"/>
      <c r="H141" s="999"/>
      <c r="I141" s="1000"/>
      <c r="J141" s="1000"/>
      <c r="K141" s="13"/>
      <c r="L141" s="13"/>
      <c r="M141" s="13"/>
      <c r="N141" s="13"/>
      <c r="O141" s="13"/>
    </row>
    <row r="142" spans="1:24" x14ac:dyDescent="0.3">
      <c r="A142" s="56" t="s">
        <v>224</v>
      </c>
      <c r="B142" s="56" t="s">
        <v>225</v>
      </c>
      <c r="C142" s="57" t="s">
        <v>14</v>
      </c>
      <c r="D142" s="58">
        <v>196740.54758800517</v>
      </c>
      <c r="E142" s="59">
        <v>1206989.992671103</v>
      </c>
      <c r="F142" s="1418">
        <v>0.86</v>
      </c>
      <c r="G142" s="60">
        <v>10000</v>
      </c>
      <c r="H142" s="60" t="s">
        <v>117</v>
      </c>
      <c r="I142" s="1101">
        <v>171</v>
      </c>
      <c r="J142" s="60">
        <f t="shared" ref="J142:J147" si="45">I142/(G142/1000)</f>
        <v>17.100000000000001</v>
      </c>
      <c r="K142" s="60">
        <f t="shared" ref="K142:K147" si="46">(E142/F142)/G142</f>
        <v>140.34767356640731</v>
      </c>
      <c r="L142" s="60">
        <f t="shared" ref="L142:L147" si="47">(D142/F142)/G142</f>
        <v>22.876807859070368</v>
      </c>
      <c r="M142" s="60" t="s">
        <v>26</v>
      </c>
      <c r="N142" s="60">
        <f t="shared" ref="N142:N147" si="48">K142*I142</f>
        <v>23999.452179855649</v>
      </c>
      <c r="O142" s="60">
        <f t="shared" ref="O142:O147" si="49">L142*I142</f>
        <v>3911.9341439010332</v>
      </c>
    </row>
    <row r="143" spans="1:24" x14ac:dyDescent="0.3">
      <c r="A143" s="56" t="s">
        <v>229</v>
      </c>
      <c r="B143" s="874" t="s">
        <v>225</v>
      </c>
      <c r="C143" s="57" t="s">
        <v>14</v>
      </c>
      <c r="D143" s="58">
        <v>88981.481481481474</v>
      </c>
      <c r="E143" s="59">
        <v>491425.92592592584</v>
      </c>
      <c r="F143" s="1418">
        <v>0.47</v>
      </c>
      <c r="G143" s="60">
        <v>10000</v>
      </c>
      <c r="H143" s="60" t="s">
        <v>117</v>
      </c>
      <c r="I143" s="1101">
        <v>120</v>
      </c>
      <c r="J143" s="60">
        <f t="shared" si="45"/>
        <v>12</v>
      </c>
      <c r="K143" s="60">
        <f>(E143/F143)/G143</f>
        <v>104.55870764381402</v>
      </c>
      <c r="L143" s="875">
        <f t="shared" si="47"/>
        <v>18.932230102442869</v>
      </c>
      <c r="M143" s="875" t="s">
        <v>26</v>
      </c>
      <c r="N143" s="60">
        <f t="shared" si="48"/>
        <v>12547.044917257683</v>
      </c>
      <c r="O143" s="60">
        <f t="shared" si="49"/>
        <v>2271.8676122931442</v>
      </c>
      <c r="X143" s="397"/>
    </row>
    <row r="144" spans="1:24" x14ac:dyDescent="0.3">
      <c r="A144" s="56" t="s">
        <v>227</v>
      </c>
      <c r="B144" s="56" t="s">
        <v>225</v>
      </c>
      <c r="C144" s="57" t="s">
        <v>14</v>
      </c>
      <c r="D144" s="58">
        <v>117656.76314066991</v>
      </c>
      <c r="E144" s="59">
        <v>534017.45433289849</v>
      </c>
      <c r="F144" s="1418">
        <v>0.55000000000000004</v>
      </c>
      <c r="G144" s="60">
        <v>18000</v>
      </c>
      <c r="H144" s="60" t="s">
        <v>228</v>
      </c>
      <c r="I144" s="1101">
        <f>470*P144</f>
        <v>258.5</v>
      </c>
      <c r="J144" s="60">
        <f t="shared" si="45"/>
        <v>14.361111111111111</v>
      </c>
      <c r="K144" s="60">
        <f t="shared" si="46"/>
        <v>53.941157003323077</v>
      </c>
      <c r="L144" s="60">
        <f t="shared" si="47"/>
        <v>11.884521529360596</v>
      </c>
      <c r="M144" s="60" t="s">
        <v>26</v>
      </c>
      <c r="N144" s="60">
        <f>K144*I144</f>
        <v>13943.789085359016</v>
      </c>
      <c r="O144" s="60">
        <f t="shared" si="49"/>
        <v>3072.148815339714</v>
      </c>
      <c r="P144" s="4">
        <v>0.55000000000000004</v>
      </c>
    </row>
    <row r="145" spans="1:16" x14ac:dyDescent="0.3">
      <c r="A145" s="56" t="s">
        <v>230</v>
      </c>
      <c r="B145" s="56" t="s">
        <v>225</v>
      </c>
      <c r="C145" s="57" t="s">
        <v>14</v>
      </c>
      <c r="D145" s="58">
        <v>0</v>
      </c>
      <c r="E145" s="59">
        <v>327570.09893457114</v>
      </c>
      <c r="F145" s="1418">
        <v>0.99</v>
      </c>
      <c r="G145" s="60">
        <v>18000</v>
      </c>
      <c r="H145" s="60" t="s">
        <v>228</v>
      </c>
      <c r="I145" s="1101">
        <f>470*P145</f>
        <v>211.5</v>
      </c>
      <c r="J145" s="60">
        <f t="shared" si="45"/>
        <v>11.75</v>
      </c>
      <c r="K145" s="61">
        <f>((E145/F145)/G145)-(K144*(1-F144)*F145)</f>
        <v>-5.6486250109416432</v>
      </c>
      <c r="L145" s="60">
        <f>(D145/F145)/G145</f>
        <v>0</v>
      </c>
      <c r="M145" s="60" t="s">
        <v>45</v>
      </c>
      <c r="N145" s="60">
        <f>K145*I145</f>
        <v>-1194.6841898141574</v>
      </c>
      <c r="O145" s="60">
        <f>L145*I145</f>
        <v>0</v>
      </c>
      <c r="P145" s="4">
        <v>0.45</v>
      </c>
    </row>
    <row r="146" spans="1:16" x14ac:dyDescent="0.3">
      <c r="A146" s="56" t="s">
        <v>226</v>
      </c>
      <c r="B146" s="56" t="s">
        <v>225</v>
      </c>
      <c r="C146" s="57" t="s">
        <v>14</v>
      </c>
      <c r="D146" s="58">
        <v>0</v>
      </c>
      <c r="E146" s="59">
        <v>5404</v>
      </c>
      <c r="F146" s="1418">
        <v>1</v>
      </c>
      <c r="G146" s="60">
        <v>1000</v>
      </c>
      <c r="H146" s="60" t="s">
        <v>45</v>
      </c>
      <c r="I146" s="1101">
        <v>30</v>
      </c>
      <c r="J146" s="60">
        <f t="shared" si="45"/>
        <v>30</v>
      </c>
      <c r="K146" s="61">
        <f t="shared" si="46"/>
        <v>5.4039999999999999</v>
      </c>
      <c r="L146" s="61">
        <f t="shared" si="47"/>
        <v>0</v>
      </c>
      <c r="M146" s="60" t="s">
        <v>45</v>
      </c>
      <c r="N146" s="60">
        <f t="shared" si="48"/>
        <v>162.12</v>
      </c>
      <c r="O146" s="60">
        <f t="shared" si="49"/>
        <v>0</v>
      </c>
    </row>
    <row r="147" spans="1:16" x14ac:dyDescent="0.3">
      <c r="A147" s="56" t="s">
        <v>507</v>
      </c>
      <c r="B147" s="56" t="s">
        <v>225</v>
      </c>
      <c r="C147" s="57" t="s">
        <v>14</v>
      </c>
      <c r="D147" s="58">
        <v>29160</v>
      </c>
      <c r="E147" s="59">
        <v>29160</v>
      </c>
      <c r="F147" s="1418">
        <v>0.97</v>
      </c>
      <c r="G147" s="60">
        <v>1000</v>
      </c>
      <c r="H147" s="60" t="s">
        <v>45</v>
      </c>
      <c r="I147" s="1101">
        <v>37.82</v>
      </c>
      <c r="J147" s="60">
        <f t="shared" si="45"/>
        <v>37.82</v>
      </c>
      <c r="K147" s="60">
        <f t="shared" si="46"/>
        <v>30.061855670103093</v>
      </c>
      <c r="L147" s="60">
        <f t="shared" si="47"/>
        <v>30.061855670103093</v>
      </c>
      <c r="M147" s="60" t="s">
        <v>45</v>
      </c>
      <c r="N147" s="60">
        <f t="shared" si="48"/>
        <v>1136.939381443299</v>
      </c>
      <c r="O147" s="60">
        <f t="shared" si="49"/>
        <v>1136.939381443299</v>
      </c>
    </row>
    <row r="150" spans="1:16" x14ac:dyDescent="0.3">
      <c r="K150" s="489"/>
    </row>
    <row r="158" spans="1:16" x14ac:dyDescent="0.3">
      <c r="G158" s="1114"/>
    </row>
    <row r="162" spans="24:27" x14ac:dyDescent="0.3">
      <c r="AA162" s="636"/>
    </row>
    <row r="163" spans="24:27" x14ac:dyDescent="0.3">
      <c r="Z163" s="634"/>
      <c r="AA163" s="636"/>
    </row>
    <row r="164" spans="24:27" x14ac:dyDescent="0.3">
      <c r="Z164" s="634"/>
      <c r="AA164" s="636"/>
    </row>
    <row r="165" spans="24:27" x14ac:dyDescent="0.3">
      <c r="Z165" s="634"/>
      <c r="AA165" s="636"/>
    </row>
    <row r="166" spans="24:27" x14ac:dyDescent="0.3">
      <c r="Z166" s="634"/>
      <c r="AA166" s="636"/>
    </row>
    <row r="167" spans="24:27" x14ac:dyDescent="0.3">
      <c r="Y167" s="634"/>
      <c r="Z167" s="636"/>
      <c r="AA167" s="636"/>
    </row>
    <row r="168" spans="24:27" x14ac:dyDescent="0.3">
      <c r="Y168" s="634"/>
      <c r="Z168" s="636"/>
      <c r="AA168" s="636"/>
    </row>
    <row r="169" spans="24:27" x14ac:dyDescent="0.3">
      <c r="Y169" s="634"/>
      <c r="Z169" s="636"/>
      <c r="AA169" s="636"/>
    </row>
    <row r="170" spans="24:27" x14ac:dyDescent="0.3">
      <c r="Y170" s="634"/>
      <c r="Z170" s="636"/>
      <c r="AA170" s="636"/>
    </row>
    <row r="171" spans="24:27" x14ac:dyDescent="0.3">
      <c r="Y171" s="634"/>
      <c r="Z171" s="636"/>
      <c r="AA171" s="636"/>
    </row>
    <row r="172" spans="24:27" x14ac:dyDescent="0.3">
      <c r="Y172" s="634"/>
      <c r="Z172" s="636"/>
      <c r="AA172" s="636"/>
    </row>
    <row r="173" spans="24:27" x14ac:dyDescent="0.3">
      <c r="Y173" s="634"/>
      <c r="Z173" s="636"/>
      <c r="AA173" s="636"/>
    </row>
    <row r="174" spans="24:27" x14ac:dyDescent="0.3">
      <c r="Y174" s="634"/>
      <c r="Z174" s="636"/>
      <c r="AA174" s="636"/>
    </row>
    <row r="175" spans="24:27" x14ac:dyDescent="0.3">
      <c r="Y175" s="634"/>
      <c r="Z175" s="636"/>
      <c r="AA175" s="636"/>
    </row>
    <row r="176" spans="24:27" x14ac:dyDescent="0.3">
      <c r="X176" s="634"/>
      <c r="Y176" s="634"/>
      <c r="Z176" s="636"/>
    </row>
    <row r="177" spans="21:32" x14ac:dyDescent="0.3">
      <c r="X177" s="634"/>
      <c r="Y177" s="634"/>
      <c r="Z177" s="636"/>
    </row>
    <row r="178" spans="21:32" x14ac:dyDescent="0.3">
      <c r="X178" s="634"/>
      <c r="Y178" s="634"/>
      <c r="Z178" s="636"/>
    </row>
    <row r="179" spans="21:32" x14ac:dyDescent="0.3">
      <c r="X179" s="634"/>
      <c r="Y179" s="634"/>
      <c r="Z179" s="636"/>
    </row>
    <row r="180" spans="21:32" x14ac:dyDescent="0.3">
      <c r="X180" s="634"/>
      <c r="Y180" s="634"/>
      <c r="Z180" s="636"/>
      <c r="AF180" s="634"/>
    </row>
    <row r="181" spans="21:32" x14ac:dyDescent="0.3">
      <c r="U181" s="1423"/>
      <c r="V181" s="1423"/>
      <c r="W181" s="952"/>
      <c r="X181" s="634"/>
      <c r="AF181" s="634"/>
    </row>
    <row r="182" spans="21:32" ht="14.5" x14ac:dyDescent="0.35">
      <c r="U182" s="953"/>
      <c r="V182" s="954"/>
      <c r="W182" s="842"/>
      <c r="X182" s="634"/>
      <c r="AB182" s="634"/>
      <c r="AF182" s="634"/>
    </row>
    <row r="183" spans="21:32" ht="14.5" x14ac:dyDescent="0.35">
      <c r="U183" s="953"/>
      <c r="V183" s="954"/>
      <c r="W183" s="842"/>
      <c r="X183" s="634"/>
      <c r="AB183" s="634"/>
      <c r="AF183" s="634"/>
    </row>
    <row r="184" spans="21:32" ht="14.5" x14ac:dyDescent="0.35">
      <c r="U184" s="953"/>
      <c r="V184" s="954"/>
      <c r="W184" s="842"/>
      <c r="X184" s="634"/>
      <c r="AB184" s="634"/>
      <c r="AF184" s="634"/>
    </row>
    <row r="185" spans="21:32" ht="14.5" x14ac:dyDescent="0.35">
      <c r="U185" s="953"/>
      <c r="V185" s="954"/>
      <c r="W185" s="842"/>
      <c r="X185" s="634"/>
      <c r="AB185" s="634"/>
      <c r="AF185" s="634"/>
    </row>
    <row r="186" spans="21:32" ht="14.5" x14ac:dyDescent="0.35">
      <c r="U186" s="953"/>
      <c r="V186" s="954"/>
      <c r="W186" s="842"/>
      <c r="X186" s="634"/>
      <c r="AB186" s="634"/>
      <c r="AF186" s="634"/>
    </row>
    <row r="187" spans="21:32" ht="14.5" x14ac:dyDescent="0.35">
      <c r="U187" s="842"/>
      <c r="V187" s="842"/>
      <c r="W187" s="842"/>
      <c r="X187" s="634"/>
      <c r="AB187" s="634"/>
      <c r="AF187" s="634"/>
    </row>
    <row r="188" spans="21:32" x14ac:dyDescent="0.3">
      <c r="U188" s="1423"/>
      <c r="V188" s="1423"/>
      <c r="W188" s="952"/>
      <c r="X188" s="634"/>
      <c r="AB188" s="634"/>
      <c r="AF188" s="634"/>
    </row>
    <row r="189" spans="21:32" ht="14.5" x14ac:dyDescent="0.35">
      <c r="U189" s="953"/>
      <c r="V189" s="954"/>
      <c r="W189" s="842"/>
      <c r="X189" s="634"/>
      <c r="AB189" s="634"/>
    </row>
    <row r="190" spans="21:32" ht="14.5" x14ac:dyDescent="0.35">
      <c r="U190" s="953"/>
      <c r="V190" s="954"/>
      <c r="W190" s="842"/>
      <c r="X190" s="634"/>
      <c r="AB190" s="634"/>
    </row>
    <row r="191" spans="21:32" ht="14.5" x14ac:dyDescent="0.35">
      <c r="U191" s="953"/>
      <c r="V191" s="954"/>
      <c r="W191" s="842"/>
      <c r="X191" s="634"/>
      <c r="AB191" s="634"/>
    </row>
    <row r="192" spans="21:32" ht="14.5" x14ac:dyDescent="0.35">
      <c r="U192" s="842"/>
      <c r="V192" s="842"/>
      <c r="W192" s="842"/>
      <c r="X192" s="634"/>
      <c r="AC192" s="838"/>
      <c r="AD192" s="838"/>
      <c r="AE192" s="839"/>
      <c r="AF192" s="840"/>
    </row>
    <row r="193" spans="21:36" x14ac:dyDescent="0.3">
      <c r="U193" s="1423"/>
      <c r="V193" s="1423"/>
      <c r="W193" s="952"/>
      <c r="AC193" s="838"/>
      <c r="AD193" s="838"/>
      <c r="AE193" s="839"/>
      <c r="AF193" s="840"/>
    </row>
    <row r="194" spans="21:36" ht="14.5" x14ac:dyDescent="0.35">
      <c r="U194" s="953"/>
      <c r="V194" s="954"/>
      <c r="W194" s="842"/>
      <c r="AC194" s="838"/>
      <c r="AD194" s="838"/>
      <c r="AE194" s="839"/>
      <c r="AF194" s="840"/>
    </row>
    <row r="195" spans="21:36" x14ac:dyDescent="0.3">
      <c r="AC195" s="838"/>
      <c r="AD195" s="838"/>
      <c r="AE195" s="839"/>
      <c r="AF195" s="840"/>
    </row>
    <row r="197" spans="21:36" ht="14.5" x14ac:dyDescent="0.35">
      <c r="U197" s="1423"/>
      <c r="V197" s="1424"/>
      <c r="W197" s="952"/>
    </row>
    <row r="198" spans="21:36" ht="14.5" x14ac:dyDescent="0.35">
      <c r="U198" s="953"/>
      <c r="V198" s="954"/>
      <c r="W198" s="842"/>
      <c r="AC198" s="634"/>
    </row>
    <row r="199" spans="21:36" ht="14.5" x14ac:dyDescent="0.35">
      <c r="U199" s="953"/>
      <c r="V199" s="954"/>
      <c r="W199" s="842"/>
      <c r="X199" s="822"/>
      <c r="AC199" s="634"/>
      <c r="AF199" s="822"/>
    </row>
    <row r="200" spans="21:36" ht="14.5" x14ac:dyDescent="0.35">
      <c r="U200" s="953"/>
      <c r="V200" s="954"/>
      <c r="W200" s="842"/>
      <c r="X200" s="822"/>
      <c r="AC200" s="634"/>
      <c r="AF200" s="822"/>
    </row>
    <row r="201" spans="21:36" ht="14.5" x14ac:dyDescent="0.35">
      <c r="U201" s="953"/>
      <c r="V201" s="954"/>
      <c r="W201" s="842"/>
      <c r="X201" s="822"/>
      <c r="AC201" s="634"/>
      <c r="AF201" s="822"/>
    </row>
    <row r="202" spans="21:36" ht="14.5" x14ac:dyDescent="0.35">
      <c r="U202" s="842"/>
      <c r="V202" s="842"/>
      <c r="W202" s="842"/>
      <c r="X202" s="822"/>
      <c r="AC202" s="634"/>
      <c r="AF202" s="822"/>
      <c r="AJ202" s="822"/>
    </row>
    <row r="203" spans="21:36" ht="14.5" x14ac:dyDescent="0.35">
      <c r="U203" s="1423"/>
      <c r="V203" s="1424"/>
      <c r="W203" s="952"/>
      <c r="X203" s="822"/>
      <c r="AC203" s="634"/>
      <c r="AF203" s="822"/>
      <c r="AJ203" s="822"/>
    </row>
    <row r="204" spans="21:36" ht="14.5" x14ac:dyDescent="0.35">
      <c r="U204" s="953"/>
      <c r="V204" s="954"/>
      <c r="W204" s="842"/>
      <c r="X204" s="822"/>
      <c r="AC204" s="634"/>
      <c r="AF204" s="822"/>
      <c r="AJ204" s="822"/>
    </row>
    <row r="205" spans="21:36" ht="14.5" x14ac:dyDescent="0.35">
      <c r="U205" s="953"/>
      <c r="V205" s="954"/>
      <c r="W205" s="842"/>
      <c r="X205" s="822"/>
      <c r="AC205" s="634"/>
      <c r="AF205" s="822"/>
      <c r="AJ205" s="822"/>
    </row>
    <row r="206" spans="21:36" ht="14.5" x14ac:dyDescent="0.35">
      <c r="U206" s="842"/>
      <c r="V206" s="842"/>
      <c r="W206" s="842"/>
      <c r="X206" s="822"/>
      <c r="AC206" s="634"/>
      <c r="AF206" s="822"/>
      <c r="AJ206" s="822"/>
    </row>
    <row r="207" spans="21:36" ht="14.5" x14ac:dyDescent="0.35">
      <c r="U207" s="1423"/>
      <c r="V207" s="1424"/>
      <c r="W207" s="952"/>
      <c r="X207" s="822"/>
      <c r="AB207" s="822"/>
      <c r="AF207" s="822"/>
      <c r="AJ207" s="822"/>
    </row>
    <row r="208" spans="21:36" ht="14.5" x14ac:dyDescent="0.35">
      <c r="U208" s="953"/>
      <c r="V208" s="954"/>
      <c r="W208" s="842"/>
      <c r="X208" s="822"/>
      <c r="AB208" s="822"/>
      <c r="AF208" s="822"/>
      <c r="AJ208" s="822"/>
    </row>
    <row r="209" spans="21:40" ht="14.5" x14ac:dyDescent="0.35">
      <c r="U209" s="842"/>
      <c r="V209" s="842"/>
      <c r="W209" s="842"/>
      <c r="X209" s="822"/>
      <c r="AB209" s="822"/>
      <c r="AF209" s="822"/>
      <c r="AJ209" s="822"/>
    </row>
    <row r="210" spans="21:40" ht="14.5" x14ac:dyDescent="0.35">
      <c r="U210" s="1423"/>
      <c r="V210" s="1424"/>
      <c r="W210" s="952"/>
      <c r="X210" s="822"/>
      <c r="AB210" s="822"/>
      <c r="AF210" s="822"/>
      <c r="AJ210" s="822"/>
    </row>
    <row r="211" spans="21:40" ht="14.5" x14ac:dyDescent="0.35">
      <c r="U211" s="953"/>
      <c r="V211" s="954"/>
      <c r="W211" s="842"/>
      <c r="X211" s="822"/>
      <c r="AB211" s="822"/>
      <c r="AF211" s="822"/>
      <c r="AJ211" s="822"/>
    </row>
    <row r="212" spans="21:40" ht="14.5" x14ac:dyDescent="0.35">
      <c r="X212" s="822"/>
      <c r="AB212" s="822"/>
      <c r="AF212" s="822"/>
      <c r="AJ212" s="822"/>
    </row>
    <row r="213" spans="21:40" ht="14.5" x14ac:dyDescent="0.35">
      <c r="U213" s="1423"/>
      <c r="V213" s="1424"/>
      <c r="W213" s="952"/>
      <c r="X213" s="822"/>
      <c r="AB213" s="822"/>
      <c r="AF213" s="822"/>
      <c r="AG213" s="822"/>
      <c r="AH213" s="822"/>
      <c r="AI213" s="822"/>
      <c r="AJ213" s="822"/>
    </row>
    <row r="214" spans="21:40" ht="14.5" x14ac:dyDescent="0.35">
      <c r="U214" s="953"/>
      <c r="V214" s="955"/>
      <c r="W214" s="842"/>
      <c r="X214" s="822"/>
      <c r="AB214" s="634"/>
      <c r="AC214" s="822"/>
      <c r="AD214" s="822"/>
      <c r="AE214" s="822"/>
      <c r="AF214" s="822"/>
      <c r="AG214" s="822"/>
      <c r="AH214" s="822"/>
      <c r="AI214" s="822"/>
      <c r="AJ214" s="822"/>
    </row>
    <row r="215" spans="21:40" ht="14.5" x14ac:dyDescent="0.35">
      <c r="U215" s="953"/>
      <c r="V215" s="955"/>
      <c r="W215" s="842"/>
      <c r="X215" s="822"/>
      <c r="AB215" s="634"/>
      <c r="AC215" s="822"/>
      <c r="AD215" s="822"/>
      <c r="AE215" s="822"/>
      <c r="AF215" s="822"/>
      <c r="AG215" s="822"/>
      <c r="AH215" s="822"/>
      <c r="AI215" s="822"/>
      <c r="AJ215" s="822"/>
    </row>
    <row r="216" spans="21:40" ht="14.5" x14ac:dyDescent="0.35">
      <c r="U216" s="953"/>
      <c r="V216" s="955"/>
      <c r="W216" s="842"/>
      <c r="X216" s="822"/>
      <c r="AB216" s="634"/>
      <c r="AC216" s="822"/>
      <c r="AD216" s="822"/>
      <c r="AE216" s="822"/>
      <c r="AF216" s="822"/>
      <c r="AG216" s="822"/>
      <c r="AH216" s="822"/>
      <c r="AI216" s="822"/>
      <c r="AJ216" s="822"/>
    </row>
    <row r="217" spans="21:40" ht="14.5" x14ac:dyDescent="0.35">
      <c r="U217" s="953"/>
      <c r="V217" s="955"/>
      <c r="W217" s="842"/>
      <c r="X217" s="822"/>
      <c r="AB217" s="634"/>
      <c r="AC217" s="822"/>
      <c r="AD217" s="822"/>
      <c r="AE217" s="822"/>
      <c r="AF217" s="822"/>
      <c r="AG217" s="822"/>
      <c r="AH217" s="822"/>
      <c r="AI217" s="822"/>
      <c r="AJ217" s="822"/>
    </row>
    <row r="218" spans="21:40" ht="14.5" x14ac:dyDescent="0.35">
      <c r="U218" s="953"/>
      <c r="V218" s="955"/>
      <c r="W218" s="842"/>
      <c r="AB218" s="634"/>
      <c r="AJ218" s="822"/>
      <c r="AL218" s="822"/>
      <c r="AM218" s="822"/>
      <c r="AN218" s="822"/>
    </row>
    <row r="219" spans="21:40" ht="14.5" x14ac:dyDescent="0.35">
      <c r="U219" s="953"/>
      <c r="V219" s="955"/>
      <c r="W219" s="842"/>
      <c r="AB219" s="634"/>
      <c r="AJ219" s="822"/>
      <c r="AK219" s="822"/>
      <c r="AL219" s="822"/>
      <c r="AM219" s="822"/>
      <c r="AN219" s="822"/>
    </row>
    <row r="220" spans="21:40" ht="14.5" x14ac:dyDescent="0.35">
      <c r="U220" s="953"/>
      <c r="V220" s="955"/>
      <c r="W220" s="842"/>
      <c r="AB220" s="634"/>
      <c r="AJ220" s="822"/>
      <c r="AK220" s="822"/>
    </row>
    <row r="221" spans="21:40" ht="14.5" x14ac:dyDescent="0.35">
      <c r="U221" s="842"/>
      <c r="V221" s="842"/>
      <c r="W221" s="842"/>
      <c r="AB221" s="634"/>
    </row>
    <row r="222" spans="21:40" ht="14.5" x14ac:dyDescent="0.35">
      <c r="U222" s="1423"/>
      <c r="V222" s="1424"/>
      <c r="W222" s="952"/>
      <c r="AB222" s="634"/>
    </row>
    <row r="223" spans="21:40" ht="14.5" x14ac:dyDescent="0.35">
      <c r="U223" s="953"/>
      <c r="V223" s="955"/>
      <c r="W223" s="842"/>
      <c r="AB223" s="634"/>
    </row>
    <row r="224" spans="21:40" ht="14.5" x14ac:dyDescent="0.35">
      <c r="U224" s="953"/>
      <c r="V224" s="955"/>
      <c r="W224" s="842"/>
      <c r="AB224" s="634"/>
    </row>
    <row r="225" spans="21:28" ht="14.5" x14ac:dyDescent="0.35">
      <c r="U225" s="953"/>
      <c r="V225" s="955"/>
      <c r="W225" s="842"/>
      <c r="AB225" s="634"/>
    </row>
    <row r="226" spans="21:28" ht="14.5" x14ac:dyDescent="0.35">
      <c r="U226" s="842"/>
      <c r="V226" s="842"/>
      <c r="W226" s="842"/>
      <c r="AB226" s="634"/>
    </row>
    <row r="227" spans="21:28" ht="14.5" x14ac:dyDescent="0.35">
      <c r="U227" s="1423"/>
      <c r="V227" s="1424"/>
      <c r="W227" s="952"/>
    </row>
    <row r="228" spans="21:28" ht="14.5" x14ac:dyDescent="0.35">
      <c r="U228" s="953"/>
      <c r="V228" s="955"/>
      <c r="W228" s="842"/>
    </row>
    <row r="229" spans="21:28" ht="14.5" x14ac:dyDescent="0.35">
      <c r="U229" s="842"/>
      <c r="V229" s="842"/>
      <c r="W229" s="842"/>
    </row>
    <row r="230" spans="21:28" ht="14.5" x14ac:dyDescent="0.35">
      <c r="U230" s="1423"/>
      <c r="V230" s="1424"/>
      <c r="W230" s="952"/>
    </row>
    <row r="231" spans="21:28" ht="14.5" x14ac:dyDescent="0.35">
      <c r="U231" s="953"/>
      <c r="V231" s="955"/>
      <c r="W231" s="842"/>
    </row>
    <row r="234" spans="21:28" ht="14.5" x14ac:dyDescent="0.35">
      <c r="U234" s="1423"/>
      <c r="V234" s="1424"/>
      <c r="W234" s="952"/>
      <c r="AB234" s="634"/>
    </row>
    <row r="235" spans="21:28" ht="14.5" x14ac:dyDescent="0.35">
      <c r="U235" s="953"/>
      <c r="V235" s="955"/>
      <c r="W235" s="842"/>
      <c r="AA235" s="634"/>
      <c r="AB235" s="634"/>
    </row>
    <row r="236" spans="21:28" ht="14.5" x14ac:dyDescent="0.35">
      <c r="U236" s="953"/>
      <c r="V236" s="955"/>
      <c r="W236" s="842"/>
      <c r="AA236" s="634"/>
      <c r="AB236" s="634"/>
    </row>
    <row r="237" spans="21:28" ht="14.5" x14ac:dyDescent="0.35">
      <c r="U237" s="953"/>
      <c r="V237" s="955"/>
      <c r="W237" s="842"/>
      <c r="AA237" s="634"/>
      <c r="AB237" s="634"/>
    </row>
    <row r="238" spans="21:28" ht="14.5" x14ac:dyDescent="0.35">
      <c r="U238" s="953"/>
      <c r="V238" s="955"/>
      <c r="W238" s="842"/>
      <c r="AA238" s="634"/>
      <c r="AB238" s="634"/>
    </row>
    <row r="239" spans="21:28" ht="14.5" x14ac:dyDescent="0.35">
      <c r="U239" s="953"/>
      <c r="V239" s="955"/>
      <c r="W239" s="842"/>
      <c r="AA239" s="634"/>
      <c r="AB239" s="634"/>
    </row>
    <row r="240" spans="21:28" ht="14.5" x14ac:dyDescent="0.35">
      <c r="U240" s="953"/>
      <c r="V240" s="955"/>
      <c r="W240" s="842"/>
      <c r="AA240" s="634"/>
      <c r="AB240" s="634"/>
    </row>
    <row r="241" spans="21:31" ht="14.5" x14ac:dyDescent="0.35">
      <c r="U241" s="953"/>
      <c r="V241" s="954"/>
      <c r="W241" s="842"/>
      <c r="AA241" s="634"/>
      <c r="AB241" s="634"/>
    </row>
    <row r="242" spans="21:31" ht="14.5" x14ac:dyDescent="0.35">
      <c r="U242" s="842"/>
      <c r="V242" s="842"/>
      <c r="W242" s="842"/>
      <c r="AC242" s="634"/>
    </row>
    <row r="243" spans="21:31" ht="14.5" x14ac:dyDescent="0.35">
      <c r="U243" s="1423"/>
      <c r="V243" s="1424"/>
      <c r="W243" s="952"/>
      <c r="AC243" s="634"/>
    </row>
    <row r="244" spans="21:31" ht="14.5" x14ac:dyDescent="0.35">
      <c r="U244" s="953"/>
      <c r="V244" s="955"/>
      <c r="W244" s="842"/>
      <c r="AC244" s="634"/>
    </row>
    <row r="245" spans="21:31" ht="14.5" x14ac:dyDescent="0.35">
      <c r="U245" s="842"/>
      <c r="V245" s="842"/>
      <c r="W245" s="842"/>
      <c r="AC245" s="634"/>
    </row>
    <row r="246" spans="21:31" ht="14.5" x14ac:dyDescent="0.35">
      <c r="U246" s="1423"/>
      <c r="V246" s="1424"/>
      <c r="W246" s="952"/>
      <c r="AC246" s="634"/>
    </row>
    <row r="247" spans="21:31" ht="14.5" x14ac:dyDescent="0.35">
      <c r="U247" s="953"/>
      <c r="V247" s="955"/>
      <c r="W247" s="842"/>
    </row>
    <row r="248" spans="21:31" ht="14.5" x14ac:dyDescent="0.35">
      <c r="U248" s="953"/>
      <c r="V248" s="955"/>
      <c r="W248" s="842"/>
    </row>
    <row r="249" spans="21:31" ht="14.5" x14ac:dyDescent="0.35">
      <c r="U249" s="953"/>
      <c r="V249" s="955"/>
      <c r="W249" s="842"/>
    </row>
    <row r="252" spans="21:31" x14ac:dyDescent="0.3">
      <c r="U252" s="1426"/>
      <c r="V252" s="1426"/>
      <c r="W252" s="1"/>
    </row>
    <row r="253" spans="21:31" x14ac:dyDescent="0.3">
      <c r="U253" s="1"/>
      <c r="V253" s="955"/>
      <c r="W253" s="1"/>
      <c r="AA253" s="634"/>
    </row>
    <row r="254" spans="21:31" x14ac:dyDescent="0.3">
      <c r="U254" s="1"/>
      <c r="V254" s="955"/>
      <c r="W254" s="1"/>
      <c r="AA254" s="634"/>
      <c r="AC254" s="634"/>
      <c r="AE254" s="634"/>
    </row>
    <row r="255" spans="21:31" x14ac:dyDescent="0.3">
      <c r="U255" s="1"/>
      <c r="V255" s="955"/>
      <c r="W255" s="1"/>
      <c r="AA255" s="634"/>
      <c r="AB255" s="634"/>
      <c r="AC255" s="634"/>
      <c r="AE255" s="634"/>
    </row>
    <row r="256" spans="21:31" x14ac:dyDescent="0.3">
      <c r="U256" s="1"/>
      <c r="V256" s="955"/>
      <c r="W256" s="1"/>
      <c r="AA256" s="634"/>
      <c r="AE256" s="634"/>
    </row>
    <row r="257" spans="21:31" x14ac:dyDescent="0.3">
      <c r="U257" s="2"/>
      <c r="V257" s="2"/>
      <c r="W257" s="1"/>
      <c r="AA257" s="634"/>
      <c r="AE257" s="634"/>
    </row>
    <row r="258" spans="21:31" x14ac:dyDescent="0.3">
      <c r="U258" s="1"/>
      <c r="V258" s="955"/>
      <c r="W258" s="1"/>
      <c r="AA258" s="634"/>
      <c r="AE258" s="634"/>
    </row>
    <row r="259" spans="21:31" x14ac:dyDescent="0.3">
      <c r="U259" s="956"/>
      <c r="V259" s="2"/>
      <c r="W259" s="1"/>
      <c r="AA259" s="634"/>
      <c r="AE259" s="634"/>
    </row>
    <row r="260" spans="21:31" x14ac:dyDescent="0.3">
      <c r="U260" s="1"/>
      <c r="V260" s="955"/>
      <c r="W260" s="1"/>
      <c r="AA260" s="634"/>
      <c r="AE260" s="634"/>
    </row>
    <row r="261" spans="21:31" x14ac:dyDescent="0.3">
      <c r="U261" s="1"/>
      <c r="V261" s="955"/>
      <c r="W261" s="1"/>
      <c r="AA261" s="634"/>
      <c r="AE261" s="634"/>
    </row>
    <row r="262" spans="21:31" x14ac:dyDescent="0.3">
      <c r="U262" s="1"/>
      <c r="V262" s="955"/>
      <c r="W262" s="1"/>
      <c r="AA262" s="634"/>
      <c r="AE262" s="634"/>
    </row>
    <row r="263" spans="21:31" x14ac:dyDescent="0.3">
      <c r="U263" s="1"/>
      <c r="V263" s="955"/>
      <c r="W263" s="1"/>
      <c r="AA263" s="634"/>
      <c r="AE263" s="634"/>
    </row>
    <row r="264" spans="21:31" x14ac:dyDescent="0.3">
      <c r="U264" s="1"/>
      <c r="V264" s="955"/>
      <c r="W264" s="1"/>
      <c r="AE264" s="634"/>
    </row>
    <row r="265" spans="21:31" x14ac:dyDescent="0.3">
      <c r="U265" s="1426"/>
      <c r="V265" s="1426"/>
      <c r="W265" s="1"/>
    </row>
    <row r="266" spans="21:31" x14ac:dyDescent="0.3">
      <c r="U266" s="1"/>
      <c r="V266" s="955"/>
      <c r="W266" s="1"/>
    </row>
    <row r="271" spans="21:31" x14ac:dyDescent="0.3">
      <c r="U271" s="1423"/>
      <c r="V271" s="1425"/>
      <c r="W271" s="952"/>
      <c r="AB271" s="634"/>
    </row>
    <row r="272" spans="21:31" x14ac:dyDescent="0.3">
      <c r="U272" s="953"/>
      <c r="V272" s="955"/>
      <c r="W272" s="957"/>
      <c r="AB272" s="634"/>
      <c r="AC272" s="634"/>
    </row>
    <row r="273" spans="21:29" x14ac:dyDescent="0.3">
      <c r="U273" s="953"/>
      <c r="V273" s="955"/>
      <c r="W273" s="957"/>
      <c r="AB273" s="634"/>
      <c r="AC273" s="634"/>
    </row>
    <row r="274" spans="21:29" x14ac:dyDescent="0.3">
      <c r="U274" s="953"/>
      <c r="V274" s="955"/>
      <c r="W274" s="957"/>
      <c r="AB274" s="634"/>
      <c r="AC274" s="634"/>
    </row>
    <row r="275" spans="21:29" x14ac:dyDescent="0.3">
      <c r="U275" s="953"/>
      <c r="V275" s="955"/>
      <c r="W275" s="957"/>
      <c r="AB275" s="634"/>
      <c r="AC275" s="634"/>
    </row>
    <row r="276" spans="21:29" x14ac:dyDescent="0.3">
      <c r="U276" s="953"/>
      <c r="V276" s="955"/>
      <c r="W276" s="957"/>
      <c r="AB276" s="634"/>
      <c r="AC276" s="634"/>
    </row>
    <row r="277" spans="21:29" x14ac:dyDescent="0.3">
      <c r="U277" s="953"/>
      <c r="V277" s="954"/>
      <c r="W277" s="957"/>
      <c r="AB277" s="634"/>
      <c r="AC277" s="634"/>
    </row>
    <row r="278" spans="21:29" x14ac:dyDescent="0.3">
      <c r="U278" s="957"/>
      <c r="V278" s="957"/>
      <c r="W278" s="957"/>
      <c r="AB278" s="634"/>
      <c r="AC278" s="634"/>
    </row>
    <row r="279" spans="21:29" x14ac:dyDescent="0.3">
      <c r="U279" s="1423"/>
      <c r="V279" s="1425"/>
      <c r="W279" s="952"/>
      <c r="AB279" s="634"/>
      <c r="AC279" s="634"/>
    </row>
    <row r="280" spans="21:29" x14ac:dyDescent="0.3">
      <c r="U280" s="953"/>
      <c r="V280" s="955"/>
      <c r="W280" s="957"/>
      <c r="AC280" s="634"/>
    </row>
    <row r="281" spans="21:29" x14ac:dyDescent="0.3">
      <c r="U281" s="953"/>
      <c r="V281" s="955"/>
      <c r="W281" s="957"/>
    </row>
    <row r="282" spans="21:29" x14ac:dyDescent="0.3">
      <c r="U282" s="957"/>
      <c r="V282" s="957"/>
      <c r="W282" s="957"/>
    </row>
    <row r="283" spans="21:29" x14ac:dyDescent="0.3">
      <c r="U283" s="1423"/>
      <c r="V283" s="1425"/>
      <c r="W283" s="952"/>
    </row>
    <row r="284" spans="21:29" x14ac:dyDescent="0.3">
      <c r="U284" s="953"/>
      <c r="V284" s="955"/>
      <c r="W284" s="957"/>
    </row>
    <row r="285" spans="21:29" x14ac:dyDescent="0.3">
      <c r="U285" s="957"/>
      <c r="V285" s="957"/>
      <c r="W285" s="957"/>
    </row>
    <row r="286" spans="21:29" x14ac:dyDescent="0.3">
      <c r="U286" s="1423"/>
      <c r="V286" s="1425"/>
      <c r="W286" s="952"/>
    </row>
    <row r="287" spans="21:29" x14ac:dyDescent="0.3">
      <c r="U287" s="953"/>
      <c r="V287" s="955"/>
      <c r="W287" s="957"/>
    </row>
    <row r="294" spans="24:24" x14ac:dyDescent="0.3">
      <c r="X294" s="634"/>
    </row>
    <row r="295" spans="24:24" x14ac:dyDescent="0.3">
      <c r="X295" s="634"/>
    </row>
    <row r="296" spans="24:24" x14ac:dyDescent="0.3">
      <c r="X296" s="634"/>
    </row>
    <row r="297" spans="24:24" x14ac:dyDescent="0.3">
      <c r="X297" s="634"/>
    </row>
    <row r="298" spans="24:24" x14ac:dyDescent="0.3">
      <c r="X298" s="634"/>
    </row>
    <row r="299" spans="24:24" x14ac:dyDescent="0.3">
      <c r="X299" s="634"/>
    </row>
    <row r="300" spans="24:24" x14ac:dyDescent="0.3">
      <c r="X300" s="634"/>
    </row>
    <row r="301" spans="24:24" x14ac:dyDescent="0.3">
      <c r="X301" s="634"/>
    </row>
    <row r="302" spans="24:24" x14ac:dyDescent="0.3">
      <c r="X302" s="634"/>
    </row>
  </sheetData>
  <autoFilter ref="A1:O299" xr:uid="{00000000-0001-0000-0000-000000000000}"/>
  <mergeCells count="20">
    <mergeCell ref="U283:V283"/>
    <mergeCell ref="U286:V286"/>
    <mergeCell ref="U271:V271"/>
    <mergeCell ref="U227:V227"/>
    <mergeCell ref="U222:V222"/>
    <mergeCell ref="U230:V230"/>
    <mergeCell ref="U243:V243"/>
    <mergeCell ref="U246:V246"/>
    <mergeCell ref="U252:V252"/>
    <mergeCell ref="U265:V265"/>
    <mergeCell ref="U279:V279"/>
    <mergeCell ref="U234:V234"/>
    <mergeCell ref="U181:V181"/>
    <mergeCell ref="U203:V203"/>
    <mergeCell ref="U213:V213"/>
    <mergeCell ref="U210:V210"/>
    <mergeCell ref="U188:V188"/>
    <mergeCell ref="U197:V197"/>
    <mergeCell ref="U193:V193"/>
    <mergeCell ref="U207:V207"/>
  </mergeCells>
  <pageMargins left="0.7" right="0.7" top="0.75" bottom="0.75" header="0.511811023622047" footer="0.511811023622047"/>
  <pageSetup paperSize="9" orientation="portrait" horizontalDpi="300" verticalDpi="30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7030A0"/>
  </sheetPr>
  <dimension ref="A1:AK88"/>
  <sheetViews>
    <sheetView zoomScale="55" zoomScaleNormal="55" workbookViewId="0">
      <selection activeCell="L59" sqref="L59"/>
    </sheetView>
  </sheetViews>
  <sheetFormatPr defaultColWidth="8.58203125" defaultRowHeight="14" x14ac:dyDescent="0.3"/>
  <cols>
    <col min="1" max="1" width="46.5" customWidth="1"/>
    <col min="2" max="2" width="14.83203125" bestFit="1" customWidth="1"/>
    <col min="3" max="3" width="10.08203125" customWidth="1"/>
    <col min="4" max="4" width="17.83203125" customWidth="1"/>
    <col min="5" max="5" width="13.75" customWidth="1"/>
    <col min="6" max="6" width="10.9140625" customWidth="1"/>
    <col min="7" max="7" width="25.08203125" customWidth="1"/>
    <col min="8" max="8" width="23.58203125" customWidth="1"/>
    <col min="9" max="9" width="14.58203125" customWidth="1"/>
    <col min="10" max="10" width="20.75" customWidth="1"/>
    <col min="11" max="11" width="18.83203125" customWidth="1"/>
    <col min="12" max="12" width="16.58203125" bestFit="1" customWidth="1"/>
    <col min="13" max="13" width="15.75" bestFit="1" customWidth="1"/>
    <col min="14" max="14" width="18.25" bestFit="1" customWidth="1"/>
    <col min="15" max="15" width="16.08203125" bestFit="1" customWidth="1"/>
    <col min="16" max="16" width="5.25" customWidth="1"/>
    <col min="17" max="17" width="6.4140625" bestFit="1" customWidth="1"/>
    <col min="18" max="18" width="6.58203125" customWidth="1"/>
    <col min="24" max="35" width="2" customWidth="1"/>
    <col min="36" max="36" width="4.1640625" bestFit="1" customWidth="1"/>
    <col min="37" max="37" width="27.58203125" bestFit="1" customWidth="1"/>
  </cols>
  <sheetData>
    <row r="1" spans="1:37" ht="39.75" customHeight="1" x14ac:dyDescent="0.3">
      <c r="A1" s="62" t="s">
        <v>0</v>
      </c>
      <c r="B1" s="62" t="s">
        <v>1</v>
      </c>
      <c r="C1" s="62" t="s">
        <v>2</v>
      </c>
      <c r="D1" s="62" t="s">
        <v>3</v>
      </c>
      <c r="E1" s="63" t="s">
        <v>5</v>
      </c>
      <c r="F1" s="62" t="s">
        <v>6</v>
      </c>
      <c r="G1" s="997" t="s">
        <v>743</v>
      </c>
      <c r="H1" s="998" t="s">
        <v>744</v>
      </c>
      <c r="I1" s="997" t="s">
        <v>745</v>
      </c>
      <c r="J1" s="997" t="s">
        <v>746</v>
      </c>
      <c r="K1" s="62" t="s">
        <v>8</v>
      </c>
      <c r="L1" s="62" t="s">
        <v>9</v>
      </c>
      <c r="M1" s="62" t="s">
        <v>7</v>
      </c>
      <c r="N1" s="62" t="s">
        <v>10</v>
      </c>
      <c r="O1" s="62" t="s">
        <v>11</v>
      </c>
      <c r="Q1" s="8" t="s">
        <v>4</v>
      </c>
      <c r="R1" s="8">
        <v>3</v>
      </c>
    </row>
    <row r="2" spans="1:37" ht="14.25" customHeight="1" x14ac:dyDescent="0.3">
      <c r="A2" s="1054"/>
      <c r="B2" s="1054"/>
      <c r="C2" s="1054"/>
      <c r="D2" s="1054"/>
      <c r="E2" s="1055"/>
      <c r="F2" s="1054"/>
      <c r="G2" s="1056"/>
      <c r="H2" s="1057"/>
      <c r="I2" s="1056"/>
      <c r="J2" s="1056"/>
      <c r="K2" s="1054"/>
      <c r="L2" s="1054"/>
      <c r="M2" s="1054"/>
      <c r="N2" s="1054"/>
      <c r="O2" s="1054"/>
      <c r="AJ2" s="959"/>
      <c r="AK2" s="959"/>
    </row>
    <row r="3" spans="1:37" ht="14.25" customHeight="1" x14ac:dyDescent="0.3">
      <c r="A3" s="1058" t="s">
        <v>153</v>
      </c>
      <c r="B3" s="1058" t="s">
        <v>154</v>
      </c>
      <c r="C3" s="1059" t="s">
        <v>14</v>
      </c>
      <c r="D3" s="1060">
        <v>0</v>
      </c>
      <c r="E3" s="1061">
        <v>1357.1087533156497</v>
      </c>
      <c r="F3" s="1058">
        <v>1</v>
      </c>
      <c r="G3" s="1062">
        <v>25000</v>
      </c>
      <c r="H3" s="1062" t="s">
        <v>155</v>
      </c>
      <c r="I3" s="1062">
        <v>750</v>
      </c>
      <c r="J3" s="1063">
        <f>I3/(G3/1000)</f>
        <v>30</v>
      </c>
      <c r="K3" s="1064">
        <f t="shared" ref="K3:K10" si="0">(E3/F3)/G3</f>
        <v>5.4284350132625989E-2</v>
      </c>
      <c r="L3" s="1064">
        <f t="shared" ref="L3:L10" si="1">(D3/F3)/G3</f>
        <v>0</v>
      </c>
      <c r="M3" s="1058" t="s">
        <v>15</v>
      </c>
      <c r="N3" s="1058">
        <f t="shared" ref="N3:N10" si="2">K3*I3</f>
        <v>40.713262599469495</v>
      </c>
      <c r="O3" s="1058">
        <f t="shared" ref="O3:O10" si="3">L3*I3</f>
        <v>0</v>
      </c>
      <c r="AJ3" s="958">
        <v>1</v>
      </c>
      <c r="AK3" s="958" t="s">
        <v>16</v>
      </c>
    </row>
    <row r="4" spans="1:37" ht="14.25" customHeight="1" x14ac:dyDescent="0.3">
      <c r="A4" s="1058" t="s">
        <v>176</v>
      </c>
      <c r="B4" s="1058" t="s">
        <v>154</v>
      </c>
      <c r="C4" s="1059" t="s">
        <v>161</v>
      </c>
      <c r="D4" s="1060">
        <v>0</v>
      </c>
      <c r="E4" s="1061">
        <v>694.26336375488916</v>
      </c>
      <c r="F4" s="1058">
        <v>1</v>
      </c>
      <c r="G4" s="1062">
        <v>9600</v>
      </c>
      <c r="H4" s="1062" t="s">
        <v>177</v>
      </c>
      <c r="I4" s="1062">
        <v>95</v>
      </c>
      <c r="J4" s="1063">
        <f>I4/(G4/1000)</f>
        <v>9.8958333333333339</v>
      </c>
      <c r="K4" s="1064">
        <f t="shared" si="0"/>
        <v>7.2319100391134289E-2</v>
      </c>
      <c r="L4" s="1064">
        <f t="shared" si="1"/>
        <v>0</v>
      </c>
      <c r="M4" s="1058" t="s">
        <v>15</v>
      </c>
      <c r="N4" s="1058">
        <f t="shared" si="2"/>
        <v>6.8703145371577579</v>
      </c>
      <c r="O4" s="1058">
        <f t="shared" si="3"/>
        <v>0</v>
      </c>
      <c r="AJ4" s="958">
        <v>1</v>
      </c>
      <c r="AK4" s="958" t="s">
        <v>22</v>
      </c>
    </row>
    <row r="5" spans="1:37" ht="14.25" customHeight="1" x14ac:dyDescent="0.3">
      <c r="A5" s="1058" t="s">
        <v>167</v>
      </c>
      <c r="B5" s="1058" t="s">
        <v>154</v>
      </c>
      <c r="C5" s="1059" t="s">
        <v>161</v>
      </c>
      <c r="D5" s="1060">
        <v>0</v>
      </c>
      <c r="E5" s="1061">
        <v>1909.6551724137933</v>
      </c>
      <c r="F5" s="1058">
        <v>1</v>
      </c>
      <c r="G5" s="1062">
        <v>12000</v>
      </c>
      <c r="H5" s="1062" t="s">
        <v>162</v>
      </c>
      <c r="I5" s="1062">
        <v>152</v>
      </c>
      <c r="J5" s="1063">
        <f>I5/(G5/1000)</f>
        <v>12.666666666666666</v>
      </c>
      <c r="K5" s="1064">
        <f t="shared" si="0"/>
        <v>0.15913793103448276</v>
      </c>
      <c r="L5" s="1064">
        <f t="shared" si="1"/>
        <v>0</v>
      </c>
      <c r="M5" s="1058" t="s">
        <v>15</v>
      </c>
      <c r="N5" s="1058">
        <f t="shared" si="2"/>
        <v>24.188965517241378</v>
      </c>
      <c r="O5" s="1058">
        <f t="shared" si="3"/>
        <v>0</v>
      </c>
      <c r="AJ5" s="958">
        <v>1</v>
      </c>
      <c r="AK5" s="958" t="s">
        <v>27</v>
      </c>
    </row>
    <row r="6" spans="1:37" ht="14.25" customHeight="1" x14ac:dyDescent="0.3">
      <c r="A6" s="1065" t="s">
        <v>233</v>
      </c>
      <c r="B6" s="1065" t="s">
        <v>154</v>
      </c>
      <c r="C6" s="1066" t="s">
        <v>234</v>
      </c>
      <c r="D6" s="1067">
        <v>0</v>
      </c>
      <c r="E6" s="1068">
        <v>14.58</v>
      </c>
      <c r="F6" s="1069">
        <v>1</v>
      </c>
      <c r="G6" s="1062">
        <f>360</f>
        <v>360</v>
      </c>
      <c r="H6" s="1062" t="s">
        <v>786</v>
      </c>
      <c r="I6" s="1062">
        <v>156</v>
      </c>
      <c r="J6" s="1063">
        <f>I6/(G6)</f>
        <v>0.43333333333333335</v>
      </c>
      <c r="K6" s="1064">
        <f t="shared" si="0"/>
        <v>4.0500000000000001E-2</v>
      </c>
      <c r="L6" s="1064">
        <f t="shared" si="1"/>
        <v>0</v>
      </c>
      <c r="M6" s="1069" t="s">
        <v>26</v>
      </c>
      <c r="N6" s="1058">
        <f t="shared" si="2"/>
        <v>6.3180000000000005</v>
      </c>
      <c r="O6" s="1058">
        <f t="shared" si="3"/>
        <v>0</v>
      </c>
      <c r="AJ6" s="958">
        <v>1</v>
      </c>
      <c r="AK6" s="958" t="s">
        <v>29</v>
      </c>
    </row>
    <row r="7" spans="1:37" ht="14.25" customHeight="1" x14ac:dyDescent="0.3">
      <c r="A7" s="1058" t="s">
        <v>564</v>
      </c>
      <c r="B7" s="1058" t="s">
        <v>154</v>
      </c>
      <c r="C7" s="1059" t="s">
        <v>14</v>
      </c>
      <c r="D7" s="1060">
        <v>0</v>
      </c>
      <c r="E7" s="1061">
        <v>804.99999999999989</v>
      </c>
      <c r="F7" s="1058">
        <v>1</v>
      </c>
      <c r="G7" s="1062">
        <v>5000</v>
      </c>
      <c r="H7" s="1062" t="s">
        <v>15</v>
      </c>
      <c r="I7" s="1062">
        <v>56.52</v>
      </c>
      <c r="J7" s="1063">
        <f>I7/(G7/1000)</f>
        <v>11.304</v>
      </c>
      <c r="K7" s="1064">
        <f t="shared" si="0"/>
        <v>0.16099999999999998</v>
      </c>
      <c r="L7" s="1064">
        <f t="shared" si="1"/>
        <v>0</v>
      </c>
      <c r="M7" s="1058" t="s">
        <v>15</v>
      </c>
      <c r="N7" s="1058">
        <f t="shared" si="2"/>
        <v>9.0997199999999996</v>
      </c>
      <c r="O7" s="1058">
        <f t="shared" si="3"/>
        <v>0</v>
      </c>
      <c r="AJ7" s="958">
        <v>2</v>
      </c>
      <c r="AK7" s="958" t="s">
        <v>43</v>
      </c>
    </row>
    <row r="8" spans="1:37" ht="14.25" customHeight="1" x14ac:dyDescent="0.3">
      <c r="A8" s="1058" t="s">
        <v>174</v>
      </c>
      <c r="B8" s="1058" t="s">
        <v>154</v>
      </c>
      <c r="C8" s="1059" t="s">
        <v>14</v>
      </c>
      <c r="D8" s="1060">
        <v>0</v>
      </c>
      <c r="E8" s="1061">
        <v>477.41379310344831</v>
      </c>
      <c r="F8" s="1058">
        <v>1</v>
      </c>
      <c r="G8" s="1062">
        <v>9200</v>
      </c>
      <c r="H8" s="1062" t="s">
        <v>175</v>
      </c>
      <c r="I8" s="1062">
        <v>165</v>
      </c>
      <c r="J8" s="1063">
        <f>I8/(G8/1000)</f>
        <v>17.934782608695652</v>
      </c>
      <c r="K8" s="1064">
        <f t="shared" si="0"/>
        <v>5.1892803598200907E-2</v>
      </c>
      <c r="L8" s="1064">
        <f t="shared" si="1"/>
        <v>0</v>
      </c>
      <c r="M8" s="1058" t="s">
        <v>15</v>
      </c>
      <c r="N8" s="1058">
        <f t="shared" si="2"/>
        <v>8.5623125937031492</v>
      </c>
      <c r="O8" s="1058">
        <f t="shared" si="3"/>
        <v>0</v>
      </c>
      <c r="AJ8" s="958">
        <v>2</v>
      </c>
      <c r="AK8" s="958" t="s">
        <v>860</v>
      </c>
    </row>
    <row r="9" spans="1:37" ht="14.25" customHeight="1" x14ac:dyDescent="0.3">
      <c r="A9" s="1058" t="s">
        <v>761</v>
      </c>
      <c r="B9" s="1058" t="s">
        <v>154</v>
      </c>
      <c r="C9" s="1059" t="s">
        <v>14</v>
      </c>
      <c r="D9" s="1060">
        <v>0</v>
      </c>
      <c r="E9" s="1061">
        <v>229.99999999999997</v>
      </c>
      <c r="F9" s="1058">
        <v>1</v>
      </c>
      <c r="G9" s="1062">
        <v>2724</v>
      </c>
      <c r="H9" s="1062" t="s">
        <v>750</v>
      </c>
      <c r="I9" s="1062">
        <v>185</v>
      </c>
      <c r="J9" s="1063">
        <f>I9/(G9/1000)</f>
        <v>67.91483113069016</v>
      </c>
      <c r="K9" s="1064">
        <f t="shared" si="0"/>
        <v>8.4434654919236407E-2</v>
      </c>
      <c r="L9" s="1064">
        <f t="shared" si="1"/>
        <v>0</v>
      </c>
      <c r="M9" s="1058" t="s">
        <v>15</v>
      </c>
      <c r="N9" s="1058">
        <f t="shared" si="2"/>
        <v>15.620411160058735</v>
      </c>
      <c r="O9" s="1058">
        <f t="shared" si="3"/>
        <v>0</v>
      </c>
      <c r="AJ9" s="958">
        <v>2</v>
      </c>
      <c r="AK9" s="958" t="s">
        <v>46</v>
      </c>
    </row>
    <row r="10" spans="1:37" ht="14.25" customHeight="1" x14ac:dyDescent="0.3">
      <c r="A10" s="1058" t="s">
        <v>164</v>
      </c>
      <c r="B10" s="1058" t="s">
        <v>154</v>
      </c>
      <c r="C10" s="1059" t="s">
        <v>14</v>
      </c>
      <c r="D10" s="1060">
        <v>1412.6466753585396</v>
      </c>
      <c r="E10" s="1061">
        <v>7590.1720541293889</v>
      </c>
      <c r="F10" s="1058">
        <v>1</v>
      </c>
      <c r="G10" s="1062">
        <v>10000</v>
      </c>
      <c r="H10" s="1062" t="s">
        <v>165</v>
      </c>
      <c r="I10" s="1062">
        <v>66.959999999999994</v>
      </c>
      <c r="J10" s="1063">
        <f>I10/(G10/1000)</f>
        <v>6.6959999999999997</v>
      </c>
      <c r="K10" s="1064">
        <f t="shared" si="0"/>
        <v>0.75901720541293893</v>
      </c>
      <c r="L10" s="1064">
        <f t="shared" si="1"/>
        <v>0.14126466753585395</v>
      </c>
      <c r="M10" s="1058" t="s">
        <v>15</v>
      </c>
      <c r="N10" s="1058">
        <f t="shared" si="2"/>
        <v>50.823792074450388</v>
      </c>
      <c r="O10" s="1058">
        <f t="shared" si="3"/>
        <v>9.4590821382007793</v>
      </c>
      <c r="AJ10" s="958">
        <v>2</v>
      </c>
      <c r="AK10" s="958" t="s">
        <v>48</v>
      </c>
    </row>
    <row r="11" spans="1:37" ht="14.25" customHeight="1" x14ac:dyDescent="0.3">
      <c r="A11" s="1054"/>
      <c r="B11" s="1054"/>
      <c r="C11" s="1054"/>
      <c r="D11" s="1054"/>
      <c r="E11" s="1055"/>
      <c r="F11" s="1054"/>
      <c r="G11" s="1056"/>
      <c r="H11" s="1057"/>
      <c r="I11" s="1056"/>
      <c r="J11" s="1056"/>
      <c r="K11" s="1054"/>
      <c r="L11" s="1054"/>
      <c r="M11" s="1054"/>
      <c r="N11" s="1054"/>
      <c r="O11" s="1054"/>
      <c r="AJ11" s="958">
        <v>2</v>
      </c>
      <c r="AK11" s="958" t="s">
        <v>53</v>
      </c>
    </row>
    <row r="12" spans="1:37" ht="14.25" customHeight="1" x14ac:dyDescent="0.3">
      <c r="A12" s="73" t="s">
        <v>191</v>
      </c>
      <c r="B12" s="73" t="s">
        <v>192</v>
      </c>
      <c r="C12" s="74" t="s">
        <v>161</v>
      </c>
      <c r="D12" s="75">
        <v>0</v>
      </c>
      <c r="E12" s="76">
        <v>183.82138200782271</v>
      </c>
      <c r="F12" s="73">
        <v>1</v>
      </c>
      <c r="G12" s="16">
        <f>3790*4</f>
        <v>15160</v>
      </c>
      <c r="H12" s="16" t="s">
        <v>193</v>
      </c>
      <c r="I12" s="16">
        <v>265</v>
      </c>
      <c r="J12" s="1006">
        <f t="shared" ref="J12:J17" si="4">I12/(G12/1000)</f>
        <v>17.480211081794195</v>
      </c>
      <c r="K12" s="77">
        <f t="shared" ref="K12:K17" si="5">(E12/F12)/G12</f>
        <v>1.2125420976769307E-2</v>
      </c>
      <c r="L12" s="77">
        <f t="shared" ref="L12:L17" si="6">(D12/F12)/G12</f>
        <v>0</v>
      </c>
      <c r="M12" s="73" t="s">
        <v>15</v>
      </c>
      <c r="N12" s="73">
        <f t="shared" ref="N12:N17" si="7">K12*I12</f>
        <v>3.2132365588438665</v>
      </c>
      <c r="O12" s="73">
        <f t="shared" ref="O12:O17" si="8">L12*I12</f>
        <v>0</v>
      </c>
      <c r="AJ12" s="958">
        <v>2</v>
      </c>
      <c r="AK12" s="958" t="s">
        <v>54</v>
      </c>
    </row>
    <row r="13" spans="1:37" ht="14.25" customHeight="1" x14ac:dyDescent="0.3">
      <c r="A13" s="73" t="s">
        <v>214</v>
      </c>
      <c r="B13" s="73" t="s">
        <v>192</v>
      </c>
      <c r="C13" s="74" t="s">
        <v>161</v>
      </c>
      <c r="D13" s="75">
        <v>8857.508438548457</v>
      </c>
      <c r="E13" s="76">
        <v>49465.791706307391</v>
      </c>
      <c r="F13" s="73">
        <v>1</v>
      </c>
      <c r="G13" s="16">
        <v>12000</v>
      </c>
      <c r="H13" s="16" t="s">
        <v>767</v>
      </c>
      <c r="I13" s="16">
        <v>60</v>
      </c>
      <c r="J13" s="1006">
        <f t="shared" si="4"/>
        <v>5</v>
      </c>
      <c r="K13" s="77">
        <f t="shared" si="5"/>
        <v>4.1221493088589494</v>
      </c>
      <c r="L13" s="77">
        <f t="shared" si="6"/>
        <v>0.73812570321237136</v>
      </c>
      <c r="M13" s="73" t="s">
        <v>26</v>
      </c>
      <c r="N13" s="73">
        <f t="shared" si="7"/>
        <v>247.32895853153695</v>
      </c>
      <c r="O13" s="73">
        <f t="shared" si="8"/>
        <v>44.287542192742279</v>
      </c>
      <c r="AJ13" s="958">
        <v>3</v>
      </c>
      <c r="AK13" s="958" t="s">
        <v>59</v>
      </c>
    </row>
    <row r="14" spans="1:37" ht="14.25" customHeight="1" x14ac:dyDescent="0.3">
      <c r="A14" s="73" t="s">
        <v>204</v>
      </c>
      <c r="B14" s="73" t="s">
        <v>192</v>
      </c>
      <c r="C14" s="74" t="s">
        <v>14</v>
      </c>
      <c r="D14" s="75">
        <v>2001.0185185185182</v>
      </c>
      <c r="E14" s="76">
        <v>14532.193471437538</v>
      </c>
      <c r="F14" s="73">
        <v>1</v>
      </c>
      <c r="G14" s="16">
        <f>3780*4</f>
        <v>15120</v>
      </c>
      <c r="H14" s="16" t="s">
        <v>776</v>
      </c>
      <c r="I14" s="16">
        <v>170</v>
      </c>
      <c r="J14" s="1006">
        <f t="shared" si="4"/>
        <v>11.243386243386244</v>
      </c>
      <c r="K14" s="77">
        <f t="shared" si="5"/>
        <v>0.96112390684110705</v>
      </c>
      <c r="L14" s="77">
        <f t="shared" si="6"/>
        <v>0.13234249461101311</v>
      </c>
      <c r="M14" s="73" t="s">
        <v>15</v>
      </c>
      <c r="N14" s="73">
        <f t="shared" si="7"/>
        <v>163.39106416298819</v>
      </c>
      <c r="O14" s="73">
        <f t="shared" si="8"/>
        <v>22.498224083872227</v>
      </c>
      <c r="AJ14" s="958">
        <v>3</v>
      </c>
      <c r="AK14" s="958" t="s">
        <v>60</v>
      </c>
    </row>
    <row r="15" spans="1:37" ht="14.25" customHeight="1" x14ac:dyDescent="0.3">
      <c r="A15" s="73" t="s">
        <v>194</v>
      </c>
      <c r="B15" s="73" t="s">
        <v>192</v>
      </c>
      <c r="C15" s="74" t="s">
        <v>161</v>
      </c>
      <c r="D15" s="75">
        <v>0</v>
      </c>
      <c r="E15" s="76">
        <v>56.092542372881368</v>
      </c>
      <c r="F15" s="73">
        <v>1</v>
      </c>
      <c r="G15" s="16">
        <f>355*6</f>
        <v>2130</v>
      </c>
      <c r="H15" s="16" t="s">
        <v>774</v>
      </c>
      <c r="I15" s="16">
        <v>125</v>
      </c>
      <c r="J15" s="1006">
        <f t="shared" si="4"/>
        <v>58.685446009389672</v>
      </c>
      <c r="K15" s="77">
        <f t="shared" si="5"/>
        <v>2.6334526935625057E-2</v>
      </c>
      <c r="L15" s="77">
        <f t="shared" si="6"/>
        <v>0</v>
      </c>
      <c r="M15" s="73" t="s">
        <v>15</v>
      </c>
      <c r="N15" s="73">
        <f t="shared" si="7"/>
        <v>3.2918158669531321</v>
      </c>
      <c r="O15" s="73">
        <f t="shared" si="8"/>
        <v>0</v>
      </c>
      <c r="AJ15" s="958">
        <v>3</v>
      </c>
      <c r="AK15" s="958" t="s">
        <v>66</v>
      </c>
    </row>
    <row r="16" spans="1:37" ht="14.25" customHeight="1" x14ac:dyDescent="0.3">
      <c r="A16" s="73" t="s">
        <v>210</v>
      </c>
      <c r="B16" s="15" t="s">
        <v>192</v>
      </c>
      <c r="C16" s="74" t="s">
        <v>161</v>
      </c>
      <c r="D16" s="75">
        <v>2066.4185968207057</v>
      </c>
      <c r="E16" s="76">
        <v>12209.92926974934</v>
      </c>
      <c r="F16" s="73">
        <v>1</v>
      </c>
      <c r="G16" s="16">
        <f>3700*4.5</f>
        <v>16650</v>
      </c>
      <c r="H16" s="16" t="s">
        <v>768</v>
      </c>
      <c r="I16" s="16">
        <v>36</v>
      </c>
      <c r="J16" s="1006">
        <f t="shared" si="4"/>
        <v>2.1621621621621623</v>
      </c>
      <c r="K16" s="77">
        <f t="shared" si="5"/>
        <v>0.73332908527023066</v>
      </c>
      <c r="L16" s="77">
        <f t="shared" si="6"/>
        <v>0.12410922503427661</v>
      </c>
      <c r="M16" s="73" t="s">
        <v>15</v>
      </c>
      <c r="N16" s="73">
        <f t="shared" si="7"/>
        <v>26.399847069728303</v>
      </c>
      <c r="O16" s="73">
        <f t="shared" si="8"/>
        <v>4.4679321012339583</v>
      </c>
      <c r="AJ16" s="958">
        <v>3</v>
      </c>
      <c r="AK16" s="958" t="s">
        <v>68</v>
      </c>
    </row>
    <row r="17" spans="1:37" ht="14.25" customHeight="1" x14ac:dyDescent="0.3">
      <c r="A17" s="73" t="s">
        <v>506</v>
      </c>
      <c r="B17" s="73" t="s">
        <v>192</v>
      </c>
      <c r="C17" s="74" t="s">
        <v>14</v>
      </c>
      <c r="D17" s="75">
        <v>0</v>
      </c>
      <c r="E17" s="76">
        <v>583.19999999999993</v>
      </c>
      <c r="F17" s="73">
        <v>1</v>
      </c>
      <c r="G17" s="16">
        <f>295*12</f>
        <v>3540</v>
      </c>
      <c r="H17" s="16" t="s">
        <v>777</v>
      </c>
      <c r="I17" s="16">
        <v>125</v>
      </c>
      <c r="J17" s="1006">
        <f t="shared" si="4"/>
        <v>35.310734463276837</v>
      </c>
      <c r="K17" s="77">
        <f t="shared" si="5"/>
        <v>0.16474576271186439</v>
      </c>
      <c r="L17" s="77">
        <f t="shared" si="6"/>
        <v>0</v>
      </c>
      <c r="M17" s="73" t="s">
        <v>15</v>
      </c>
      <c r="N17" s="73">
        <f t="shared" si="7"/>
        <v>20.593220338983048</v>
      </c>
      <c r="O17" s="73">
        <f t="shared" si="8"/>
        <v>0</v>
      </c>
      <c r="AJ17" s="958">
        <v>3</v>
      </c>
      <c r="AK17" s="958" t="s">
        <v>872</v>
      </c>
    </row>
    <row r="18" spans="1:37" ht="14.25" customHeight="1" x14ac:dyDescent="0.3">
      <c r="A18" s="1"/>
      <c r="B18" s="1"/>
      <c r="C18" s="2"/>
      <c r="D18" s="64"/>
      <c r="E18" s="65"/>
      <c r="F18" s="66"/>
      <c r="G18" s="66"/>
      <c r="H18" s="66"/>
      <c r="I18" s="66"/>
      <c r="J18" s="66"/>
      <c r="K18" s="67"/>
      <c r="L18" s="67"/>
      <c r="M18" s="66"/>
      <c r="N18" s="66"/>
      <c r="O18" s="66"/>
      <c r="AJ18" s="958">
        <v>3</v>
      </c>
      <c r="AK18" s="958" t="s">
        <v>79</v>
      </c>
    </row>
    <row r="19" spans="1:37" ht="14.25" customHeight="1" x14ac:dyDescent="0.3">
      <c r="A19" s="1070" t="s">
        <v>760</v>
      </c>
      <c r="B19" s="1070" t="s">
        <v>95</v>
      </c>
      <c r="C19" s="1071" t="s">
        <v>14</v>
      </c>
      <c r="D19" s="1072">
        <v>474.66843501326252</v>
      </c>
      <c r="E19" s="1073">
        <v>1857.3161803713524</v>
      </c>
      <c r="F19" s="1070">
        <v>1</v>
      </c>
      <c r="G19" s="1074">
        <v>2400</v>
      </c>
      <c r="H19" s="1074" t="s">
        <v>45</v>
      </c>
      <c r="I19" s="1074">
        <v>104</v>
      </c>
      <c r="J19" s="1074">
        <f t="shared" ref="J19:J37" si="9">I19/(G19/1000)</f>
        <v>43.333333333333336</v>
      </c>
      <c r="K19" s="1075">
        <f t="shared" ref="K19:K37" si="10">(E19/F19)/G19</f>
        <v>0.7738817418213968</v>
      </c>
      <c r="L19" s="1075">
        <f t="shared" ref="L19:L37" si="11">(D19/F19)/G19</f>
        <v>0.19777851458885939</v>
      </c>
      <c r="M19" s="1070" t="s">
        <v>15</v>
      </c>
      <c r="N19" s="1070">
        <f t="shared" ref="N19:N37" si="12">K19*I19</f>
        <v>80.483701149425272</v>
      </c>
      <c r="O19" s="1070">
        <f t="shared" ref="O19:O37" si="13">L19*I19</f>
        <v>20.568965517241377</v>
      </c>
      <c r="AJ19" s="958">
        <v>3</v>
      </c>
      <c r="AK19" s="958" t="s">
        <v>82</v>
      </c>
    </row>
    <row r="20" spans="1:37" ht="14.25" customHeight="1" x14ac:dyDescent="0.3">
      <c r="A20" s="1070" t="s">
        <v>100</v>
      </c>
      <c r="B20" s="1070" t="s">
        <v>95</v>
      </c>
      <c r="C20" s="1071" t="s">
        <v>14</v>
      </c>
      <c r="D20" s="1072">
        <v>202.29702434557021</v>
      </c>
      <c r="E20" s="1073">
        <v>885.67466297409874</v>
      </c>
      <c r="F20" s="1070">
        <v>1</v>
      </c>
      <c r="G20" s="1074">
        <v>1000</v>
      </c>
      <c r="H20" s="1074" t="s">
        <v>45</v>
      </c>
      <c r="I20" s="1074">
        <v>31</v>
      </c>
      <c r="J20" s="1074">
        <f t="shared" si="9"/>
        <v>31</v>
      </c>
      <c r="K20" s="1075">
        <f t="shared" si="10"/>
        <v>0.88567466297409869</v>
      </c>
      <c r="L20" s="1075">
        <f t="shared" si="11"/>
        <v>0.2022970243455702</v>
      </c>
      <c r="M20" s="1070" t="s">
        <v>15</v>
      </c>
      <c r="N20" s="1070">
        <f t="shared" si="12"/>
        <v>27.455914552197058</v>
      </c>
      <c r="O20" s="1070">
        <f t="shared" si="13"/>
        <v>6.2712077547126759</v>
      </c>
      <c r="AJ20" s="958">
        <v>4</v>
      </c>
      <c r="AK20" s="958" t="s">
        <v>92</v>
      </c>
    </row>
    <row r="21" spans="1:37" ht="14.25" customHeight="1" x14ac:dyDescent="0.3">
      <c r="A21" s="1070" t="s">
        <v>98</v>
      </c>
      <c r="B21" s="1070" t="s">
        <v>95</v>
      </c>
      <c r="C21" s="1071" t="s">
        <v>14</v>
      </c>
      <c r="D21" s="1072">
        <v>0</v>
      </c>
      <c r="E21" s="1073">
        <v>102.37068965517241</v>
      </c>
      <c r="F21" s="1070">
        <v>1</v>
      </c>
      <c r="G21" s="1074">
        <v>1000</v>
      </c>
      <c r="H21" s="1074" t="s">
        <v>45</v>
      </c>
      <c r="I21" s="1074">
        <v>38</v>
      </c>
      <c r="J21" s="1074">
        <f t="shared" si="9"/>
        <v>38</v>
      </c>
      <c r="K21" s="1075">
        <f t="shared" si="10"/>
        <v>0.10237068965517242</v>
      </c>
      <c r="L21" s="1075">
        <f t="shared" si="11"/>
        <v>0</v>
      </c>
      <c r="M21" s="1070" t="s">
        <v>15</v>
      </c>
      <c r="N21" s="1070">
        <f t="shared" si="12"/>
        <v>3.890086206896552</v>
      </c>
      <c r="O21" s="1070">
        <f t="shared" si="13"/>
        <v>0</v>
      </c>
      <c r="AJ21" s="958">
        <v>4</v>
      </c>
      <c r="AK21" s="958" t="s">
        <v>97</v>
      </c>
    </row>
    <row r="22" spans="1:37" ht="14.25" customHeight="1" x14ac:dyDescent="0.3">
      <c r="A22" s="1070" t="s">
        <v>129</v>
      </c>
      <c r="B22" s="1070" t="s">
        <v>95</v>
      </c>
      <c r="C22" s="1071" t="s">
        <v>14</v>
      </c>
      <c r="D22" s="1072">
        <v>0</v>
      </c>
      <c r="E22" s="1073">
        <v>54.13796475295598</v>
      </c>
      <c r="F22" s="1070">
        <v>1</v>
      </c>
      <c r="G22" s="1074">
        <v>1000</v>
      </c>
      <c r="H22" s="1074" t="s">
        <v>45</v>
      </c>
      <c r="I22" s="1074">
        <v>107</v>
      </c>
      <c r="J22" s="1074">
        <f t="shared" si="9"/>
        <v>107</v>
      </c>
      <c r="K22" s="1075">
        <f t="shared" si="10"/>
        <v>5.4137964752955979E-2</v>
      </c>
      <c r="L22" s="1075">
        <f t="shared" si="11"/>
        <v>0</v>
      </c>
      <c r="M22" s="1070" t="s">
        <v>15</v>
      </c>
      <c r="N22" s="1070">
        <f t="shared" si="12"/>
        <v>5.7927622285662901</v>
      </c>
      <c r="O22" s="1070">
        <f t="shared" si="13"/>
        <v>0</v>
      </c>
      <c r="AJ22" s="958">
        <v>4</v>
      </c>
      <c r="AK22" s="958" t="s">
        <v>105</v>
      </c>
    </row>
    <row r="23" spans="1:37" ht="14.25" customHeight="1" x14ac:dyDescent="0.3">
      <c r="A23" s="1070" t="s">
        <v>127</v>
      </c>
      <c r="B23" s="1070" t="s">
        <v>95</v>
      </c>
      <c r="C23" s="1071" t="s">
        <v>14</v>
      </c>
      <c r="D23" s="1072">
        <v>56.505867014341582</v>
      </c>
      <c r="E23" s="1073">
        <v>124.02146023468057</v>
      </c>
      <c r="F23" s="1070">
        <v>1</v>
      </c>
      <c r="G23" s="1074">
        <v>1000</v>
      </c>
      <c r="H23" s="1074" t="s">
        <v>45</v>
      </c>
      <c r="I23" s="1074">
        <v>125</v>
      </c>
      <c r="J23" s="1074">
        <f t="shared" si="9"/>
        <v>125</v>
      </c>
      <c r="K23" s="1075">
        <f t="shared" si="10"/>
        <v>0.12402146023468058</v>
      </c>
      <c r="L23" s="1075">
        <f t="shared" si="11"/>
        <v>5.6505867014341585E-2</v>
      </c>
      <c r="M23" s="1070" t="s">
        <v>15</v>
      </c>
      <c r="N23" s="1070">
        <f t="shared" si="12"/>
        <v>15.502682529335072</v>
      </c>
      <c r="O23" s="1070">
        <f t="shared" si="13"/>
        <v>7.0632333767926978</v>
      </c>
      <c r="AJ23" s="958">
        <v>4</v>
      </c>
      <c r="AK23" s="958" t="s">
        <v>865</v>
      </c>
    </row>
    <row r="24" spans="1:37" ht="14.25" customHeight="1" x14ac:dyDescent="0.3">
      <c r="A24" s="1070" t="s">
        <v>123</v>
      </c>
      <c r="B24" s="1070" t="s">
        <v>95</v>
      </c>
      <c r="C24" s="1071" t="s">
        <v>14</v>
      </c>
      <c r="D24" s="1072">
        <v>45.195368609734892</v>
      </c>
      <c r="E24" s="1073">
        <v>84.277806680139065</v>
      </c>
      <c r="F24" s="1070">
        <v>1</v>
      </c>
      <c r="G24" s="1074">
        <v>1000</v>
      </c>
      <c r="H24" s="1074" t="s">
        <v>45</v>
      </c>
      <c r="I24" s="1074">
        <v>14</v>
      </c>
      <c r="J24" s="1074">
        <f t="shared" si="9"/>
        <v>14</v>
      </c>
      <c r="K24" s="1075">
        <f t="shared" si="10"/>
        <v>8.4277806680139067E-2</v>
      </c>
      <c r="L24" s="1075">
        <f t="shared" si="11"/>
        <v>4.5195368609734894E-2</v>
      </c>
      <c r="M24" s="1070" t="s">
        <v>15</v>
      </c>
      <c r="N24" s="1070">
        <f t="shared" si="12"/>
        <v>1.1798892935219469</v>
      </c>
      <c r="O24" s="1070">
        <f t="shared" si="13"/>
        <v>0.63273516053628853</v>
      </c>
      <c r="AJ24" s="958">
        <v>4</v>
      </c>
      <c r="AK24" s="958" t="s">
        <v>495</v>
      </c>
    </row>
    <row r="25" spans="1:37" ht="14.25" customHeight="1" x14ac:dyDescent="0.3">
      <c r="A25" s="1070" t="s">
        <v>125</v>
      </c>
      <c r="B25" s="1070" t="s">
        <v>95</v>
      </c>
      <c r="C25" s="1071" t="s">
        <v>14</v>
      </c>
      <c r="D25" s="1072">
        <v>0</v>
      </c>
      <c r="E25" s="1073">
        <v>61.010430247718368</v>
      </c>
      <c r="F25" s="1070">
        <v>1</v>
      </c>
      <c r="G25" s="1074">
        <v>1000</v>
      </c>
      <c r="H25" s="1074" t="s">
        <v>45</v>
      </c>
      <c r="I25" s="1074">
        <v>37</v>
      </c>
      <c r="J25" s="1074">
        <f t="shared" si="9"/>
        <v>37</v>
      </c>
      <c r="K25" s="1075">
        <f t="shared" si="10"/>
        <v>6.1010430247718371E-2</v>
      </c>
      <c r="L25" s="1075">
        <f t="shared" si="11"/>
        <v>0</v>
      </c>
      <c r="M25" s="1070" t="s">
        <v>15</v>
      </c>
      <c r="N25" s="1070">
        <f t="shared" si="12"/>
        <v>2.2573859191655798</v>
      </c>
      <c r="O25" s="1070">
        <f t="shared" si="13"/>
        <v>0</v>
      </c>
      <c r="AJ25" s="958">
        <v>4</v>
      </c>
      <c r="AK25" s="958" t="s">
        <v>118</v>
      </c>
    </row>
    <row r="26" spans="1:37" ht="14.25" customHeight="1" x14ac:dyDescent="0.3">
      <c r="A26" s="1070" t="s">
        <v>108</v>
      </c>
      <c r="B26" s="1070" t="s">
        <v>95</v>
      </c>
      <c r="C26" s="1071" t="s">
        <v>14</v>
      </c>
      <c r="D26" s="1072">
        <v>429.37956534148566</v>
      </c>
      <c r="E26" s="1073">
        <v>2435.3696031061754</v>
      </c>
      <c r="F26" s="1070">
        <v>1</v>
      </c>
      <c r="G26" s="1074">
        <v>1000</v>
      </c>
      <c r="H26" s="1074" t="s">
        <v>45</v>
      </c>
      <c r="I26" s="1074">
        <v>8</v>
      </c>
      <c r="J26" s="1074">
        <f t="shared" si="9"/>
        <v>8</v>
      </c>
      <c r="K26" s="1075">
        <f t="shared" si="10"/>
        <v>2.4353696031061753</v>
      </c>
      <c r="L26" s="1075">
        <f t="shared" si="11"/>
        <v>0.42937956534148564</v>
      </c>
      <c r="M26" s="1070" t="s">
        <v>15</v>
      </c>
      <c r="N26" s="1070">
        <f t="shared" si="12"/>
        <v>19.482956824849403</v>
      </c>
      <c r="O26" s="1070">
        <f t="shared" si="13"/>
        <v>3.4350365227318851</v>
      </c>
      <c r="AJ26" s="958">
        <v>5</v>
      </c>
      <c r="AK26" s="958" t="s">
        <v>124</v>
      </c>
    </row>
    <row r="27" spans="1:37" ht="14.25" customHeight="1" x14ac:dyDescent="0.3">
      <c r="A27" s="1070" t="s">
        <v>106</v>
      </c>
      <c r="B27" s="1070" t="s">
        <v>95</v>
      </c>
      <c r="C27" s="1071" t="s">
        <v>14</v>
      </c>
      <c r="D27" s="1072">
        <v>825.40213779413909</v>
      </c>
      <c r="E27" s="1073">
        <v>3493.7448279621649</v>
      </c>
      <c r="F27" s="1070">
        <v>1</v>
      </c>
      <c r="G27" s="1074">
        <v>1000</v>
      </c>
      <c r="H27" s="1074" t="s">
        <v>45</v>
      </c>
      <c r="I27" s="1074">
        <v>15</v>
      </c>
      <c r="J27" s="1074">
        <f t="shared" si="9"/>
        <v>15</v>
      </c>
      <c r="K27" s="1075">
        <f t="shared" si="10"/>
        <v>3.493744827962165</v>
      </c>
      <c r="L27" s="1075">
        <f t="shared" si="11"/>
        <v>0.82540213779413907</v>
      </c>
      <c r="M27" s="1070" t="s">
        <v>15</v>
      </c>
      <c r="N27" s="1070">
        <f t="shared" si="12"/>
        <v>52.406172419432473</v>
      </c>
      <c r="O27" s="1070">
        <f t="shared" si="13"/>
        <v>12.381032066912086</v>
      </c>
      <c r="AJ27" s="958">
        <v>5</v>
      </c>
      <c r="AK27" s="958" t="s">
        <v>126</v>
      </c>
    </row>
    <row r="28" spans="1:37" ht="14.25" customHeight="1" x14ac:dyDescent="0.3">
      <c r="A28" s="1070" t="s">
        <v>109</v>
      </c>
      <c r="B28" s="1070" t="s">
        <v>95</v>
      </c>
      <c r="C28" s="1071" t="s">
        <v>14</v>
      </c>
      <c r="D28" s="1072">
        <v>0</v>
      </c>
      <c r="E28" s="1073">
        <v>484.94132985658405</v>
      </c>
      <c r="F28" s="1070">
        <v>1</v>
      </c>
      <c r="G28" s="1074">
        <v>1000</v>
      </c>
      <c r="H28" s="1074" t="s">
        <v>45</v>
      </c>
      <c r="I28" s="1074">
        <v>26.5</v>
      </c>
      <c r="J28" s="1074">
        <f t="shared" si="9"/>
        <v>26.5</v>
      </c>
      <c r="K28" s="1075">
        <f t="shared" si="10"/>
        <v>0.48494132985658406</v>
      </c>
      <c r="L28" s="1075">
        <f t="shared" si="11"/>
        <v>0</v>
      </c>
      <c r="M28" s="1070" t="s">
        <v>15</v>
      </c>
      <c r="N28" s="1070">
        <f t="shared" si="12"/>
        <v>12.850945241199478</v>
      </c>
      <c r="O28" s="1070">
        <f t="shared" si="13"/>
        <v>0</v>
      </c>
      <c r="AJ28" s="958">
        <v>5</v>
      </c>
      <c r="AK28" s="958" t="s">
        <v>128</v>
      </c>
    </row>
    <row r="29" spans="1:37" ht="14.25" customHeight="1" x14ac:dyDescent="0.3">
      <c r="A29" s="1070" t="s">
        <v>150</v>
      </c>
      <c r="B29" s="1070" t="s">
        <v>95</v>
      </c>
      <c r="C29" s="1071" t="s">
        <v>14</v>
      </c>
      <c r="D29" s="1072">
        <v>237.33421750663126</v>
      </c>
      <c r="E29" s="1073">
        <v>782.85809018567625</v>
      </c>
      <c r="F29" s="1070">
        <v>1</v>
      </c>
      <c r="G29" s="1074">
        <v>1000</v>
      </c>
      <c r="H29" s="1074" t="s">
        <v>45</v>
      </c>
      <c r="I29" s="1074">
        <v>10</v>
      </c>
      <c r="J29" s="1074">
        <f t="shared" si="9"/>
        <v>10</v>
      </c>
      <c r="K29" s="1075">
        <f t="shared" si="10"/>
        <v>0.7828580901856762</v>
      </c>
      <c r="L29" s="1075">
        <f t="shared" si="11"/>
        <v>0.23733421750663125</v>
      </c>
      <c r="M29" s="1070" t="s">
        <v>15</v>
      </c>
      <c r="N29" s="1070">
        <f t="shared" si="12"/>
        <v>7.8285809018567623</v>
      </c>
      <c r="O29" s="1070">
        <f t="shared" si="13"/>
        <v>2.3733421750663126</v>
      </c>
      <c r="AJ29" s="958">
        <v>5</v>
      </c>
      <c r="AK29" s="958" t="s">
        <v>866</v>
      </c>
    </row>
    <row r="30" spans="1:37" ht="14.25" customHeight="1" x14ac:dyDescent="0.3">
      <c r="A30" s="1070" t="s">
        <v>145</v>
      </c>
      <c r="B30" s="1070" t="s">
        <v>95</v>
      </c>
      <c r="C30" s="1071" t="s">
        <v>14</v>
      </c>
      <c r="D30" s="1072">
        <v>237.33421750663126</v>
      </c>
      <c r="E30" s="1073">
        <v>855.75809018567634</v>
      </c>
      <c r="F30" s="1076">
        <v>1</v>
      </c>
      <c r="G30" s="1074">
        <v>1000</v>
      </c>
      <c r="H30" s="1074" t="s">
        <v>15</v>
      </c>
      <c r="I30" s="1074">
        <v>18</v>
      </c>
      <c r="J30" s="1074">
        <f t="shared" si="9"/>
        <v>18</v>
      </c>
      <c r="K30" s="1075">
        <f t="shared" si="10"/>
        <v>0.85575809018567639</v>
      </c>
      <c r="L30" s="1075">
        <f t="shared" si="11"/>
        <v>0.23733421750663125</v>
      </c>
      <c r="M30" s="1070" t="s">
        <v>15</v>
      </c>
      <c r="N30" s="1070">
        <f t="shared" si="12"/>
        <v>15.403645623342175</v>
      </c>
      <c r="O30" s="1070">
        <f t="shared" si="13"/>
        <v>4.2720159151193622</v>
      </c>
      <c r="AJ30" s="958">
        <v>5</v>
      </c>
      <c r="AK30" s="958" t="s">
        <v>131</v>
      </c>
    </row>
    <row r="31" spans="1:37" ht="14.25" customHeight="1" x14ac:dyDescent="0.3">
      <c r="A31" s="1070" t="s">
        <v>142</v>
      </c>
      <c r="B31" s="1070" t="s">
        <v>95</v>
      </c>
      <c r="C31" s="1071" t="s">
        <v>14</v>
      </c>
      <c r="D31" s="1072">
        <v>0</v>
      </c>
      <c r="E31" s="1073">
        <v>5.75</v>
      </c>
      <c r="F31" s="1076">
        <v>1</v>
      </c>
      <c r="G31" s="1074">
        <v>34</v>
      </c>
      <c r="H31" s="1074" t="s">
        <v>143</v>
      </c>
      <c r="I31" s="1074">
        <v>8.5</v>
      </c>
      <c r="J31" s="1074">
        <f t="shared" si="9"/>
        <v>249.99999999999997</v>
      </c>
      <c r="K31" s="1075">
        <f t="shared" si="10"/>
        <v>0.16911764705882354</v>
      </c>
      <c r="L31" s="1075">
        <f t="shared" si="11"/>
        <v>0</v>
      </c>
      <c r="M31" s="1070" t="s">
        <v>15</v>
      </c>
      <c r="N31" s="1070">
        <f t="shared" si="12"/>
        <v>1.4375</v>
      </c>
      <c r="O31" s="1070">
        <f t="shared" si="13"/>
        <v>0</v>
      </c>
      <c r="AJ31" s="958">
        <v>5</v>
      </c>
      <c r="AK31" s="958" t="s">
        <v>133</v>
      </c>
    </row>
    <row r="32" spans="1:37" ht="14.25" customHeight="1" x14ac:dyDescent="0.3">
      <c r="A32" s="1070" t="s">
        <v>759</v>
      </c>
      <c r="B32" s="1070" t="s">
        <v>95</v>
      </c>
      <c r="C32" s="1071" t="s">
        <v>14</v>
      </c>
      <c r="D32" s="1072">
        <v>56.505867014341582</v>
      </c>
      <c r="E32" s="1073">
        <v>90.263663624511082</v>
      </c>
      <c r="F32" s="1076">
        <v>1</v>
      </c>
      <c r="G32" s="1074">
        <v>50</v>
      </c>
      <c r="H32" s="1074" t="s">
        <v>134</v>
      </c>
      <c r="I32" s="1074">
        <v>2.6</v>
      </c>
      <c r="J32" s="1074">
        <f t="shared" si="9"/>
        <v>52</v>
      </c>
      <c r="K32" s="1075">
        <f t="shared" si="10"/>
        <v>1.8052732724902216</v>
      </c>
      <c r="L32" s="1075">
        <f t="shared" si="11"/>
        <v>1.1301173402868316</v>
      </c>
      <c r="M32" s="1070" t="s">
        <v>15</v>
      </c>
      <c r="N32" s="1070">
        <f t="shared" si="12"/>
        <v>4.6937105084745765</v>
      </c>
      <c r="O32" s="1070">
        <f t="shared" si="13"/>
        <v>2.9383050847457626</v>
      </c>
      <c r="AJ32" s="958">
        <v>6</v>
      </c>
      <c r="AK32" s="958" t="s">
        <v>149</v>
      </c>
    </row>
    <row r="33" spans="1:37" ht="14.25" customHeight="1" x14ac:dyDescent="0.3">
      <c r="A33" s="1070" t="s">
        <v>111</v>
      </c>
      <c r="B33" s="1070" t="s">
        <v>95</v>
      </c>
      <c r="C33" s="1071" t="s">
        <v>14</v>
      </c>
      <c r="D33" s="1072">
        <v>189.92307946762276</v>
      </c>
      <c r="E33" s="1073">
        <v>291.42936555441736</v>
      </c>
      <c r="F33" s="1070">
        <v>1</v>
      </c>
      <c r="G33" s="1074">
        <v>2724</v>
      </c>
      <c r="H33" s="1074" t="s">
        <v>112</v>
      </c>
      <c r="I33" s="1074">
        <v>175</v>
      </c>
      <c r="J33" s="1074">
        <f t="shared" si="9"/>
        <v>64.243759177679877</v>
      </c>
      <c r="K33" s="1075">
        <f t="shared" si="10"/>
        <v>0.10698581701704014</v>
      </c>
      <c r="L33" s="1075">
        <f t="shared" si="11"/>
        <v>6.9722129026293225E-2</v>
      </c>
      <c r="M33" s="1070" t="s">
        <v>15</v>
      </c>
      <c r="N33" s="1070">
        <f t="shared" si="12"/>
        <v>18.722517977982026</v>
      </c>
      <c r="O33" s="1070">
        <f t="shared" si="13"/>
        <v>12.201372579601314</v>
      </c>
      <c r="AJ33" s="958">
        <v>6</v>
      </c>
      <c r="AK33" s="958" t="s">
        <v>151</v>
      </c>
    </row>
    <row r="34" spans="1:37" ht="14.25" customHeight="1" x14ac:dyDescent="0.3">
      <c r="A34" s="1070" t="s">
        <v>114</v>
      </c>
      <c r="B34" s="1070" t="s">
        <v>95</v>
      </c>
      <c r="C34" s="1071" t="s">
        <v>14</v>
      </c>
      <c r="D34" s="1072">
        <v>124.26628242285962</v>
      </c>
      <c r="E34" s="1073">
        <v>393.32277974786069</v>
      </c>
      <c r="F34" s="1070">
        <v>1</v>
      </c>
      <c r="G34" s="1074">
        <v>1000</v>
      </c>
      <c r="H34" s="1074" t="s">
        <v>45</v>
      </c>
      <c r="I34" s="1074">
        <v>20</v>
      </c>
      <c r="J34" s="1074">
        <f t="shared" si="9"/>
        <v>20</v>
      </c>
      <c r="K34" s="1075">
        <f t="shared" si="10"/>
        <v>0.39332277974786067</v>
      </c>
      <c r="L34" s="1075">
        <f t="shared" si="11"/>
        <v>0.12426628242285961</v>
      </c>
      <c r="M34" s="1070" t="s">
        <v>15</v>
      </c>
      <c r="N34" s="1070">
        <f t="shared" si="12"/>
        <v>7.8664555949572135</v>
      </c>
      <c r="O34" s="1070">
        <f t="shared" si="13"/>
        <v>2.4853256484571924</v>
      </c>
      <c r="AJ34" s="958">
        <v>6</v>
      </c>
      <c r="AK34" s="958" t="s">
        <v>152</v>
      </c>
    </row>
    <row r="35" spans="1:37" ht="14.25" customHeight="1" x14ac:dyDescent="0.3">
      <c r="A35" s="1070" t="s">
        <v>94</v>
      </c>
      <c r="B35" s="1070" t="s">
        <v>95</v>
      </c>
      <c r="C35" s="1071" t="s">
        <v>14</v>
      </c>
      <c r="D35" s="1072">
        <v>287.56944545209393</v>
      </c>
      <c r="E35" s="1073">
        <v>1401.5692676539813</v>
      </c>
      <c r="F35" s="1070">
        <v>1</v>
      </c>
      <c r="G35" s="1074">
        <v>50000</v>
      </c>
      <c r="H35" s="1074" t="s">
        <v>96</v>
      </c>
      <c r="I35" s="1074">
        <v>37</v>
      </c>
      <c r="J35" s="1074">
        <f t="shared" si="9"/>
        <v>0.74</v>
      </c>
      <c r="K35" s="1075">
        <f t="shared" si="10"/>
        <v>2.8031385353079627E-2</v>
      </c>
      <c r="L35" s="1075">
        <f t="shared" si="11"/>
        <v>5.7513889090418787E-3</v>
      </c>
      <c r="M35" s="1070" t="s">
        <v>15</v>
      </c>
      <c r="N35" s="1070">
        <f t="shared" si="12"/>
        <v>1.0371612580639462</v>
      </c>
      <c r="O35" s="1070">
        <f t="shared" si="13"/>
        <v>0.2128013896345495</v>
      </c>
      <c r="AJ35" s="958">
        <v>6</v>
      </c>
      <c r="AK35" s="958" t="s">
        <v>156</v>
      </c>
    </row>
    <row r="36" spans="1:37" ht="14.25" customHeight="1" x14ac:dyDescent="0.3">
      <c r="A36" s="1070" t="s">
        <v>119</v>
      </c>
      <c r="B36" s="1070" t="s">
        <v>95</v>
      </c>
      <c r="C36" s="1071" t="s">
        <v>14</v>
      </c>
      <c r="D36" s="1072">
        <v>350.34595153531444</v>
      </c>
      <c r="E36" s="1073">
        <v>1054.033696443825</v>
      </c>
      <c r="F36" s="1070">
        <v>1</v>
      </c>
      <c r="G36" s="1074">
        <v>1000</v>
      </c>
      <c r="H36" s="1074" t="s">
        <v>45</v>
      </c>
      <c r="I36" s="1074">
        <v>15</v>
      </c>
      <c r="J36" s="1074">
        <f t="shared" si="9"/>
        <v>15</v>
      </c>
      <c r="K36" s="1075">
        <f t="shared" si="10"/>
        <v>1.0540336964438251</v>
      </c>
      <c r="L36" s="1075">
        <f t="shared" si="11"/>
        <v>0.35034595153531445</v>
      </c>
      <c r="M36" s="1070" t="s">
        <v>15</v>
      </c>
      <c r="N36" s="1070">
        <f t="shared" si="12"/>
        <v>15.810505446657375</v>
      </c>
      <c r="O36" s="1070">
        <f t="shared" si="13"/>
        <v>5.2551892730297167</v>
      </c>
      <c r="AJ36" s="958">
        <v>6</v>
      </c>
      <c r="AK36" s="958" t="s">
        <v>159</v>
      </c>
    </row>
    <row r="37" spans="1:37" ht="14.25" customHeight="1" x14ac:dyDescent="0.3">
      <c r="A37" s="1070" t="s">
        <v>102</v>
      </c>
      <c r="B37" s="1070" t="s">
        <v>95</v>
      </c>
      <c r="C37" s="1071" t="s">
        <v>14</v>
      </c>
      <c r="D37" s="1072">
        <v>0</v>
      </c>
      <c r="E37" s="1073">
        <v>46.870689655172413</v>
      </c>
      <c r="F37" s="1070">
        <v>1</v>
      </c>
      <c r="G37" s="1074">
        <v>1000</v>
      </c>
      <c r="H37" s="1074" t="s">
        <v>45</v>
      </c>
      <c r="I37" s="1074">
        <v>47</v>
      </c>
      <c r="J37" s="1074">
        <f t="shared" si="9"/>
        <v>47</v>
      </c>
      <c r="K37" s="1075">
        <f t="shared" si="10"/>
        <v>4.6870689655172409E-2</v>
      </c>
      <c r="L37" s="1075">
        <f t="shared" si="11"/>
        <v>0</v>
      </c>
      <c r="M37" s="1070" t="s">
        <v>15</v>
      </c>
      <c r="N37" s="1070">
        <f t="shared" si="12"/>
        <v>2.2029224137931034</v>
      </c>
      <c r="O37" s="1070">
        <f t="shared" si="13"/>
        <v>0</v>
      </c>
    </row>
    <row r="38" spans="1:37" ht="14.25" customHeight="1" x14ac:dyDescent="0.3">
      <c r="G38" s="1002"/>
      <c r="H38" s="1002"/>
      <c r="I38" s="1002"/>
      <c r="J38" s="1002"/>
    </row>
    <row r="39" spans="1:37" ht="14.25" customHeight="1" x14ac:dyDescent="0.3">
      <c r="A39" s="1077" t="s">
        <v>216</v>
      </c>
      <c r="B39" s="1078" t="s">
        <v>215</v>
      </c>
      <c r="C39" s="1079" t="s">
        <v>14</v>
      </c>
      <c r="D39" s="1080">
        <v>11.301173402868317</v>
      </c>
      <c r="E39" s="1081">
        <v>222.04985959627749</v>
      </c>
      <c r="F39" s="1077">
        <v>1</v>
      </c>
      <c r="G39" s="1082">
        <v>100</v>
      </c>
      <c r="H39" s="1082" t="s">
        <v>766</v>
      </c>
      <c r="I39" s="1082">
        <v>3.5</v>
      </c>
      <c r="J39" s="1082">
        <f>I39/(G39/1000)</f>
        <v>35</v>
      </c>
      <c r="K39" s="1083">
        <f>(E39/F39)/G39</f>
        <v>2.2204985959627748</v>
      </c>
      <c r="L39" s="1083">
        <f>(D39/F39)/G39</f>
        <v>0.11301173402868317</v>
      </c>
      <c r="M39" s="1077" t="s">
        <v>15</v>
      </c>
      <c r="N39" s="1077">
        <f>K39*I39</f>
        <v>7.7717450858697115</v>
      </c>
      <c r="O39" s="1077">
        <f>L39*I39</f>
        <v>0.39554106910039111</v>
      </c>
    </row>
    <row r="40" spans="1:37" ht="14.25" customHeight="1" x14ac:dyDescent="0.3">
      <c r="A40" s="1402" t="s">
        <v>877</v>
      </c>
      <c r="B40" s="1078" t="s">
        <v>215</v>
      </c>
      <c r="C40" s="1079" t="s">
        <v>14</v>
      </c>
      <c r="D40" s="1080">
        <v>26.873414125423725</v>
      </c>
      <c r="E40" s="1081">
        <v>147.43679874080831</v>
      </c>
      <c r="F40" s="1077">
        <v>1</v>
      </c>
      <c r="G40" s="1082">
        <v>100</v>
      </c>
      <c r="H40" s="1082" t="s">
        <v>766</v>
      </c>
      <c r="I40" s="1082">
        <v>2.25</v>
      </c>
      <c r="J40" s="1082">
        <f>I40/(G40/1000)</f>
        <v>22.5</v>
      </c>
      <c r="K40" s="1083">
        <f>(E40/F40)/G40</f>
        <v>1.4743679874080831</v>
      </c>
      <c r="L40" s="1083">
        <f>(D40/F40)/G40</f>
        <v>0.26873414125423722</v>
      </c>
      <c r="M40" s="1077" t="s">
        <v>15</v>
      </c>
      <c r="N40" s="1077">
        <f>K40*I40</f>
        <v>3.3173279716681869</v>
      </c>
      <c r="O40" s="1077">
        <f>L40*I40</f>
        <v>0.6046518178220337</v>
      </c>
    </row>
    <row r="41" spans="1:37" ht="14.25" customHeight="1" x14ac:dyDescent="0.3"/>
    <row r="42" spans="1:37" ht="14.25" customHeight="1" x14ac:dyDescent="0.3">
      <c r="A42" s="73" t="s">
        <v>190</v>
      </c>
      <c r="B42" s="15" t="s">
        <v>188</v>
      </c>
      <c r="C42" s="74" t="s">
        <v>14</v>
      </c>
      <c r="D42" s="75">
        <v>0</v>
      </c>
      <c r="E42" s="76">
        <v>291.59999999999997</v>
      </c>
      <c r="F42" s="73">
        <v>1</v>
      </c>
      <c r="G42" s="16">
        <v>12000</v>
      </c>
      <c r="H42" s="16" t="s">
        <v>781</v>
      </c>
      <c r="I42" s="16">
        <v>102</v>
      </c>
      <c r="J42" s="16">
        <f>I42/(G42/1000)</f>
        <v>8.5</v>
      </c>
      <c r="K42" s="77">
        <f>(E42/F42)/G42</f>
        <v>2.4299999999999999E-2</v>
      </c>
      <c r="L42" s="77">
        <f>(D42/F42)/G42</f>
        <v>0</v>
      </c>
      <c r="M42" s="73" t="s">
        <v>15</v>
      </c>
      <c r="N42" s="73">
        <f>K42*I42</f>
        <v>2.4785999999999997</v>
      </c>
      <c r="O42" s="73">
        <f>L42*I42</f>
        <v>0</v>
      </c>
    </row>
    <row r="43" spans="1:37" ht="14.25" customHeight="1" x14ac:dyDescent="0.3"/>
    <row r="44" spans="1:37" ht="14.25" customHeight="1" x14ac:dyDescent="0.3">
      <c r="A44" s="36" t="s">
        <v>185</v>
      </c>
      <c r="B44" s="36" t="s">
        <v>182</v>
      </c>
      <c r="C44" s="68" t="s">
        <v>14</v>
      </c>
      <c r="D44" s="69">
        <v>0</v>
      </c>
      <c r="E44" s="70">
        <v>194.57627118644066</v>
      </c>
      <c r="F44" s="71">
        <v>1</v>
      </c>
      <c r="G44" s="69">
        <f>4*2000</f>
        <v>8000</v>
      </c>
      <c r="H44" s="69" t="s">
        <v>778</v>
      </c>
      <c r="I44" s="69">
        <v>136</v>
      </c>
      <c r="J44" s="69">
        <f>I44/(G44/1000)</f>
        <v>17</v>
      </c>
      <c r="K44" s="72">
        <f>(E44/F44)/G44</f>
        <v>2.4322033898305083E-2</v>
      </c>
      <c r="L44" s="72">
        <f>(D44/F44)/G44</f>
        <v>0</v>
      </c>
      <c r="M44" s="71" t="s">
        <v>15</v>
      </c>
      <c r="N44" s="71">
        <f>K44*I44</f>
        <v>3.3077966101694911</v>
      </c>
      <c r="O44" s="71">
        <f>L44*I44</f>
        <v>0</v>
      </c>
    </row>
    <row r="45" spans="1:37" ht="14.25" customHeight="1" x14ac:dyDescent="0.3"/>
    <row r="46" spans="1:37" ht="14.25" customHeight="1" x14ac:dyDescent="0.3">
      <c r="A46" s="1090" t="s">
        <v>80</v>
      </c>
      <c r="B46" s="1090" t="s">
        <v>81</v>
      </c>
      <c r="C46" s="1091" t="s">
        <v>14</v>
      </c>
      <c r="D46" s="1092">
        <v>0</v>
      </c>
      <c r="E46" s="1093">
        <v>58.372881355932201</v>
      </c>
      <c r="F46" s="1090">
        <v>1</v>
      </c>
      <c r="G46" s="1091">
        <v>1000</v>
      </c>
      <c r="H46" s="1091" t="s">
        <v>45</v>
      </c>
      <c r="I46" s="1091">
        <v>7</v>
      </c>
      <c r="J46" s="1091">
        <f>I46*(G46/1000)</f>
        <v>7</v>
      </c>
      <c r="K46" s="1094">
        <f>(E46/F46)/G46</f>
        <v>5.8372881355932202E-2</v>
      </c>
      <c r="L46" s="1094">
        <f>(D46/F46)/G46</f>
        <v>0</v>
      </c>
      <c r="M46" s="1090" t="s">
        <v>15</v>
      </c>
      <c r="N46" s="1090">
        <f>K46*I46</f>
        <v>0.4086101694915254</v>
      </c>
      <c r="O46" s="1090">
        <f>L46*I46</f>
        <v>0</v>
      </c>
    </row>
    <row r="47" spans="1:37" ht="14.25" customHeight="1" x14ac:dyDescent="0.3"/>
    <row r="48" spans="1:37" x14ac:dyDescent="0.3">
      <c r="G48" s="1002"/>
      <c r="H48" s="1002"/>
      <c r="I48" s="1002"/>
      <c r="J48" s="1002"/>
    </row>
    <row r="49" spans="1:15" ht="14.25" customHeight="1" x14ac:dyDescent="0.3">
      <c r="A49" s="1084" t="s">
        <v>765</v>
      </c>
      <c r="B49" s="1084" t="s">
        <v>13</v>
      </c>
      <c r="C49" s="1085" t="s">
        <v>14</v>
      </c>
      <c r="D49" s="1086">
        <v>0</v>
      </c>
      <c r="E49" s="1087">
        <v>19.457627118644069</v>
      </c>
      <c r="F49" s="1084">
        <v>0.52</v>
      </c>
      <c r="G49" s="1088">
        <v>100</v>
      </c>
      <c r="H49" s="1088" t="s">
        <v>67</v>
      </c>
      <c r="I49" s="1088">
        <v>10</v>
      </c>
      <c r="J49" s="1088">
        <f t="shared" ref="J49:J61" si="14">I49/(G49/1000)</f>
        <v>100</v>
      </c>
      <c r="K49" s="1089">
        <f>(E49/F49)/G49</f>
        <v>0.37418513689700134</v>
      </c>
      <c r="L49" s="1107">
        <f>(D49/F49)/G49</f>
        <v>0</v>
      </c>
      <c r="M49" s="1084" t="s">
        <v>42</v>
      </c>
      <c r="N49" s="1084">
        <f>K49*I49</f>
        <v>3.7418513689700132</v>
      </c>
      <c r="O49" s="1084">
        <v>0</v>
      </c>
    </row>
    <row r="50" spans="1:15" ht="14.25" customHeight="1" x14ac:dyDescent="0.3">
      <c r="A50" s="1084" t="s">
        <v>61</v>
      </c>
      <c r="B50" s="1084" t="s">
        <v>13</v>
      </c>
      <c r="C50" s="1085" t="s">
        <v>14</v>
      </c>
      <c r="D50" s="1086">
        <v>0</v>
      </c>
      <c r="E50" s="1087">
        <v>47.741379310344826</v>
      </c>
      <c r="F50" s="1084">
        <v>0.94</v>
      </c>
      <c r="G50" s="1088">
        <v>825</v>
      </c>
      <c r="H50" s="1088" t="s">
        <v>63</v>
      </c>
      <c r="I50" s="1088">
        <v>3</v>
      </c>
      <c r="J50" s="1088">
        <v>3.6363636363636367</v>
      </c>
      <c r="K50" s="1089">
        <f>(E50/F50)/G50</f>
        <v>6.1562062295738011E-2</v>
      </c>
      <c r="L50" s="1107">
        <f t="shared" ref="L50:L61" si="15">(D50/F50)/G50</f>
        <v>0</v>
      </c>
      <c r="M50" s="1084" t="s">
        <v>42</v>
      </c>
      <c r="N50" s="1084">
        <f>K50*I50</f>
        <v>0.18468618688721403</v>
      </c>
      <c r="O50" s="1084">
        <f>L50*I50</f>
        <v>0</v>
      </c>
    </row>
    <row r="51" spans="1:15" ht="14.25" customHeight="1" x14ac:dyDescent="0.3">
      <c r="A51" s="1084" t="s">
        <v>76</v>
      </c>
      <c r="B51" s="1084" t="s">
        <v>13</v>
      </c>
      <c r="C51" s="1085" t="s">
        <v>14</v>
      </c>
      <c r="D51" s="1086">
        <v>0</v>
      </c>
      <c r="E51" s="1087">
        <v>30.267275097783568</v>
      </c>
      <c r="F51" s="1084">
        <v>1</v>
      </c>
      <c r="G51" s="1088">
        <v>100</v>
      </c>
      <c r="H51" s="1088" t="s">
        <v>67</v>
      </c>
      <c r="I51" s="1088">
        <v>9</v>
      </c>
      <c r="J51" s="1088">
        <f t="shared" si="14"/>
        <v>90</v>
      </c>
      <c r="K51" s="1089">
        <v>2.2718383311603644E-2</v>
      </c>
      <c r="L51" s="1107">
        <f t="shared" si="15"/>
        <v>0</v>
      </c>
      <c r="M51" s="1084" t="s">
        <v>42</v>
      </c>
      <c r="N51" s="1084">
        <f t="shared" ref="N51:N61" si="16">K51*I51</f>
        <v>0.20446544980443279</v>
      </c>
      <c r="O51" s="1084">
        <v>0</v>
      </c>
    </row>
    <row r="52" spans="1:15" ht="14" customHeight="1" x14ac:dyDescent="0.3">
      <c r="A52" s="1084" t="s">
        <v>763</v>
      </c>
      <c r="B52" s="1084" t="s">
        <v>13</v>
      </c>
      <c r="C52" s="1085" t="s">
        <v>14</v>
      </c>
      <c r="D52" s="1086">
        <v>0</v>
      </c>
      <c r="E52" s="1087">
        <v>238.70689655172416</v>
      </c>
      <c r="F52" s="1084">
        <v>1</v>
      </c>
      <c r="G52" s="1088">
        <v>135</v>
      </c>
      <c r="H52" s="1088" t="s">
        <v>52</v>
      </c>
      <c r="I52" s="1088">
        <v>5.5</v>
      </c>
      <c r="J52" s="1088">
        <f t="shared" si="14"/>
        <v>40.74074074074074</v>
      </c>
      <c r="K52" s="1089">
        <f t="shared" ref="K52:K61" si="17">(E52/F52)/G52</f>
        <v>1.7681992337164751</v>
      </c>
      <c r="L52" s="1107">
        <f t="shared" si="15"/>
        <v>0</v>
      </c>
      <c r="M52" s="1084" t="s">
        <v>37</v>
      </c>
      <c r="N52" s="1084">
        <f t="shared" si="16"/>
        <v>9.7250957854406135</v>
      </c>
      <c r="O52" s="1084">
        <f>L52*I52</f>
        <v>0</v>
      </c>
    </row>
    <row r="53" spans="1:15" ht="14.25" customHeight="1" x14ac:dyDescent="0.3">
      <c r="A53" s="1084" t="s">
        <v>792</v>
      </c>
      <c r="B53" s="1084" t="s">
        <v>13</v>
      </c>
      <c r="C53" s="1085" t="s">
        <v>14</v>
      </c>
      <c r="D53" s="1086">
        <v>0</v>
      </c>
      <c r="E53" s="1087">
        <v>19.457627118644069</v>
      </c>
      <c r="F53" s="1084">
        <v>0.7</v>
      </c>
      <c r="G53" s="1088">
        <v>100</v>
      </c>
      <c r="H53" s="1088" t="s">
        <v>67</v>
      </c>
      <c r="I53" s="1088">
        <v>9</v>
      </c>
      <c r="J53" s="1088">
        <f t="shared" si="14"/>
        <v>90</v>
      </c>
      <c r="K53" s="1089">
        <f t="shared" si="17"/>
        <v>0.27796610169491531</v>
      </c>
      <c r="L53" s="1107">
        <f t="shared" si="15"/>
        <v>0</v>
      </c>
      <c r="M53" s="1084" t="s">
        <v>42</v>
      </c>
      <c r="N53" s="1084">
        <f t="shared" si="16"/>
        <v>2.5016949152542378</v>
      </c>
      <c r="O53" s="1084">
        <v>0</v>
      </c>
    </row>
    <row r="54" spans="1:15" ht="14.25" customHeight="1" x14ac:dyDescent="0.3">
      <c r="A54" s="1084" t="s">
        <v>764</v>
      </c>
      <c r="B54" s="1084" t="s">
        <v>13</v>
      </c>
      <c r="C54" s="1085" t="s">
        <v>14</v>
      </c>
      <c r="D54" s="1086">
        <v>0</v>
      </c>
      <c r="E54" s="1087">
        <v>61.915254237288138</v>
      </c>
      <c r="F54" s="1084">
        <v>0.5</v>
      </c>
      <c r="G54" s="1088">
        <v>100</v>
      </c>
      <c r="H54" s="1088" t="s">
        <v>67</v>
      </c>
      <c r="I54" s="1088">
        <v>9</v>
      </c>
      <c r="J54" s="1088">
        <f t="shared" si="14"/>
        <v>90</v>
      </c>
      <c r="K54" s="1089">
        <f t="shared" si="17"/>
        <v>1.2383050847457628</v>
      </c>
      <c r="L54" s="1107">
        <f t="shared" si="15"/>
        <v>0</v>
      </c>
      <c r="M54" s="1084" t="s">
        <v>42</v>
      </c>
      <c r="N54" s="1084">
        <f t="shared" si="16"/>
        <v>11.144745762711866</v>
      </c>
      <c r="O54" s="1084">
        <v>0</v>
      </c>
    </row>
    <row r="55" spans="1:15" ht="14.25" customHeight="1" x14ac:dyDescent="0.3">
      <c r="A55" s="1084" t="s">
        <v>762</v>
      </c>
      <c r="B55" s="1084" t="s">
        <v>13</v>
      </c>
      <c r="C55" s="1085" t="s">
        <v>14</v>
      </c>
      <c r="D55" s="1086">
        <v>3306.9941895204984</v>
      </c>
      <c r="E55" s="1087">
        <v>22928.083378104002</v>
      </c>
      <c r="F55" s="1084">
        <v>1</v>
      </c>
      <c r="G55" s="1088">
        <v>1000</v>
      </c>
      <c r="H55" s="1088" t="s">
        <v>45</v>
      </c>
      <c r="I55" s="1088">
        <v>10.5</v>
      </c>
      <c r="J55" s="1088">
        <f t="shared" si="14"/>
        <v>10.5</v>
      </c>
      <c r="K55" s="1089">
        <f t="shared" si="17"/>
        <v>22.928083378104002</v>
      </c>
      <c r="L55" s="1107">
        <f>(D55/F55)/G55</f>
        <v>3.3069941895204984</v>
      </c>
      <c r="M55" s="1084" t="s">
        <v>45</v>
      </c>
      <c r="N55" s="1084">
        <f t="shared" si="16"/>
        <v>240.74487547009201</v>
      </c>
      <c r="O55" s="1084">
        <v>0</v>
      </c>
    </row>
    <row r="56" spans="1:15" ht="14.25" customHeight="1" x14ac:dyDescent="0.3">
      <c r="A56" s="1084" t="s">
        <v>55</v>
      </c>
      <c r="B56" s="1084" t="s">
        <v>13</v>
      </c>
      <c r="C56" s="1085" t="s">
        <v>14</v>
      </c>
      <c r="D56" s="1086">
        <v>2983.176163541455</v>
      </c>
      <c r="E56" s="1087">
        <v>22345.527246161513</v>
      </c>
      <c r="F56" s="1084">
        <v>0.87</v>
      </c>
      <c r="G56" s="1088">
        <v>1000</v>
      </c>
      <c r="H56" s="1088" t="s">
        <v>15</v>
      </c>
      <c r="I56" s="1088">
        <v>3.2</v>
      </c>
      <c r="J56" s="1088">
        <f t="shared" si="14"/>
        <v>3.2</v>
      </c>
      <c r="K56" s="1089">
        <f t="shared" si="17"/>
        <v>25.684514076047716</v>
      </c>
      <c r="L56" s="1107">
        <f>(D56/F56)/G56</f>
        <v>3.4289381190131665</v>
      </c>
      <c r="M56" s="1084" t="s">
        <v>15</v>
      </c>
      <c r="N56" s="1084">
        <f t="shared" si="16"/>
        <v>82.190445043352696</v>
      </c>
      <c r="O56" s="1084">
        <v>0</v>
      </c>
    </row>
    <row r="57" spans="1:15" ht="14.25" customHeight="1" x14ac:dyDescent="0.3">
      <c r="A57" s="1084" t="s">
        <v>34</v>
      </c>
      <c r="B57" s="1084" t="s">
        <v>13</v>
      </c>
      <c r="C57" s="1085" t="s">
        <v>14</v>
      </c>
      <c r="D57" s="1086">
        <v>0</v>
      </c>
      <c r="E57" s="1087">
        <v>167.09482758620689</v>
      </c>
      <c r="F57" s="1084">
        <v>0.86</v>
      </c>
      <c r="G57" s="1088">
        <v>1000</v>
      </c>
      <c r="H57" s="1088" t="s">
        <v>15</v>
      </c>
      <c r="I57" s="1088">
        <v>14</v>
      </c>
      <c r="J57" s="1088">
        <f t="shared" si="14"/>
        <v>14</v>
      </c>
      <c r="K57" s="1089">
        <f t="shared" si="17"/>
        <v>0.19429631114675219</v>
      </c>
      <c r="L57" s="1107">
        <f t="shared" si="15"/>
        <v>0</v>
      </c>
      <c r="M57" s="1084" t="s">
        <v>15</v>
      </c>
      <c r="N57" s="1084">
        <f t="shared" si="16"/>
        <v>2.7201483560545308</v>
      </c>
      <c r="O57" s="1084">
        <f>L57*I57</f>
        <v>0</v>
      </c>
    </row>
    <row r="58" spans="1:15" ht="14.25" customHeight="1" x14ac:dyDescent="0.3">
      <c r="A58" s="1084" t="s">
        <v>789</v>
      </c>
      <c r="B58" s="1084" t="s">
        <v>13</v>
      </c>
      <c r="C58" s="1085" t="s">
        <v>14</v>
      </c>
      <c r="D58" s="1086">
        <v>0</v>
      </c>
      <c r="E58" s="1087">
        <v>6899.9999999999991</v>
      </c>
      <c r="F58" s="1084">
        <v>1</v>
      </c>
      <c r="G58" s="1088">
        <v>250</v>
      </c>
      <c r="H58" s="1088" t="s">
        <v>36</v>
      </c>
      <c r="I58" s="1088">
        <v>5.5</v>
      </c>
      <c r="J58" s="1088">
        <f t="shared" si="14"/>
        <v>22</v>
      </c>
      <c r="K58" s="1089">
        <f t="shared" si="17"/>
        <v>27.599999999999998</v>
      </c>
      <c r="L58" s="1107">
        <f>(D58/F58)/G58</f>
        <v>0</v>
      </c>
      <c r="M58" s="1084" t="s">
        <v>37</v>
      </c>
      <c r="N58" s="1084">
        <f t="shared" si="16"/>
        <v>151.79999999999998</v>
      </c>
      <c r="O58" s="1084">
        <f>L58*I58</f>
        <v>0</v>
      </c>
    </row>
    <row r="59" spans="1:15" ht="14.25" customHeight="1" x14ac:dyDescent="0.3">
      <c r="A59" s="1084" t="s">
        <v>12</v>
      </c>
      <c r="B59" s="1084" t="s">
        <v>13</v>
      </c>
      <c r="C59" s="1085" t="s">
        <v>14</v>
      </c>
      <c r="D59" s="1086">
        <v>0</v>
      </c>
      <c r="E59" s="1087">
        <v>2300</v>
      </c>
      <c r="F59" s="1084">
        <v>0.9</v>
      </c>
      <c r="G59" s="1088">
        <v>1000</v>
      </c>
      <c r="H59" s="1088" t="s">
        <v>15</v>
      </c>
      <c r="I59" s="1088">
        <v>3</v>
      </c>
      <c r="J59" s="1088">
        <f t="shared" si="14"/>
        <v>3</v>
      </c>
      <c r="K59" s="1089">
        <f t="shared" si="17"/>
        <v>2.5555555555555558</v>
      </c>
      <c r="L59" s="1107">
        <f t="shared" si="15"/>
        <v>0</v>
      </c>
      <c r="M59" s="1084" t="s">
        <v>15</v>
      </c>
      <c r="N59" s="1084">
        <f t="shared" si="16"/>
        <v>7.6666666666666679</v>
      </c>
      <c r="O59" s="1084">
        <f>L59*I59</f>
        <v>0</v>
      </c>
    </row>
    <row r="60" spans="1:15" ht="14.25" customHeight="1" x14ac:dyDescent="0.3">
      <c r="A60" s="1084" t="s">
        <v>65</v>
      </c>
      <c r="B60" s="1084" t="s">
        <v>13</v>
      </c>
      <c r="C60" s="1085" t="s">
        <v>14</v>
      </c>
      <c r="D60" s="1086">
        <v>0</v>
      </c>
      <c r="E60" s="1087">
        <v>733.70495256934771</v>
      </c>
      <c r="F60" s="1084">
        <v>0.65</v>
      </c>
      <c r="G60" s="1088">
        <v>905</v>
      </c>
      <c r="H60" s="1088" t="s">
        <v>785</v>
      </c>
      <c r="I60" s="1088">
        <v>3.5</v>
      </c>
      <c r="J60" s="1088">
        <v>3.5</v>
      </c>
      <c r="K60" s="1089">
        <f>(E60/F60)/G60</f>
        <v>1.2472672376869489</v>
      </c>
      <c r="L60" s="1107">
        <f t="shared" si="15"/>
        <v>0</v>
      </c>
      <c r="M60" s="1084" t="s">
        <v>42</v>
      </c>
      <c r="N60" s="1084">
        <f t="shared" si="16"/>
        <v>4.3654353319043215</v>
      </c>
      <c r="O60" s="1084">
        <f>L60*I60</f>
        <v>0</v>
      </c>
    </row>
    <row r="61" spans="1:15" x14ac:dyDescent="0.3">
      <c r="A61" s="1084" t="s">
        <v>791</v>
      </c>
      <c r="B61" s="1084" t="s">
        <v>13</v>
      </c>
      <c r="C61" s="1085" t="s">
        <v>14</v>
      </c>
      <c r="D61" s="1086">
        <v>0</v>
      </c>
      <c r="E61" s="1087">
        <v>38.915254237288138</v>
      </c>
      <c r="F61" s="1084">
        <v>0.74</v>
      </c>
      <c r="G61" s="1088">
        <v>100</v>
      </c>
      <c r="H61" s="1088" t="s">
        <v>790</v>
      </c>
      <c r="I61" s="1088">
        <v>10</v>
      </c>
      <c r="J61" s="1088">
        <f t="shared" si="14"/>
        <v>100</v>
      </c>
      <c r="K61" s="1089">
        <f t="shared" si="17"/>
        <v>0.5258818140174073</v>
      </c>
      <c r="L61" s="1107">
        <f t="shared" si="15"/>
        <v>0</v>
      </c>
      <c r="M61" s="1084" t="s">
        <v>42</v>
      </c>
      <c r="N61" s="1084">
        <f t="shared" si="16"/>
        <v>5.258818140174073</v>
      </c>
      <c r="O61" s="1084">
        <v>0</v>
      </c>
    </row>
    <row r="63" spans="1:15" ht="14.25" customHeight="1" x14ac:dyDescent="0.3"/>
    <row r="64" spans="1:15" ht="14.25" customHeight="1" x14ac:dyDescent="0.3"/>
    <row r="65" ht="14.25" customHeight="1" x14ac:dyDescent="0.3"/>
    <row r="66" ht="14.25" customHeight="1" x14ac:dyDescent="0.3"/>
    <row r="67" ht="14.25" customHeight="1" x14ac:dyDescent="0.3"/>
    <row r="68" ht="14.25" customHeight="1" x14ac:dyDescent="0.3"/>
    <row r="85" spans="1:15" x14ac:dyDescent="0.3">
      <c r="A85" s="66"/>
      <c r="B85" s="66"/>
      <c r="C85" s="1419"/>
      <c r="D85" s="64"/>
      <c r="E85" s="65"/>
      <c r="F85" s="66"/>
      <c r="G85" s="2"/>
      <c r="H85" s="2"/>
      <c r="I85" s="2"/>
      <c r="J85" s="2"/>
      <c r="K85" s="67"/>
      <c r="L85" s="1420"/>
      <c r="M85" s="66"/>
      <c r="N85" s="66"/>
      <c r="O85" s="66"/>
    </row>
    <row r="86" spans="1:15" x14ac:dyDescent="0.3">
      <c r="A86" s="66"/>
      <c r="B86" s="66"/>
      <c r="C86" s="1419"/>
      <c r="D86" s="64"/>
      <c r="E86" s="65"/>
      <c r="F86" s="66"/>
      <c r="G86" s="2"/>
      <c r="H86" s="2"/>
      <c r="I86" s="2"/>
      <c r="J86" s="2"/>
      <c r="K86" s="67"/>
      <c r="L86" s="1420"/>
      <c r="M86" s="66"/>
      <c r="N86" s="66"/>
      <c r="O86" s="66"/>
    </row>
    <row r="87" spans="1:15" x14ac:dyDescent="0.3">
      <c r="A87" s="66"/>
      <c r="B87" s="66"/>
      <c r="C87" s="1419"/>
      <c r="D87" s="64"/>
      <c r="E87" s="65"/>
      <c r="F87" s="66"/>
      <c r="G87" s="2"/>
      <c r="H87" s="2"/>
      <c r="I87" s="2"/>
      <c r="J87" s="2"/>
      <c r="K87" s="67"/>
      <c r="L87" s="1420"/>
      <c r="M87" s="66"/>
      <c r="N87" s="66"/>
      <c r="O87" s="66"/>
    </row>
    <row r="88" spans="1:15" x14ac:dyDescent="0.3">
      <c r="A88" s="66"/>
      <c r="B88" s="66"/>
      <c r="C88" s="1419"/>
      <c r="D88" s="64"/>
      <c r="E88" s="65"/>
      <c r="F88" s="66"/>
      <c r="G88" s="2"/>
      <c r="H88" s="2"/>
      <c r="I88" s="2"/>
      <c r="J88" s="2"/>
      <c r="K88" s="67"/>
      <c r="L88" s="1420"/>
      <c r="M88" s="66"/>
      <c r="N88" s="66"/>
      <c r="O88" s="66"/>
    </row>
  </sheetData>
  <autoFilter ref="A1:O68" xr:uid="{00000000-0001-0000-0100-000000000000}"/>
  <pageMargins left="0.7" right="0.7" top="0.75" bottom="0.75" header="0.511811023622047" footer="0.511811023622047"/>
  <pageSetup paperSize="9" orientation="portrait" horizontalDpi="300" verticalDpi="30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B050"/>
    <pageSetUpPr fitToPage="1"/>
  </sheetPr>
  <dimension ref="A1:AT136"/>
  <sheetViews>
    <sheetView topLeftCell="E1" zoomScale="55" zoomScaleNormal="55" workbookViewId="0">
      <selection activeCell="B22" sqref="B22:L22"/>
    </sheetView>
  </sheetViews>
  <sheetFormatPr defaultColWidth="12.5" defaultRowHeight="14" x14ac:dyDescent="0.3"/>
  <cols>
    <col min="1" max="1" width="12.5" style="78" customWidth="1"/>
    <col min="2" max="2" width="41.0820312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9" width="15.9140625" style="14" customWidth="1"/>
    <col min="10" max="10" width="20.75" style="14" customWidth="1"/>
    <col min="11" max="11" width="12.5" style="14" customWidth="1"/>
    <col min="12" max="12" width="8.33203125" style="14" customWidth="1"/>
    <col min="13" max="14" width="4.83203125" style="14" customWidth="1"/>
    <col min="15" max="17" width="12.5" style="14" customWidth="1"/>
    <col min="18" max="18" width="36.83203125" style="14" customWidth="1"/>
    <col min="19" max="22" width="12.5" style="14" customWidth="1"/>
    <col min="23" max="23" width="12" style="14" customWidth="1"/>
    <col min="24" max="24" width="10.58203125" style="14" bestFit="1" customWidth="1"/>
    <col min="25" max="25" width="15.33203125" style="14" customWidth="1"/>
    <col min="26" max="26" width="13" style="14" bestFit="1" customWidth="1"/>
    <col min="27" max="27" width="12.5" style="14" customWidth="1"/>
    <col min="28" max="28" width="13.4140625" style="14" bestFit="1" customWidth="1"/>
    <col min="29" max="29" width="13.33203125" style="14" bestFit="1" customWidth="1"/>
    <col min="30" max="30" width="10" style="14" bestFit="1" customWidth="1"/>
    <col min="31" max="31" width="11.58203125" style="14" bestFit="1" customWidth="1"/>
    <col min="32" max="32" width="13" style="14" customWidth="1"/>
    <col min="33" max="34" width="4.08203125" style="14" customWidth="1"/>
    <col min="35" max="35" width="17.83203125" style="14" customWidth="1"/>
    <col min="36" max="36" width="30.5" style="14" customWidth="1"/>
    <col min="37" max="37" width="12.5" style="14" customWidth="1"/>
    <col min="38" max="38" width="15.08203125" style="14" customWidth="1"/>
    <col min="39" max="41" width="12.5" style="14"/>
    <col min="42" max="42" width="18.08203125" style="14" customWidth="1"/>
    <col min="43" max="43" width="14.58203125" style="14" bestFit="1" customWidth="1"/>
    <col min="44" max="44" width="21.4140625" style="14" bestFit="1" customWidth="1"/>
    <col min="45" max="16384" width="12.5" style="14"/>
  </cols>
  <sheetData>
    <row r="1" spans="1:46" ht="35.25" customHeight="1" x14ac:dyDescent="0.3">
      <c r="B1" s="79" t="s">
        <v>235</v>
      </c>
      <c r="C1" s="80">
        <v>1000</v>
      </c>
      <c r="D1" s="81" t="s">
        <v>236</v>
      </c>
      <c r="E1" s="82">
        <f>T32</f>
        <v>23444.102564102574</v>
      </c>
      <c r="F1" s="79" t="s">
        <v>237</v>
      </c>
      <c r="G1" s="83">
        <f>E1/1000</f>
        <v>23.444102564102572</v>
      </c>
      <c r="H1" s="79" t="s">
        <v>238</v>
      </c>
      <c r="I1" s="84">
        <f>(G1/K1)</f>
        <v>27.581297134238319</v>
      </c>
      <c r="J1" s="85" t="s">
        <v>239</v>
      </c>
      <c r="K1" s="86">
        <v>0.85</v>
      </c>
      <c r="L1" s="87"/>
      <c r="M1" s="88"/>
      <c r="N1" s="89"/>
      <c r="O1" s="90" t="s">
        <v>240</v>
      </c>
      <c r="P1" s="91" t="s">
        <v>241</v>
      </c>
      <c r="Q1" s="92" t="s">
        <v>242</v>
      </c>
      <c r="R1" s="91">
        <v>0.59</v>
      </c>
      <c r="Y1" s="90" t="s">
        <v>463</v>
      </c>
      <c r="Z1" s="835">
        <v>41560</v>
      </c>
      <c r="AA1" s="90" t="s">
        <v>578</v>
      </c>
      <c r="AB1" s="835">
        <v>0</v>
      </c>
      <c r="AC1" s="90" t="s">
        <v>567</v>
      </c>
      <c r="AD1" s="835">
        <v>282</v>
      </c>
      <c r="AI1" s="78"/>
      <c r="AJ1" s="93" t="s">
        <v>254</v>
      </c>
      <c r="AK1" s="93">
        <v>10000</v>
      </c>
      <c r="AL1" s="623" t="s">
        <v>503</v>
      </c>
      <c r="AM1" s="624">
        <f>$S$32/R1</f>
        <v>54185.136897001292</v>
      </c>
      <c r="AN1" s="93" t="s">
        <v>243</v>
      </c>
      <c r="AO1" s="328">
        <f>((AM1))/$AK$1</f>
        <v>5.4185136897001289</v>
      </c>
      <c r="AP1" s="94"/>
    </row>
    <row r="2" spans="1:46" ht="12.75" customHeight="1" x14ac:dyDescent="0.3">
      <c r="A2" s="96"/>
      <c r="B2" s="97"/>
      <c r="C2" s="97"/>
      <c r="D2" s="97"/>
      <c r="E2" s="97"/>
      <c r="F2" s="1443" t="s">
        <v>244</v>
      </c>
      <c r="G2" s="97"/>
      <c r="H2" s="97"/>
      <c r="I2" s="97"/>
      <c r="J2" s="97"/>
      <c r="K2" s="97"/>
      <c r="L2" s="97"/>
      <c r="M2" s="98"/>
      <c r="N2" s="98"/>
      <c r="O2" s="99"/>
      <c r="P2" s="99"/>
      <c r="Q2" s="99"/>
      <c r="R2" s="99"/>
      <c r="AI2" s="78"/>
      <c r="AJ2" s="100"/>
      <c r="AK2" s="1442" t="s">
        <v>255</v>
      </c>
      <c r="AL2" s="1442"/>
      <c r="AM2" s="1442"/>
      <c r="AN2" s="101"/>
      <c r="AO2" s="100"/>
      <c r="AP2" s="100"/>
    </row>
    <row r="3" spans="1:46" ht="12.75" customHeight="1" x14ac:dyDescent="0.3">
      <c r="A3" s="96"/>
      <c r="B3" s="102"/>
      <c r="C3" s="102"/>
      <c r="D3" s="102"/>
      <c r="E3" s="102"/>
      <c r="F3" s="1444"/>
      <c r="G3" s="102"/>
      <c r="H3" s="102"/>
      <c r="I3" s="102"/>
      <c r="J3" s="102"/>
      <c r="K3" s="102"/>
      <c r="L3" s="102"/>
      <c r="M3" s="99"/>
      <c r="N3" s="99"/>
      <c r="O3" s="99"/>
      <c r="P3" s="99"/>
      <c r="Q3" s="99"/>
      <c r="R3" s="99"/>
      <c r="AI3" s="78"/>
      <c r="AJ3" s="103"/>
      <c r="AK3" s="103"/>
      <c r="AL3" s="104"/>
      <c r="AM3" s="104"/>
      <c r="AN3" s="104"/>
      <c r="AO3" s="103"/>
      <c r="AP3" s="103"/>
    </row>
    <row r="4" spans="1:46" ht="78" customHeight="1" x14ac:dyDescent="0.3">
      <c r="A4" s="105" t="s">
        <v>1</v>
      </c>
      <c r="B4" s="90" t="s">
        <v>245</v>
      </c>
      <c r="C4" s="106" t="s">
        <v>246</v>
      </c>
      <c r="D4" s="90" t="s">
        <v>235</v>
      </c>
      <c r="E4" s="107" t="s">
        <v>238</v>
      </c>
      <c r="F4" s="107" t="s">
        <v>247</v>
      </c>
      <c r="G4" s="90" t="s">
        <v>248</v>
      </c>
      <c r="H4" s="108" t="s">
        <v>249</v>
      </c>
      <c r="I4" s="90" t="s">
        <v>250</v>
      </c>
      <c r="J4" s="90" t="s">
        <v>251</v>
      </c>
      <c r="K4" s="90" t="s">
        <v>252</v>
      </c>
      <c r="L4" s="90" t="s">
        <v>253</v>
      </c>
      <c r="M4" s="99"/>
      <c r="N4" s="99"/>
      <c r="O4" s="99"/>
      <c r="P4" s="99"/>
      <c r="AI4" s="78"/>
      <c r="AJ4" s="109" t="s">
        <v>245</v>
      </c>
      <c r="AK4" s="110" t="s">
        <v>246</v>
      </c>
      <c r="AL4" s="109" t="s">
        <v>254</v>
      </c>
      <c r="AM4" s="109" t="s">
        <v>238</v>
      </c>
      <c r="AN4" s="109" t="s">
        <v>247</v>
      </c>
      <c r="AO4" s="109" t="s">
        <v>248</v>
      </c>
      <c r="AP4" s="111" t="s">
        <v>249</v>
      </c>
      <c r="AQ4" s="90" t="s">
        <v>250</v>
      </c>
      <c r="AR4" s="90" t="s">
        <v>251</v>
      </c>
      <c r="AS4" s="90" t="s">
        <v>252</v>
      </c>
      <c r="AT4" s="90" t="s">
        <v>253</v>
      </c>
    </row>
    <row r="5" spans="1:46" ht="14.25" customHeight="1" x14ac:dyDescent="0.3">
      <c r="A5" s="112" t="s">
        <v>225</v>
      </c>
      <c r="B5" s="113" t="s">
        <v>224</v>
      </c>
      <c r="C5" s="114" t="s">
        <v>14</v>
      </c>
      <c r="D5" s="115">
        <f>I51/10</f>
        <v>2311.3713405238827</v>
      </c>
      <c r="E5" s="116">
        <f>H52</f>
        <v>23.442852278647699</v>
      </c>
      <c r="F5" s="117">
        <v>1</v>
      </c>
      <c r="G5" s="118">
        <f t="shared" ref="G5:G22" si="0">D5*E5</f>
        <v>54185.136897001292</v>
      </c>
      <c r="H5" s="119">
        <f t="shared" ref="H5:H22" si="1">G5*F5</f>
        <v>54185.136897001292</v>
      </c>
      <c r="I5" s="80">
        <f>VLOOKUP(B5,All_Ingredients!$A$1:$F$149,6,FALSE())</f>
        <v>0.86</v>
      </c>
      <c r="J5" s="120">
        <f>VLOOKUP(B5,All_Ingredients!$A$1:$J$149,10,FALSE())</f>
        <v>17.100000000000001</v>
      </c>
      <c r="K5" s="121">
        <f>(H5/I5)/1000</f>
        <v>63.005973136048013</v>
      </c>
      <c r="L5" s="121">
        <f t="shared" ref="L5" si="2">K5*J5</f>
        <v>1077.4021406264212</v>
      </c>
      <c r="M5" s="99"/>
      <c r="N5" s="99"/>
      <c r="O5" s="99"/>
      <c r="P5" s="99"/>
      <c r="AI5" s="78"/>
      <c r="AJ5" s="122" t="s">
        <v>224</v>
      </c>
      <c r="AK5" s="123" t="s">
        <v>231</v>
      </c>
      <c r="AL5" s="124">
        <v>10</v>
      </c>
      <c r="AM5" s="125">
        <f>$AO$1</f>
        <v>5.4185136897001289</v>
      </c>
      <c r="AN5" s="126">
        <v>1</v>
      </c>
      <c r="AO5" s="118">
        <f>AL5*AM5</f>
        <v>54.185136897001286</v>
      </c>
      <c r="AP5" s="119">
        <f>AN5*AO5</f>
        <v>54.185136897001286</v>
      </c>
      <c r="AQ5" s="294"/>
      <c r="AR5" s="1152"/>
      <c r="AS5" s="174"/>
      <c r="AT5" s="1153"/>
    </row>
    <row r="6" spans="1:46" ht="14.25" customHeight="1" x14ac:dyDescent="0.3">
      <c r="A6" s="127" t="s">
        <v>13</v>
      </c>
      <c r="B6" s="113" t="s">
        <v>12</v>
      </c>
      <c r="C6" s="123" t="s">
        <v>14</v>
      </c>
      <c r="D6" s="124">
        <v>150</v>
      </c>
      <c r="E6" s="125">
        <f t="shared" ref="E6:E22" si="3">$I$1</f>
        <v>27.581297134238319</v>
      </c>
      <c r="F6" s="126">
        <v>0.95</v>
      </c>
      <c r="G6" s="118">
        <f t="shared" si="0"/>
        <v>4137.1945701357481</v>
      </c>
      <c r="H6" s="119">
        <f t="shared" si="1"/>
        <v>3930.3348416289605</v>
      </c>
      <c r="I6" s="80">
        <f>VLOOKUP(B6,All_Ingredients!$A$1:$F$149,6,FALSE())</f>
        <v>0.9</v>
      </c>
      <c r="J6" s="120">
        <f>VLOOKUP(B6,All_Ingredients!$A$1:$J$149,10,FALSE())</f>
        <v>3</v>
      </c>
      <c r="K6" s="121">
        <f t="shared" ref="K6:K22" si="4">(H6/I6)/1000</f>
        <v>4.367038712921067</v>
      </c>
      <c r="L6" s="121">
        <f t="shared" ref="L6:L22" si="5">K6*J6</f>
        <v>13.101116138763201</v>
      </c>
      <c r="AI6" s="78" t="s">
        <v>56</v>
      </c>
      <c r="AJ6" s="122" t="s">
        <v>55</v>
      </c>
      <c r="AK6" s="123" t="s">
        <v>14</v>
      </c>
      <c r="AL6" s="124">
        <v>100</v>
      </c>
      <c r="AM6" s="125">
        <f t="shared" ref="AM6:AM13" si="6">$AO$1</f>
        <v>5.4185136897001289</v>
      </c>
      <c r="AN6" s="126">
        <v>1</v>
      </c>
      <c r="AO6" s="118">
        <f t="shared" ref="AO6:AO13" si="7">AL6*AM6</f>
        <v>541.85136897001291</v>
      </c>
      <c r="AP6" s="119">
        <f t="shared" ref="AP6:AP13" si="8">AN6*AO6</f>
        <v>541.85136897001291</v>
      </c>
      <c r="AQ6" s="1153">
        <f>VLOOKUP(AJ6,Marination_Ordering!$A:$J,6,FALSE)</f>
        <v>0.87</v>
      </c>
      <c r="AR6" s="1153">
        <f>VLOOKUP(AJ6,Marination_Ordering!$A:$J,10,FALSE)</f>
        <v>3.2</v>
      </c>
      <c r="AS6" s="174">
        <f>AP6/AQ6</f>
        <v>622.81766548277346</v>
      </c>
      <c r="AT6" s="1153">
        <f>AR6*(AS6/1000)</f>
        <v>1.9930165295448754</v>
      </c>
    </row>
    <row r="7" spans="1:46" ht="14.25" customHeight="1" x14ac:dyDescent="0.3">
      <c r="A7" s="127" t="s">
        <v>13</v>
      </c>
      <c r="B7" s="113" t="s">
        <v>17</v>
      </c>
      <c r="C7" s="123" t="s">
        <v>14</v>
      </c>
      <c r="D7" s="124">
        <v>250</v>
      </c>
      <c r="E7" s="125">
        <f t="shared" si="3"/>
        <v>27.581297134238319</v>
      </c>
      <c r="F7" s="126">
        <v>1</v>
      </c>
      <c r="G7" s="118">
        <f t="shared" si="0"/>
        <v>6895.3242835595802</v>
      </c>
      <c r="H7" s="119">
        <f t="shared" si="1"/>
        <v>6895.3242835595802</v>
      </c>
      <c r="I7" s="80">
        <f>VLOOKUP(B7,All_Ingredients!$A$1:$F$149,6,FALSE())</f>
        <v>0.98</v>
      </c>
      <c r="J7" s="120">
        <f>VLOOKUP(B7,All_Ingredients!$A$1:$J$149,10,FALSE())</f>
        <v>3.5</v>
      </c>
      <c r="K7" s="121">
        <f t="shared" si="4"/>
        <v>7.0360451873056942</v>
      </c>
      <c r="L7" s="121">
        <f t="shared" si="5"/>
        <v>24.626158155569929</v>
      </c>
      <c r="AI7" s="78" t="s">
        <v>13</v>
      </c>
      <c r="AJ7" s="122" t="s">
        <v>762</v>
      </c>
      <c r="AK7" s="123" t="s">
        <v>14</v>
      </c>
      <c r="AL7" s="124">
        <v>100</v>
      </c>
      <c r="AM7" s="125">
        <f t="shared" si="6"/>
        <v>5.4185136897001289</v>
      </c>
      <c r="AN7" s="126">
        <v>1</v>
      </c>
      <c r="AO7" s="118">
        <f t="shared" si="7"/>
        <v>541.85136897001291</v>
      </c>
      <c r="AP7" s="119">
        <f t="shared" si="8"/>
        <v>541.85136897001291</v>
      </c>
      <c r="AQ7" s="1153">
        <f>VLOOKUP(AJ7,Marination_Ordering!$A:$J,6,FALSE)</f>
        <v>1</v>
      </c>
      <c r="AR7" s="1153">
        <f>VLOOKUP(AJ7,Marination_Ordering!$A:$J,10,FALSE)</f>
        <v>10.5</v>
      </c>
      <c r="AS7" s="174">
        <f t="shared" ref="AS7:AS13" si="9">AP7/AQ7</f>
        <v>541.85136897001291</v>
      </c>
      <c r="AT7" s="1153">
        <f t="shared" ref="AT7:AT13" si="10">AR7*(AS7/1000)</f>
        <v>5.6894393741851363</v>
      </c>
    </row>
    <row r="8" spans="1:46" ht="14.25" customHeight="1" x14ac:dyDescent="0.3">
      <c r="A8" s="127" t="s">
        <v>56</v>
      </c>
      <c r="B8" s="113" t="s">
        <v>55</v>
      </c>
      <c r="C8" s="123" t="s">
        <v>14</v>
      </c>
      <c r="D8" s="124">
        <v>15</v>
      </c>
      <c r="E8" s="125">
        <f t="shared" si="3"/>
        <v>27.581297134238319</v>
      </c>
      <c r="F8" s="126">
        <v>0.9</v>
      </c>
      <c r="G8" s="118">
        <f t="shared" si="0"/>
        <v>413.71945701357481</v>
      </c>
      <c r="H8" s="119">
        <f t="shared" si="1"/>
        <v>372.34751131221736</v>
      </c>
      <c r="I8" s="80">
        <f>VLOOKUP(B8,All_Ingredients!$A$1:$F$149,6,FALSE())</f>
        <v>0.87</v>
      </c>
      <c r="J8" s="120">
        <f>VLOOKUP(B8,All_Ingredients!$A$1:$J$149,10,FALSE())</f>
        <v>7</v>
      </c>
      <c r="K8" s="121">
        <f t="shared" si="4"/>
        <v>0.42798564518645671</v>
      </c>
      <c r="L8" s="121">
        <f t="shared" si="5"/>
        <v>2.9958995163051969</v>
      </c>
      <c r="AI8" s="78" t="s">
        <v>206</v>
      </c>
      <c r="AJ8" s="122" t="s">
        <v>214</v>
      </c>
      <c r="AK8" s="123" t="s">
        <v>161</v>
      </c>
      <c r="AL8" s="124">
        <v>200</v>
      </c>
      <c r="AM8" s="125">
        <f t="shared" si="6"/>
        <v>5.4185136897001289</v>
      </c>
      <c r="AN8" s="126">
        <v>1</v>
      </c>
      <c r="AO8" s="118">
        <f t="shared" si="7"/>
        <v>1083.7027379400258</v>
      </c>
      <c r="AP8" s="119">
        <f t="shared" si="8"/>
        <v>1083.7027379400258</v>
      </c>
      <c r="AQ8" s="1153">
        <f>VLOOKUP(AJ8,Marination_Ordering!$A:$J,6,FALSE)</f>
        <v>1</v>
      </c>
      <c r="AR8" s="1153">
        <f>VLOOKUP(AJ8,Marination_Ordering!$A:$J,10,FALSE)</f>
        <v>5</v>
      </c>
      <c r="AS8" s="174">
        <f t="shared" si="9"/>
        <v>1083.7027379400258</v>
      </c>
      <c r="AT8" s="1153">
        <f t="shared" si="10"/>
        <v>5.4185136897001298</v>
      </c>
    </row>
    <row r="9" spans="1:46" ht="14.25" customHeight="1" x14ac:dyDescent="0.3">
      <c r="A9" s="127" t="s">
        <v>13</v>
      </c>
      <c r="B9" s="113" t="s">
        <v>762</v>
      </c>
      <c r="C9" s="123" t="s">
        <v>14</v>
      </c>
      <c r="D9" s="124">
        <v>25</v>
      </c>
      <c r="E9" s="125">
        <f t="shared" si="3"/>
        <v>27.581297134238319</v>
      </c>
      <c r="F9" s="126">
        <v>0.9</v>
      </c>
      <c r="G9" s="118">
        <f t="shared" si="0"/>
        <v>689.53242835595802</v>
      </c>
      <c r="H9" s="119">
        <f t="shared" si="1"/>
        <v>620.57918552036222</v>
      </c>
      <c r="I9" s="80">
        <f>VLOOKUP(B9,All_Ingredients!$A$1:$F$149,6,FALSE())</f>
        <v>1</v>
      </c>
      <c r="J9" s="120">
        <f>VLOOKUP(B9,All_Ingredients!$A$1:$J$149,10,FALSE())</f>
        <v>10.5</v>
      </c>
      <c r="K9" s="121">
        <f t="shared" si="4"/>
        <v>0.62057918552036218</v>
      </c>
      <c r="L9" s="121">
        <f t="shared" si="5"/>
        <v>6.5160814479638027</v>
      </c>
      <c r="AI9" s="78" t="s">
        <v>206</v>
      </c>
      <c r="AJ9" s="122" t="s">
        <v>210</v>
      </c>
      <c r="AK9" s="123" t="s">
        <v>161</v>
      </c>
      <c r="AL9" s="124">
        <v>100</v>
      </c>
      <c r="AM9" s="125">
        <f t="shared" si="6"/>
        <v>5.4185136897001289</v>
      </c>
      <c r="AN9" s="126">
        <v>1</v>
      </c>
      <c r="AO9" s="118">
        <f t="shared" si="7"/>
        <v>541.85136897001291</v>
      </c>
      <c r="AP9" s="119">
        <f t="shared" si="8"/>
        <v>541.85136897001291</v>
      </c>
      <c r="AQ9" s="1153">
        <f>VLOOKUP(AJ9,Marination_Ordering!$A:$J,6,FALSE)</f>
        <v>1</v>
      </c>
      <c r="AR9" s="1153">
        <f>VLOOKUP(AJ9,Marination_Ordering!$A:$J,10,FALSE)</f>
        <v>2.1621621621621623</v>
      </c>
      <c r="AS9" s="174">
        <f t="shared" si="9"/>
        <v>541.85136897001291</v>
      </c>
      <c r="AT9" s="1153">
        <f t="shared" si="10"/>
        <v>1.1715705275027308</v>
      </c>
    </row>
    <row r="10" spans="1:46" ht="14.25" customHeight="1" x14ac:dyDescent="0.3">
      <c r="A10" s="127" t="s">
        <v>13</v>
      </c>
      <c r="B10" s="113" t="s">
        <v>34</v>
      </c>
      <c r="C10" s="123" t="s">
        <v>14</v>
      </c>
      <c r="D10" s="124">
        <v>5</v>
      </c>
      <c r="E10" s="125">
        <f t="shared" si="3"/>
        <v>27.581297134238319</v>
      </c>
      <c r="F10" s="126">
        <v>0.75</v>
      </c>
      <c r="G10" s="118">
        <f t="shared" si="0"/>
        <v>137.9064856711916</v>
      </c>
      <c r="H10" s="119">
        <f t="shared" si="1"/>
        <v>103.4298642533937</v>
      </c>
      <c r="I10" s="80">
        <f>VLOOKUP(B10,All_Ingredients!$A$1:$F$149,6,FALSE())</f>
        <v>0.86</v>
      </c>
      <c r="J10" s="120">
        <f>VLOOKUP(B10,All_Ingredients!$A$1:$J$149,10,FALSE())</f>
        <v>14</v>
      </c>
      <c r="K10" s="121">
        <f t="shared" si="4"/>
        <v>0.12026728401557407</v>
      </c>
      <c r="L10" s="121">
        <f t="shared" si="5"/>
        <v>1.683741976218037</v>
      </c>
      <c r="AI10" s="78" t="s">
        <v>95</v>
      </c>
      <c r="AJ10" s="122" t="s">
        <v>94</v>
      </c>
      <c r="AK10" s="123" t="s">
        <v>14</v>
      </c>
      <c r="AL10" s="124">
        <v>30</v>
      </c>
      <c r="AM10" s="125">
        <f t="shared" si="6"/>
        <v>5.4185136897001289</v>
      </c>
      <c r="AN10" s="126">
        <v>1</v>
      </c>
      <c r="AO10" s="118">
        <f t="shared" si="7"/>
        <v>162.55541069100386</v>
      </c>
      <c r="AP10" s="119">
        <f t="shared" si="8"/>
        <v>162.55541069100386</v>
      </c>
      <c r="AQ10" s="1153">
        <f>VLOOKUP(AJ10,Marination_Ordering!$A:$J,6,FALSE)</f>
        <v>1</v>
      </c>
      <c r="AR10" s="1153">
        <f>VLOOKUP(AJ10,Marination_Ordering!$A:$J,10,FALSE)</f>
        <v>0.74</v>
      </c>
      <c r="AS10" s="174">
        <f t="shared" si="9"/>
        <v>162.55541069100386</v>
      </c>
      <c r="AT10" s="1153">
        <f t="shared" si="10"/>
        <v>0.12029100391134284</v>
      </c>
    </row>
    <row r="11" spans="1:46" ht="19.5" customHeight="1" x14ac:dyDescent="0.3">
      <c r="A11" s="127" t="s">
        <v>95</v>
      </c>
      <c r="B11" s="113" t="s">
        <v>106</v>
      </c>
      <c r="C11" s="123" t="s">
        <v>14</v>
      </c>
      <c r="D11" s="124">
        <v>5</v>
      </c>
      <c r="E11" s="125">
        <f t="shared" si="3"/>
        <v>27.581297134238319</v>
      </c>
      <c r="F11" s="126">
        <v>0.9</v>
      </c>
      <c r="G11" s="118">
        <f t="shared" si="0"/>
        <v>137.9064856711916</v>
      </c>
      <c r="H11" s="119">
        <f t="shared" si="1"/>
        <v>124.11583710407244</v>
      </c>
      <c r="I11" s="80">
        <f>VLOOKUP(B11,All_Ingredients!$A$1:$F$149,6,FALSE())</f>
        <v>1</v>
      </c>
      <c r="J11" s="120">
        <f>VLOOKUP(B11,All_Ingredients!$A$1:$J$149,10,FALSE())</f>
        <v>15</v>
      </c>
      <c r="K11" s="121">
        <f t="shared" si="4"/>
        <v>0.12411583710407244</v>
      </c>
      <c r="L11" s="121">
        <f t="shared" si="5"/>
        <v>1.8617375565610865</v>
      </c>
      <c r="AI11" s="78" t="s">
        <v>95</v>
      </c>
      <c r="AJ11" s="122" t="s">
        <v>100</v>
      </c>
      <c r="AK11" s="123" t="s">
        <v>14</v>
      </c>
      <c r="AL11" s="124">
        <v>5</v>
      </c>
      <c r="AM11" s="125">
        <f t="shared" si="6"/>
        <v>5.4185136897001289</v>
      </c>
      <c r="AN11" s="126">
        <v>1</v>
      </c>
      <c r="AO11" s="118">
        <f t="shared" si="7"/>
        <v>27.092568448500643</v>
      </c>
      <c r="AP11" s="119">
        <f t="shared" si="8"/>
        <v>27.092568448500643</v>
      </c>
      <c r="AQ11" s="1153">
        <f>VLOOKUP(AJ11,Marination_Ordering!$A:$J,6,FALSE)</f>
        <v>1</v>
      </c>
      <c r="AR11" s="1153">
        <f>VLOOKUP(AJ11,Marination_Ordering!$A:$J,10,FALSE)</f>
        <v>31</v>
      </c>
      <c r="AS11" s="174">
        <f t="shared" si="9"/>
        <v>27.092568448500643</v>
      </c>
      <c r="AT11" s="1153">
        <f t="shared" si="10"/>
        <v>0.83986962190351999</v>
      </c>
    </row>
    <row r="12" spans="1:46" x14ac:dyDescent="0.3">
      <c r="A12" s="127" t="s">
        <v>95</v>
      </c>
      <c r="B12" s="113" t="s">
        <v>108</v>
      </c>
      <c r="C12" s="123" t="s">
        <v>14</v>
      </c>
      <c r="D12" s="124">
        <v>5</v>
      </c>
      <c r="E12" s="125">
        <f t="shared" si="3"/>
        <v>27.581297134238319</v>
      </c>
      <c r="F12" s="126">
        <v>0.9</v>
      </c>
      <c r="G12" s="118">
        <f t="shared" si="0"/>
        <v>137.9064856711916</v>
      </c>
      <c r="H12" s="119">
        <f t="shared" si="1"/>
        <v>124.11583710407244</v>
      </c>
      <c r="I12" s="80">
        <f>VLOOKUP(B12,All_Ingredients!$A$1:$F$149,6,FALSE())</f>
        <v>1</v>
      </c>
      <c r="J12" s="120">
        <f>VLOOKUP(B12,All_Ingredients!$A$1:$J$149,10,FALSE())</f>
        <v>8</v>
      </c>
      <c r="K12" s="121">
        <f t="shared" si="4"/>
        <v>0.12411583710407244</v>
      </c>
      <c r="L12" s="121">
        <f t="shared" si="5"/>
        <v>0.9929266968325795</v>
      </c>
      <c r="AI12" s="78" t="s">
        <v>95</v>
      </c>
      <c r="AJ12" s="122" t="s">
        <v>106</v>
      </c>
      <c r="AK12" s="123" t="s">
        <v>14</v>
      </c>
      <c r="AL12" s="124">
        <v>25</v>
      </c>
      <c r="AM12" s="125">
        <f t="shared" si="6"/>
        <v>5.4185136897001289</v>
      </c>
      <c r="AN12" s="126">
        <v>1</v>
      </c>
      <c r="AO12" s="118">
        <f t="shared" si="7"/>
        <v>135.46284224250323</v>
      </c>
      <c r="AP12" s="119">
        <f t="shared" si="8"/>
        <v>135.46284224250323</v>
      </c>
      <c r="AQ12" s="1153">
        <f>VLOOKUP(AJ12,Marination_Ordering!$A:$J,6,FALSE)</f>
        <v>1</v>
      </c>
      <c r="AR12" s="1153">
        <f>VLOOKUP(AJ12,Marination_Ordering!$A:$J,10,FALSE)</f>
        <v>15</v>
      </c>
      <c r="AS12" s="174">
        <f t="shared" si="9"/>
        <v>135.46284224250323</v>
      </c>
      <c r="AT12" s="1153">
        <f t="shared" si="10"/>
        <v>2.0319426336375486</v>
      </c>
    </row>
    <row r="13" spans="1:46" x14ac:dyDescent="0.3">
      <c r="A13" s="127" t="s">
        <v>95</v>
      </c>
      <c r="B13" s="113" t="s">
        <v>109</v>
      </c>
      <c r="C13" s="123" t="s">
        <v>14</v>
      </c>
      <c r="D13" s="124">
        <v>10</v>
      </c>
      <c r="E13" s="125">
        <f t="shared" si="3"/>
        <v>27.581297134238319</v>
      </c>
      <c r="F13" s="126">
        <v>0.75</v>
      </c>
      <c r="G13" s="118">
        <f t="shared" si="0"/>
        <v>275.81297134238321</v>
      </c>
      <c r="H13" s="119">
        <f t="shared" si="1"/>
        <v>206.85972850678741</v>
      </c>
      <c r="I13" s="80">
        <f>VLOOKUP(B13,All_Ingredients!$A$1:$F$149,6,FALSE())</f>
        <v>1</v>
      </c>
      <c r="J13" s="120">
        <f>VLOOKUP(B13,All_Ingredients!$A$1:$J$149,10,FALSE())</f>
        <v>26.5</v>
      </c>
      <c r="K13" s="121">
        <f t="shared" si="4"/>
        <v>0.20685972850678741</v>
      </c>
      <c r="L13" s="121">
        <f t="shared" si="5"/>
        <v>5.4817828054298667</v>
      </c>
      <c r="AI13" s="78" t="s">
        <v>95</v>
      </c>
      <c r="AJ13" s="122" t="s">
        <v>109</v>
      </c>
      <c r="AK13" s="123" t="s">
        <v>14</v>
      </c>
      <c r="AL13" s="124">
        <v>50</v>
      </c>
      <c r="AM13" s="125">
        <f t="shared" si="6"/>
        <v>5.4185136897001289</v>
      </c>
      <c r="AN13" s="126">
        <v>1</v>
      </c>
      <c r="AO13" s="118">
        <f t="shared" si="7"/>
        <v>270.92568448500646</v>
      </c>
      <c r="AP13" s="119">
        <f t="shared" si="8"/>
        <v>270.92568448500646</v>
      </c>
      <c r="AQ13" s="1153">
        <f>VLOOKUP(AJ13,Marination_Ordering!$A:$J,6,FALSE)</f>
        <v>1</v>
      </c>
      <c r="AR13" s="1153">
        <f>VLOOKUP(AJ13,Marination_Ordering!$A:$J,10,FALSE)</f>
        <v>26.5</v>
      </c>
      <c r="AS13" s="174">
        <f t="shared" si="9"/>
        <v>270.92568448500646</v>
      </c>
      <c r="AT13" s="1153">
        <f t="shared" si="10"/>
        <v>7.1795306388526718</v>
      </c>
    </row>
    <row r="14" spans="1:46" ht="14.25" customHeight="1" x14ac:dyDescent="0.3">
      <c r="A14" s="127" t="s">
        <v>215</v>
      </c>
      <c r="B14" s="113" t="s">
        <v>877</v>
      </c>
      <c r="C14" s="123" t="s">
        <v>14</v>
      </c>
      <c r="D14" s="124">
        <v>2</v>
      </c>
      <c r="E14" s="125">
        <f t="shared" si="3"/>
        <v>27.581297134238319</v>
      </c>
      <c r="F14" s="126">
        <v>0.75</v>
      </c>
      <c r="G14" s="118">
        <f t="shared" si="0"/>
        <v>55.162594268476639</v>
      </c>
      <c r="H14" s="119">
        <f t="shared" si="1"/>
        <v>41.371945701357475</v>
      </c>
      <c r="I14" s="80">
        <f>VLOOKUP(B14,All_Ingredients!$A$1:$F$149,6,FALSE())</f>
        <v>1</v>
      </c>
      <c r="J14" s="120">
        <f>VLOOKUP(B14,All_Ingredients!$A$1:$J$149,10,FALSE())</f>
        <v>22.5</v>
      </c>
      <c r="K14" s="121">
        <f t="shared" si="4"/>
        <v>4.1371945701357472E-2</v>
      </c>
      <c r="L14" s="121">
        <f t="shared" si="5"/>
        <v>0.93086877828054315</v>
      </c>
      <c r="AR14" s="1127"/>
    </row>
    <row r="15" spans="1:46" ht="14.25" customHeight="1" x14ac:dyDescent="0.3">
      <c r="A15" s="127" t="s">
        <v>95</v>
      </c>
      <c r="B15" s="113" t="s">
        <v>140</v>
      </c>
      <c r="C15" s="123" t="s">
        <v>14</v>
      </c>
      <c r="D15" s="124">
        <v>5</v>
      </c>
      <c r="E15" s="125">
        <f t="shared" si="3"/>
        <v>27.581297134238319</v>
      </c>
      <c r="F15" s="126">
        <v>0.6</v>
      </c>
      <c r="G15" s="118">
        <f t="shared" si="0"/>
        <v>137.9064856711916</v>
      </c>
      <c r="H15" s="119">
        <f t="shared" si="1"/>
        <v>82.743891402714965</v>
      </c>
      <c r="I15" s="80">
        <f>VLOOKUP(B15,All_Ingredients!$A$1:$F$149,6,FALSE())</f>
        <v>1</v>
      </c>
      <c r="J15" s="120">
        <f>VLOOKUP(B15,All_Ingredients!$A$1:$J$149,10,FALSE())</f>
        <v>15.277777777777779</v>
      </c>
      <c r="K15" s="121">
        <f t="shared" si="4"/>
        <v>8.2743891402714959E-2</v>
      </c>
      <c r="L15" s="121">
        <f t="shared" si="5"/>
        <v>1.2641427853192564</v>
      </c>
    </row>
    <row r="16" spans="1:46" ht="14.25" customHeight="1" x14ac:dyDescent="0.3">
      <c r="A16" s="127" t="s">
        <v>95</v>
      </c>
      <c r="B16" s="113" t="s">
        <v>94</v>
      </c>
      <c r="C16" s="123" t="s">
        <v>14</v>
      </c>
      <c r="D16" s="124">
        <v>5</v>
      </c>
      <c r="E16" s="125">
        <f t="shared" si="3"/>
        <v>27.581297134238319</v>
      </c>
      <c r="F16" s="126">
        <v>0.75</v>
      </c>
      <c r="G16" s="118">
        <f t="shared" si="0"/>
        <v>137.9064856711916</v>
      </c>
      <c r="H16" s="119">
        <f t="shared" si="1"/>
        <v>103.4298642533937</v>
      </c>
      <c r="I16" s="80">
        <f>VLOOKUP(B16,All_Ingredients!$A$1:$F$149,6,FALSE())</f>
        <v>1</v>
      </c>
      <c r="J16" s="120">
        <f>VLOOKUP(B16,All_Ingredients!$A$1:$J$149,10,FALSE())</f>
        <v>0.74</v>
      </c>
      <c r="K16" s="121">
        <f t="shared" si="4"/>
        <v>0.10342986425339371</v>
      </c>
      <c r="L16" s="121">
        <f t="shared" si="5"/>
        <v>7.653809954751134E-2</v>
      </c>
    </row>
    <row r="17" spans="1:32" ht="14.25" customHeight="1" x14ac:dyDescent="0.3">
      <c r="A17" s="127" t="s">
        <v>154</v>
      </c>
      <c r="B17" s="113" t="s">
        <v>153</v>
      </c>
      <c r="C17" s="123" t="s">
        <v>14</v>
      </c>
      <c r="D17" s="124">
        <v>20</v>
      </c>
      <c r="E17" s="125">
        <f t="shared" si="3"/>
        <v>27.581297134238319</v>
      </c>
      <c r="F17" s="126">
        <v>1</v>
      </c>
      <c r="G17" s="118">
        <f t="shared" si="0"/>
        <v>551.62594268476641</v>
      </c>
      <c r="H17" s="119">
        <f t="shared" si="1"/>
        <v>551.62594268476641</v>
      </c>
      <c r="I17" s="80">
        <f>VLOOKUP(B17,All_Ingredients!$A$1:$F$149,6,FALSE())</f>
        <v>1</v>
      </c>
      <c r="J17" s="120">
        <f>VLOOKUP(B17,All_Ingredients!$A$1:$J$149,10,FALSE())</f>
        <v>30</v>
      </c>
      <c r="K17" s="121">
        <f t="shared" si="4"/>
        <v>0.55162594268476639</v>
      </c>
      <c r="L17" s="121">
        <f t="shared" si="5"/>
        <v>16.54877828054299</v>
      </c>
    </row>
    <row r="18" spans="1:32" ht="14.25" customHeight="1" x14ac:dyDescent="0.3">
      <c r="A18" s="127" t="s">
        <v>154</v>
      </c>
      <c r="B18" s="113" t="s">
        <v>164</v>
      </c>
      <c r="C18" s="123" t="s">
        <v>14</v>
      </c>
      <c r="D18" s="124">
        <v>200</v>
      </c>
      <c r="E18" s="125">
        <f t="shared" si="3"/>
        <v>27.581297134238319</v>
      </c>
      <c r="F18" s="126">
        <v>1</v>
      </c>
      <c r="G18" s="118">
        <f t="shared" si="0"/>
        <v>5516.2594268476641</v>
      </c>
      <c r="H18" s="119">
        <f t="shared" si="1"/>
        <v>5516.2594268476641</v>
      </c>
      <c r="I18" s="80">
        <f>VLOOKUP(B18,All_Ingredients!$A$1:$F$149,6,FALSE())</f>
        <v>1</v>
      </c>
      <c r="J18" s="120">
        <f>VLOOKUP(B18,All_Ingredients!$A$1:$J$149,10,FALSE())</f>
        <v>6.6959999999999997</v>
      </c>
      <c r="K18" s="121">
        <f t="shared" si="4"/>
        <v>5.5162594268476646</v>
      </c>
      <c r="L18" s="121">
        <f t="shared" si="5"/>
        <v>36.93687312217196</v>
      </c>
    </row>
    <row r="19" spans="1:32" ht="14.25" customHeight="1" x14ac:dyDescent="0.3">
      <c r="A19" s="127" t="s">
        <v>154</v>
      </c>
      <c r="B19" s="113" t="s">
        <v>167</v>
      </c>
      <c r="C19" s="123" t="s">
        <v>161</v>
      </c>
      <c r="D19" s="124">
        <v>300</v>
      </c>
      <c r="E19" s="125">
        <f t="shared" si="3"/>
        <v>27.581297134238319</v>
      </c>
      <c r="F19" s="126">
        <v>1</v>
      </c>
      <c r="G19" s="118">
        <f t="shared" si="0"/>
        <v>8274.3891402714962</v>
      </c>
      <c r="H19" s="119">
        <f t="shared" si="1"/>
        <v>8274.3891402714962</v>
      </c>
      <c r="I19" s="80">
        <f>VLOOKUP(B19,All_Ingredients!$A$1:$F$149,6,FALSE())</f>
        <v>1</v>
      </c>
      <c r="J19" s="120">
        <f>VLOOKUP(B19,All_Ingredients!$A$1:$J$149,10,FALSE())</f>
        <v>12.666666666666666</v>
      </c>
      <c r="K19" s="121">
        <f t="shared" si="4"/>
        <v>8.2743891402714969</v>
      </c>
      <c r="L19" s="121">
        <f t="shared" si="5"/>
        <v>104.80892911010562</v>
      </c>
    </row>
    <row r="20" spans="1:32" ht="14.25" customHeight="1" x14ac:dyDescent="0.3">
      <c r="A20" s="127" t="s">
        <v>206</v>
      </c>
      <c r="B20" s="113" t="s">
        <v>205</v>
      </c>
      <c r="C20" s="123" t="s">
        <v>161</v>
      </c>
      <c r="D20" s="124">
        <v>170</v>
      </c>
      <c r="E20" s="125">
        <f t="shared" si="3"/>
        <v>27.581297134238319</v>
      </c>
      <c r="F20" s="126">
        <v>1</v>
      </c>
      <c r="G20" s="118">
        <f t="shared" si="0"/>
        <v>4688.8205128205145</v>
      </c>
      <c r="H20" s="119">
        <f t="shared" si="1"/>
        <v>4688.8205128205145</v>
      </c>
      <c r="I20" s="80">
        <f>VLOOKUP(B20,All_Ingredients!$A$1:$F$149,6,FALSE())</f>
        <v>1</v>
      </c>
      <c r="J20" s="120">
        <f>VLOOKUP(B20,All_Ingredients!$A$1:$J$149,10,FALSE())</f>
        <v>0</v>
      </c>
      <c r="K20" s="121">
        <f t="shared" si="4"/>
        <v>4.6888205128205147</v>
      </c>
      <c r="L20" s="121">
        <f t="shared" si="5"/>
        <v>0</v>
      </c>
    </row>
    <row r="21" spans="1:32" ht="14.25" customHeight="1" x14ac:dyDescent="0.3">
      <c r="A21" s="127" t="s">
        <v>62</v>
      </c>
      <c r="B21" s="113" t="s">
        <v>61</v>
      </c>
      <c r="C21" s="123" t="s">
        <v>14</v>
      </c>
      <c r="D21" s="129">
        <v>5</v>
      </c>
      <c r="E21" s="125">
        <f t="shared" si="3"/>
        <v>27.581297134238319</v>
      </c>
      <c r="F21" s="126">
        <v>0.75</v>
      </c>
      <c r="G21" s="118">
        <f t="shared" si="0"/>
        <v>137.9064856711916</v>
      </c>
      <c r="H21" s="119">
        <f t="shared" si="1"/>
        <v>103.4298642533937</v>
      </c>
      <c r="I21" s="80">
        <f>VLOOKUP(B21,All_Ingredients!$A$1:$F$149,6,FALSE())</f>
        <v>0.94</v>
      </c>
      <c r="J21" s="120">
        <f>VLOOKUP(B21,All_Ingredients!$A$1:$J$149,10,FALSE())</f>
        <v>3.6363636363636367</v>
      </c>
      <c r="K21" s="121">
        <f t="shared" si="4"/>
        <v>0.11003177048233373</v>
      </c>
      <c r="L21" s="121">
        <f t="shared" si="5"/>
        <v>0.40011552902666814</v>
      </c>
    </row>
    <row r="22" spans="1:32" ht="14.25" customHeight="1" x14ac:dyDescent="0.3">
      <c r="A22" s="127"/>
      <c r="B22" s="122" t="s">
        <v>189</v>
      </c>
      <c r="C22" s="123" t="s">
        <v>14</v>
      </c>
      <c r="D22" s="129">
        <v>20</v>
      </c>
      <c r="E22" s="125">
        <f t="shared" si="3"/>
        <v>27.581297134238319</v>
      </c>
      <c r="F22" s="126">
        <v>1</v>
      </c>
      <c r="G22" s="118">
        <f t="shared" si="0"/>
        <v>551.62594268476641</v>
      </c>
      <c r="H22" s="119">
        <f t="shared" si="1"/>
        <v>551.62594268476641</v>
      </c>
      <c r="I22" s="80">
        <f>VLOOKUP(B22,All_Ingredients!$A$1:$F$149,6,FALSE())</f>
        <v>0.9</v>
      </c>
      <c r="J22" s="120">
        <f>VLOOKUP(B22,All_Ingredients!$A$1:$J$149,10,FALSE())</f>
        <v>2.3199999999999998</v>
      </c>
      <c r="K22" s="121">
        <f t="shared" si="4"/>
        <v>0.61291771409418494</v>
      </c>
      <c r="L22" s="121">
        <f t="shared" si="5"/>
        <v>1.421969096698509</v>
      </c>
      <c r="M22" s="130"/>
      <c r="N22" s="130"/>
    </row>
    <row r="23" spans="1:32" ht="14.25" customHeight="1" x14ac:dyDescent="0.3">
      <c r="C23" s="132"/>
      <c r="D23" s="133"/>
      <c r="E23" s="134"/>
      <c r="F23" s="135"/>
      <c r="G23" s="136"/>
      <c r="H23" s="137"/>
      <c r="I23" s="91"/>
      <c r="J23" s="138"/>
      <c r="K23" s="91"/>
      <c r="L23" s="139"/>
      <c r="M23" s="130"/>
      <c r="N23" s="130"/>
      <c r="Z23" s="1208"/>
    </row>
    <row r="24" spans="1:32" ht="14.25" customHeight="1" x14ac:dyDescent="0.3">
      <c r="I24" s="91"/>
      <c r="J24" s="138"/>
      <c r="K24" s="91"/>
      <c r="L24" s="139"/>
      <c r="M24" s="130"/>
      <c r="N24" s="130"/>
      <c r="S24" s="412"/>
      <c r="Z24" s="1208"/>
    </row>
    <row r="25" spans="1:32" ht="14.25" customHeight="1" x14ac:dyDescent="0.35">
      <c r="I25" s="91"/>
      <c r="J25" s="138"/>
      <c r="K25" s="91"/>
      <c r="L25" s="139"/>
      <c r="M25" s="130"/>
      <c r="N25" s="130"/>
      <c r="R25" s="1440" t="s">
        <v>255</v>
      </c>
      <c r="S25" s="1440"/>
      <c r="T25" s="1440"/>
      <c r="U25" s="1440"/>
      <c r="V25" s="1132"/>
      <c r="W25" s="1132"/>
      <c r="Z25" s="140" t="s">
        <v>256</v>
      </c>
      <c r="AA25" s="1165">
        <v>1</v>
      </c>
      <c r="AB25" s="1164" t="s">
        <v>253</v>
      </c>
      <c r="AC25" s="142">
        <f>(AA25*(4/3))*AF30+(AA30*(AB28/R1))</f>
        <v>3.1830139295611438E-2</v>
      </c>
      <c r="AD25" s="211"/>
      <c r="AE25" s="211"/>
      <c r="AF25" s="211"/>
    </row>
    <row r="26" spans="1:32" ht="14.25" customHeight="1" x14ac:dyDescent="0.3">
      <c r="I26" s="91"/>
      <c r="J26" s="138"/>
      <c r="K26" s="91"/>
      <c r="L26" s="139"/>
      <c r="M26" s="130"/>
      <c r="N26" s="130"/>
      <c r="R26" s="1445" t="s">
        <v>257</v>
      </c>
      <c r="S26" s="1446"/>
      <c r="T26" s="1446"/>
      <c r="U26" s="1446"/>
      <c r="V26" s="1163"/>
      <c r="W26" s="1163"/>
      <c r="Z26" s="211"/>
      <c r="AA26" s="211"/>
      <c r="AB26" s="211"/>
      <c r="AC26" s="1209"/>
      <c r="AD26" s="211"/>
      <c r="AE26" s="211"/>
      <c r="AF26" s="211"/>
    </row>
    <row r="27" spans="1:32" ht="14.25" customHeight="1" thickBot="1" x14ac:dyDescent="0.35">
      <c r="B27" s="99"/>
      <c r="C27" s="849"/>
      <c r="D27" s="849"/>
      <c r="E27" s="849"/>
      <c r="F27" s="849"/>
      <c r="G27" s="849"/>
      <c r="H27"/>
      <c r="I27" s="91"/>
      <c r="J27" s="138"/>
      <c r="K27" s="91"/>
      <c r="L27" s="139"/>
      <c r="M27" s="130"/>
      <c r="N27" s="130"/>
      <c r="R27" s="144" t="s">
        <v>258</v>
      </c>
      <c r="S27" s="145" t="s">
        <v>259</v>
      </c>
      <c r="T27" s="145" t="s">
        <v>260</v>
      </c>
      <c r="U27" s="145" t="s">
        <v>261</v>
      </c>
      <c r="V27" s="145" t="s">
        <v>808</v>
      </c>
      <c r="W27" s="145" t="s">
        <v>817</v>
      </c>
      <c r="Z27" s="1164" t="s">
        <v>262</v>
      </c>
      <c r="AA27" s="1166" t="s">
        <v>316</v>
      </c>
      <c r="AB27" s="1167" t="s">
        <v>263</v>
      </c>
      <c r="AC27" s="1167" t="s">
        <v>264</v>
      </c>
      <c r="AD27" s="1167" t="s">
        <v>265</v>
      </c>
      <c r="AE27" s="1167" t="s">
        <v>817</v>
      </c>
      <c r="AF27" s="1167" t="s">
        <v>266</v>
      </c>
    </row>
    <row r="28" spans="1:32" ht="14.25" customHeight="1" thickBot="1" x14ac:dyDescent="0.35">
      <c r="B28" s="370"/>
      <c r="C28" s="347"/>
      <c r="D28" s="263"/>
      <c r="E28" s="370"/>
      <c r="F28" s="370"/>
      <c r="G28" s="263"/>
      <c r="H28" s="55"/>
      <c r="I28" s="91"/>
      <c r="J28" s="138"/>
      <c r="K28" s="91"/>
      <c r="L28" s="139"/>
      <c r="M28" s="130"/>
      <c r="N28" s="130"/>
      <c r="R28" s="147" t="s">
        <v>267</v>
      </c>
      <c r="S28" s="1371">
        <f>U28*S40</f>
        <v>31969.230769230762</v>
      </c>
      <c r="T28" s="1371">
        <f>U28*U40</f>
        <v>9590.7692307692414</v>
      </c>
      <c r="U28" s="1342">
        <f>$Z$1</f>
        <v>41560</v>
      </c>
      <c r="V28" s="148">
        <f>SUM(AP5:AP13)</f>
        <v>3359.4784876140802</v>
      </c>
      <c r="W28" s="148">
        <f>H37</f>
        <v>19.740000000000002</v>
      </c>
      <c r="Z28" s="1168"/>
      <c r="AA28" s="1169"/>
      <c r="AB28" s="1170">
        <f>AA25*$S$40</f>
        <v>0.76923076923076905</v>
      </c>
      <c r="AC28" s="1171">
        <f>AA25*U40</f>
        <v>0.230769230769231</v>
      </c>
      <c r="AD28" s="152">
        <f>AA25*(1/3)</f>
        <v>0.33333333333333331</v>
      </c>
      <c r="AE28" s="1169"/>
      <c r="AF28" s="1172">
        <f>SUM(AB28:AD28)</f>
        <v>1.3333333333333333</v>
      </c>
    </row>
    <row r="29" spans="1:32" ht="14.25" customHeight="1" thickBot="1" x14ac:dyDescent="0.35">
      <c r="I29" s="91"/>
      <c r="J29" s="138"/>
      <c r="K29" s="91"/>
      <c r="L29" s="139"/>
      <c r="M29" s="130"/>
      <c r="N29" s="130"/>
      <c r="R29" s="147" t="s">
        <v>268</v>
      </c>
      <c r="S29" s="1374"/>
      <c r="T29" s="148">
        <f>U28*(1/3)</f>
        <v>13853.333333333332</v>
      </c>
      <c r="U29" s="1371">
        <f>T29</f>
        <v>13853.333333333332</v>
      </c>
      <c r="V29" s="148"/>
      <c r="W29" s="148"/>
      <c r="Z29" s="1168"/>
      <c r="AA29" s="1173"/>
      <c r="AB29" s="1174">
        <f>AB28/$AF$28</f>
        <v>0.57692307692307687</v>
      </c>
      <c r="AC29" s="1175">
        <f>AC28/$AF$28</f>
        <v>0.17307692307692327</v>
      </c>
      <c r="AD29" s="1175">
        <f>AD28/AF28</f>
        <v>0.25</v>
      </c>
      <c r="AE29" s="1173"/>
      <c r="AF29" s="1176">
        <f>AF28/$AF$28</f>
        <v>1</v>
      </c>
    </row>
    <row r="30" spans="1:32" ht="14.25" customHeight="1" thickBot="1" x14ac:dyDescent="0.35">
      <c r="I30" s="91"/>
      <c r="J30" s="138"/>
      <c r="K30" s="91"/>
      <c r="L30" s="139"/>
      <c r="M30" s="130"/>
      <c r="N30" s="130"/>
      <c r="R30" s="147" t="s">
        <v>269</v>
      </c>
      <c r="S30" s="1370">
        <f>U30*S40</f>
        <v>0</v>
      </c>
      <c r="T30" s="1371">
        <f>(U30*U40)+(U30*0.3)</f>
        <v>0</v>
      </c>
      <c r="U30" s="1376">
        <f>$AB$1</f>
        <v>0</v>
      </c>
      <c r="V30" s="1124"/>
      <c r="W30" s="1124"/>
      <c r="Z30" s="1164" t="s">
        <v>270</v>
      </c>
      <c r="AA30" s="1177">
        <f>V35/(S32/R1)</f>
        <v>4.5112323081702397E-4</v>
      </c>
      <c r="AB30" s="1172">
        <f>S35/(S32)</f>
        <v>3.3701221915648408E-2</v>
      </c>
      <c r="AC30" s="1172">
        <f>T35/T32</f>
        <v>9.3689941210059174E-3</v>
      </c>
      <c r="AD30" s="1172">
        <f>T35/T32</f>
        <v>9.3689941210059174E-3</v>
      </c>
      <c r="AE30" s="1180">
        <f>W35/U32</f>
        <v>2.4662212186273786E-5</v>
      </c>
      <c r="AF30" s="1178">
        <f>(SUMPRODUCT(AB30:AD30,AB29:AD29))+AE30</f>
        <v>2.3431480060870553E-2</v>
      </c>
    </row>
    <row r="31" spans="1:32" ht="48.5" customHeight="1" thickBot="1" x14ac:dyDescent="0.35">
      <c r="I31" s="91"/>
      <c r="J31" s="138"/>
      <c r="K31" s="91"/>
      <c r="L31" s="139"/>
      <c r="M31" s="130"/>
      <c r="N31" s="130"/>
      <c r="R31" s="147" t="s">
        <v>271</v>
      </c>
      <c r="S31" s="154"/>
      <c r="T31" s="148"/>
      <c r="U31" s="148"/>
      <c r="V31" s="148"/>
      <c r="W31" s="148"/>
      <c r="AA31" s="1215">
        <f>AA30*(AB28/R1)</f>
        <v>5.8816588111737142E-4</v>
      </c>
      <c r="AB31" s="1208">
        <f>AB28*AB30</f>
        <v>2.5924016858191078E-2</v>
      </c>
      <c r="AC31" s="1208">
        <f>AC28*AC30</f>
        <v>2.1620755663859831E-3</v>
      </c>
      <c r="AD31" s="1208">
        <f>AD28*AD30</f>
        <v>3.1229980403353055E-3</v>
      </c>
      <c r="AE31" s="1216">
        <f>AF28*AE30</f>
        <v>3.2882949581698376E-5</v>
      </c>
      <c r="AF31" s="14">
        <f>AF28*AF30</f>
        <v>3.124197341449407E-2</v>
      </c>
    </row>
    <row r="32" spans="1:32" ht="14.25" customHeight="1" thickBot="1" x14ac:dyDescent="0.35">
      <c r="I32" s="91"/>
      <c r="J32" s="138"/>
      <c r="K32" s="91"/>
      <c r="L32" s="139"/>
      <c r="M32" s="130"/>
      <c r="N32" s="130"/>
      <c r="R32" s="159" t="s">
        <v>261</v>
      </c>
      <c r="S32" s="148">
        <f>S28+S30</f>
        <v>31969.230769230762</v>
      </c>
      <c r="T32" s="148">
        <f>SUM(T28:T30)</f>
        <v>23444.102564102574</v>
      </c>
      <c r="U32" s="148">
        <f>SUM(U28:U30)</f>
        <v>55413.333333333328</v>
      </c>
      <c r="V32" s="148">
        <f>SUM(V28:V30)</f>
        <v>3359.4784876140802</v>
      </c>
      <c r="W32" s="148">
        <f>SUM(W28:W30)</f>
        <v>19.740000000000002</v>
      </c>
      <c r="AC32" s="14">
        <f>AC31+AD31</f>
        <v>5.285073606721289E-3</v>
      </c>
    </row>
    <row r="33" spans="2:25" ht="14.25" customHeight="1" thickBot="1" x14ac:dyDescent="0.35">
      <c r="I33" s="91"/>
      <c r="J33" s="138"/>
      <c r="K33" s="91"/>
      <c r="L33" s="139"/>
      <c r="M33" s="130"/>
      <c r="N33" s="130"/>
      <c r="R33" s="160" t="s">
        <v>272</v>
      </c>
      <c r="S33" s="154"/>
      <c r="T33" s="154"/>
      <c r="U33" s="154"/>
      <c r="V33" s="154"/>
      <c r="W33" s="154"/>
    </row>
    <row r="34" spans="2:25" ht="14.25" customHeight="1" thickBot="1" x14ac:dyDescent="0.35">
      <c r="I34" s="91"/>
      <c r="J34" s="138"/>
      <c r="K34" s="91"/>
      <c r="L34" s="139"/>
      <c r="M34" s="130"/>
      <c r="N34" s="130"/>
      <c r="R34" s="161" t="s">
        <v>273</v>
      </c>
      <c r="S34" s="154"/>
      <c r="T34" s="148"/>
      <c r="U34" s="154"/>
      <c r="V34" s="154"/>
      <c r="W34" s="154"/>
    </row>
    <row r="35" spans="2:25" ht="14.25" customHeight="1" thickBot="1" x14ac:dyDescent="0.35">
      <c r="B35" s="1441" t="s">
        <v>653</v>
      </c>
      <c r="C35" s="1441"/>
      <c r="D35" s="1441"/>
      <c r="E35" s="1441"/>
      <c r="F35" s="1441"/>
      <c r="G35" s="877"/>
      <c r="H35" s="877"/>
      <c r="I35" s="877"/>
      <c r="J35" s="877"/>
      <c r="K35" s="877"/>
      <c r="L35" s="877"/>
      <c r="M35" s="130"/>
      <c r="N35" s="130"/>
      <c r="R35" s="162" t="s">
        <v>253</v>
      </c>
      <c r="S35" s="1125">
        <f>$L$5</f>
        <v>1077.4021406264212</v>
      </c>
      <c r="T35" s="1125">
        <f>SUM(L6:L22)</f>
        <v>219.64765909533676</v>
      </c>
      <c r="U35" s="1214">
        <f>T35+S35+V35+W35</f>
        <v>1322.8605891256116</v>
      </c>
      <c r="V35" s="1213">
        <f>SUM(AT6:AT13)</f>
        <v>24.444174019237956</v>
      </c>
      <c r="W35" s="1125">
        <f>L37</f>
        <v>1.3666153846153846</v>
      </c>
    </row>
    <row r="36" spans="2:25" ht="14.25" customHeight="1" x14ac:dyDescent="0.3">
      <c r="B36" s="848" t="s">
        <v>245</v>
      </c>
      <c r="C36" s="848" t="s">
        <v>321</v>
      </c>
      <c r="D36" s="850" t="s">
        <v>645</v>
      </c>
      <c r="E36" s="847" t="s">
        <v>646</v>
      </c>
      <c r="F36" s="850" t="s">
        <v>647</v>
      </c>
      <c r="G36" s="870"/>
      <c r="H36" s="850" t="s">
        <v>647</v>
      </c>
      <c r="I36" s="850" t="s">
        <v>250</v>
      </c>
      <c r="J36" s="850" t="s">
        <v>251</v>
      </c>
      <c r="K36" s="850" t="s">
        <v>252</v>
      </c>
      <c r="L36" s="850" t="s">
        <v>253</v>
      </c>
      <c r="M36" s="130"/>
      <c r="N36" s="130"/>
    </row>
    <row r="37" spans="2:25" ht="14.25" customHeight="1" x14ac:dyDescent="0.3">
      <c r="B37" s="843" t="s">
        <v>716</v>
      </c>
      <c r="C37" s="844" t="s">
        <v>14</v>
      </c>
      <c r="D37" s="845">
        <v>7.0000000000000007E-2</v>
      </c>
      <c r="E37" s="843">
        <f>$AD$1</f>
        <v>282</v>
      </c>
      <c r="F37" s="843">
        <f>D37*E37</f>
        <v>19.740000000000002</v>
      </c>
      <c r="G37" s="869"/>
      <c r="H37" s="843">
        <f>F37</f>
        <v>19.740000000000002</v>
      </c>
      <c r="I37" s="843">
        <f>VLOOKUP(B37,All_Ingredients!$A$1:$F$149,6,FALSE())</f>
        <v>0.65</v>
      </c>
      <c r="J37" s="843">
        <f>VLOOKUP(B37,All_Ingredients!$A$1:$J$149,10,FALSE())</f>
        <v>45</v>
      </c>
      <c r="K37" s="843">
        <f>(H37/I37)/1000</f>
        <v>3.036923076923077E-2</v>
      </c>
      <c r="L37" s="843">
        <f>K37*J37</f>
        <v>1.3666153846153846</v>
      </c>
      <c r="M37" s="130"/>
      <c r="N37" s="130"/>
    </row>
    <row r="38" spans="2:25" ht="14.25" customHeight="1" x14ac:dyDescent="0.3">
      <c r="B38" s="132"/>
      <c r="C38" s="132"/>
      <c r="D38" s="133"/>
      <c r="E38" s="134"/>
      <c r="F38" s="135"/>
      <c r="G38" s="136"/>
      <c r="H38" s="137"/>
      <c r="I38" s="91"/>
      <c r="J38" s="138"/>
      <c r="K38" s="91"/>
      <c r="L38" s="139"/>
      <c r="M38" s="130"/>
      <c r="N38" s="130"/>
    </row>
    <row r="39" spans="2:25" ht="17.75" customHeight="1" x14ac:dyDescent="0.3">
      <c r="B39" s="132"/>
      <c r="C39" s="132"/>
      <c r="D39" s="133"/>
      <c r="E39" s="134"/>
      <c r="F39" s="135"/>
      <c r="G39" s="136"/>
      <c r="H39" s="137"/>
      <c r="I39" s="91"/>
      <c r="J39" s="138"/>
      <c r="K39" s="91"/>
      <c r="L39" s="139"/>
      <c r="M39" s="130"/>
      <c r="N39" s="130"/>
    </row>
    <row r="40" spans="2:25" ht="31.5" customHeight="1" x14ac:dyDescent="0.3">
      <c r="B40" s="132"/>
      <c r="C40" s="132"/>
      <c r="D40" s="133"/>
      <c r="E40" s="134"/>
      <c r="F40" s="135"/>
      <c r="G40" s="136"/>
      <c r="H40" s="137"/>
      <c r="I40" s="91"/>
      <c r="J40" s="138"/>
      <c r="K40" s="91"/>
      <c r="L40" s="139"/>
      <c r="M40" s="130"/>
      <c r="N40" s="130"/>
      <c r="R40" s="164" t="s">
        <v>274</v>
      </c>
      <c r="S40" s="165">
        <v>0.76923076923076905</v>
      </c>
      <c r="T40" s="164" t="s">
        <v>275</v>
      </c>
      <c r="U40" s="166">
        <v>0.230769230769231</v>
      </c>
      <c r="V40" s="167">
        <f>S40+U40</f>
        <v>1</v>
      </c>
    </row>
    <row r="41" spans="2:25" ht="14.25" customHeight="1" x14ac:dyDescent="0.3">
      <c r="B41" s="132"/>
      <c r="C41" s="132"/>
      <c r="D41" s="133"/>
      <c r="E41" s="134"/>
      <c r="F41" s="135"/>
      <c r="G41" s="136"/>
      <c r="H41" s="137"/>
      <c r="I41" s="91"/>
      <c r="J41" s="138"/>
      <c r="K41" s="91"/>
      <c r="L41" s="139"/>
      <c r="M41" s="130"/>
      <c r="N41" s="130"/>
      <c r="U41" s="168"/>
    </row>
    <row r="42" spans="2:25" ht="14.25" customHeight="1" x14ac:dyDescent="0.3">
      <c r="B42" s="132"/>
      <c r="C42" s="132"/>
      <c r="D42" s="133"/>
      <c r="E42" s="134"/>
      <c r="F42" s="135"/>
      <c r="G42" s="136"/>
      <c r="H42" s="137"/>
      <c r="I42" s="91"/>
      <c r="J42" s="138"/>
      <c r="K42" s="91"/>
      <c r="L42" s="139"/>
      <c r="M42" s="130"/>
      <c r="N42" s="130"/>
    </row>
    <row r="43" spans="2:25" ht="14.25" customHeight="1" thickBot="1" x14ac:dyDescent="0.35">
      <c r="B43" s="132"/>
      <c r="C43" s="132"/>
      <c r="D43" s="133"/>
      <c r="E43" s="134"/>
      <c r="F43" s="135"/>
      <c r="G43" s="136"/>
      <c r="H43" s="137"/>
      <c r="I43" s="91"/>
      <c r="J43" s="138"/>
      <c r="K43" s="91"/>
      <c r="L43" s="139"/>
      <c r="M43" s="130"/>
      <c r="N43" s="130"/>
      <c r="Q43" s="169" t="s">
        <v>276</v>
      </c>
      <c r="R43" s="169" t="s">
        <v>277</v>
      </c>
      <c r="S43" s="169" t="s">
        <v>278</v>
      </c>
      <c r="T43" s="169" t="s">
        <v>279</v>
      </c>
      <c r="U43" s="169" t="s">
        <v>280</v>
      </c>
      <c r="V43" s="169" t="s">
        <v>281</v>
      </c>
      <c r="W43" s="169" t="s">
        <v>282</v>
      </c>
    </row>
    <row r="44" spans="2:25" ht="14.25" customHeight="1" thickBot="1" x14ac:dyDescent="0.35">
      <c r="B44" s="131"/>
      <c r="C44" s="132"/>
      <c r="D44" s="170"/>
      <c r="E44" s="99"/>
      <c r="F44" s="135"/>
      <c r="G44" s="170"/>
      <c r="Q44" s="1338">
        <v>17728</v>
      </c>
      <c r="R44" s="172">
        <f>D51</f>
        <v>10000</v>
      </c>
      <c r="S44" s="1340">
        <v>0.40909090909090912</v>
      </c>
      <c r="T44" s="1340">
        <v>0.59090909090909094</v>
      </c>
      <c r="U44" s="174">
        <f>R44*S44</f>
        <v>4090.909090909091</v>
      </c>
      <c r="V44" s="175">
        <f>R44*T44</f>
        <v>5909.090909090909</v>
      </c>
      <c r="W44" s="176">
        <f>Q44-U44</f>
        <v>13637.090909090908</v>
      </c>
    </row>
    <row r="45" spans="2:25" ht="14.25" customHeight="1" x14ac:dyDescent="0.3"/>
    <row r="46" spans="2:25" ht="14.25" customHeight="1" x14ac:dyDescent="0.3"/>
    <row r="47" spans="2:25" ht="14.25" customHeight="1" x14ac:dyDescent="0.3">
      <c r="Q47" s="169" t="s">
        <v>276</v>
      </c>
      <c r="R47" s="169" t="s">
        <v>277</v>
      </c>
      <c r="S47" s="169" t="s">
        <v>815</v>
      </c>
      <c r="T47" s="169" t="s">
        <v>278</v>
      </c>
      <c r="U47" s="169" t="s">
        <v>279</v>
      </c>
      <c r="V47" s="169" t="s">
        <v>280</v>
      </c>
      <c r="W47" s="169" t="s">
        <v>281</v>
      </c>
      <c r="X47" s="169" t="s">
        <v>816</v>
      </c>
      <c r="Y47" s="169" t="s">
        <v>282</v>
      </c>
    </row>
    <row r="48" spans="2:25" ht="14.25" customHeight="1" x14ac:dyDescent="0.3">
      <c r="Q48" s="171">
        <v>18841</v>
      </c>
      <c r="R48" s="172">
        <f>D55</f>
        <v>3444.1025641025699</v>
      </c>
      <c r="S48" s="173">
        <v>0.05</v>
      </c>
      <c r="T48" s="173">
        <f>43.47826%-(S48/2)</f>
        <v>0.40978259999999994</v>
      </c>
      <c r="U48" s="173">
        <f>56.52174%-(S48/2)</f>
        <v>0.54021739999999996</v>
      </c>
      <c r="V48" s="174">
        <f>R48*T48</f>
        <v>1411.3333033846175</v>
      </c>
      <c r="W48" s="175">
        <f>R48*U48</f>
        <v>1860.5641325128236</v>
      </c>
      <c r="X48" s="175"/>
      <c r="Y48" s="176">
        <f>Q48-V48</f>
        <v>17429.666696615383</v>
      </c>
    </row>
    <row r="49" spans="1:10" ht="14.25" customHeight="1" x14ac:dyDescent="0.3"/>
    <row r="50" spans="1:10" ht="14.25" customHeight="1" x14ac:dyDescent="0.3">
      <c r="B50" s="177"/>
      <c r="C50" s="177" t="s">
        <v>237</v>
      </c>
      <c r="D50" s="161" t="s">
        <v>283</v>
      </c>
      <c r="E50" s="178"/>
      <c r="F50" s="178"/>
      <c r="G50" s="144" t="s">
        <v>284</v>
      </c>
      <c r="H50" s="144" t="s">
        <v>237</v>
      </c>
      <c r="I50" s="144" t="s">
        <v>285</v>
      </c>
      <c r="J50" s="144" t="s">
        <v>286</v>
      </c>
    </row>
    <row r="51" spans="1:10" ht="14.25" customHeight="1" x14ac:dyDescent="0.3">
      <c r="B51" s="179" t="s">
        <v>287</v>
      </c>
      <c r="C51" s="180">
        <f>10/K1</f>
        <v>11.764705882352942</v>
      </c>
      <c r="D51" s="181">
        <f>C1*10</f>
        <v>10000</v>
      </c>
      <c r="E51" s="182"/>
      <c r="F51" s="130"/>
      <c r="G51" s="179" t="s">
        <v>287</v>
      </c>
      <c r="H51" s="180">
        <f>I51/$D$5</f>
        <v>10</v>
      </c>
      <c r="I51" s="180">
        <f>J51/$R$1</f>
        <v>23113.713405238828</v>
      </c>
      <c r="J51" s="180">
        <f>$W$44</f>
        <v>13637.090909090908</v>
      </c>
    </row>
    <row r="52" spans="1:10" ht="14.25" customHeight="1" x14ac:dyDescent="0.3">
      <c r="B52" s="144" t="s">
        <v>266</v>
      </c>
      <c r="C52" s="183">
        <f>I1</f>
        <v>27.581297134238319</v>
      </c>
      <c r="D52" s="184">
        <f>E1</f>
        <v>23444.102564102574</v>
      </c>
      <c r="E52" s="99"/>
      <c r="F52" s="130"/>
      <c r="G52" s="147" t="s">
        <v>266</v>
      </c>
      <c r="H52" s="175">
        <f>I52/$D$5</f>
        <v>23.442852278647699</v>
      </c>
      <c r="I52" s="175">
        <f>J52/$R$1</f>
        <v>54185.136897001292</v>
      </c>
      <c r="J52" s="183">
        <f>$S$32</f>
        <v>31969.230769230762</v>
      </c>
    </row>
    <row r="53" spans="1:10" ht="14.25" customHeight="1" x14ac:dyDescent="0.3">
      <c r="B53" s="144" t="s">
        <v>288</v>
      </c>
      <c r="C53" s="185">
        <f>MIN($C$52,C51)</f>
        <v>11.764705882352942</v>
      </c>
      <c r="D53" s="184">
        <f>(C53*$K$1)*$C$1</f>
        <v>10000</v>
      </c>
      <c r="E53" s="99"/>
      <c r="F53" s="130"/>
      <c r="G53" s="147" t="s">
        <v>288</v>
      </c>
      <c r="H53" s="186">
        <f>MIN(H52,H51)</f>
        <v>10</v>
      </c>
      <c r="I53" s="175">
        <f>J53/$R$1</f>
        <v>23113.713405238828</v>
      </c>
      <c r="J53" s="175">
        <f>MIN(J52,J51)</f>
        <v>13637.090909090908</v>
      </c>
    </row>
    <row r="54" spans="1:10" ht="14.25" customHeight="1" x14ac:dyDescent="0.3">
      <c r="B54" s="144" t="s">
        <v>289</v>
      </c>
      <c r="C54" s="185">
        <f>MIN(MAX($C$52-C53,0),C51)</f>
        <v>11.764705882352942</v>
      </c>
      <c r="D54" s="184">
        <f>(C54*$K$1)*$C$1</f>
        <v>10000</v>
      </c>
      <c r="E54" s="99"/>
      <c r="F54" s="130"/>
      <c r="G54" s="147" t="s">
        <v>289</v>
      </c>
      <c r="H54" s="186">
        <f>MIN(MAX(H52-H53),H51)</f>
        <v>10</v>
      </c>
      <c r="I54" s="175">
        <f>J54/$R$1</f>
        <v>23113.713405238828</v>
      </c>
      <c r="J54" s="175">
        <f>MIN(MAX(J52-J53),J51)</f>
        <v>13637.090909090908</v>
      </c>
    </row>
    <row r="55" spans="1:10" ht="14.25" customHeight="1" x14ac:dyDescent="0.3">
      <c r="B55" s="144" t="s">
        <v>290</v>
      </c>
      <c r="C55" s="185">
        <f>MIN(MAX($C$52-C53-C54,0),C51)</f>
        <v>4.0518853695324353</v>
      </c>
      <c r="D55" s="184">
        <f>(C55*$K$1)*$C$1</f>
        <v>3444.1025641025699</v>
      </c>
      <c r="E55" s="99"/>
      <c r="F55" s="99"/>
      <c r="G55" s="144" t="s">
        <v>290</v>
      </c>
      <c r="H55" s="186">
        <f>MIN(MAX(H52-H53-H54),H51)</f>
        <v>3.4428522786476989</v>
      </c>
      <c r="I55" s="175">
        <f>J55/$R$1</f>
        <v>7957.710086523638</v>
      </c>
      <c r="J55" s="175">
        <f>MIN(MAX(J52-J53-J54),J51)</f>
        <v>4695.048951048946</v>
      </c>
    </row>
    <row r="56" spans="1:10" ht="14.25" customHeight="1" x14ac:dyDescent="0.3"/>
    <row r="57" spans="1:10" ht="14.25" customHeight="1" x14ac:dyDescent="0.3">
      <c r="B57" s="99"/>
      <c r="E57" s="99"/>
      <c r="F57" s="99"/>
    </row>
    <row r="58" spans="1:10" ht="14.25" customHeight="1" x14ac:dyDescent="0.3">
      <c r="B58" s="99"/>
      <c r="E58" s="99"/>
      <c r="F58" s="99"/>
    </row>
    <row r="59" spans="1:10" ht="14.25" customHeight="1" x14ac:dyDescent="0.3">
      <c r="B59" s="99"/>
      <c r="E59" s="99"/>
      <c r="F59" s="99"/>
    </row>
    <row r="60" spans="1:10" ht="14.25" customHeight="1" x14ac:dyDescent="0.3">
      <c r="B60" s="99"/>
      <c r="E60" s="99"/>
      <c r="F60" s="99"/>
    </row>
    <row r="61" spans="1:10" ht="14.25" customHeight="1" x14ac:dyDescent="0.3">
      <c r="B61" s="99"/>
      <c r="E61" s="99"/>
      <c r="F61" s="99"/>
    </row>
    <row r="62" spans="1:10" ht="17.75" customHeight="1" x14ac:dyDescent="0.3">
      <c r="A62" s="922"/>
      <c r="B62" s="1438" t="str">
        <f>" دجاج بالكاري 1 / " &amp; COUNTIF($C$53:$C$55, "&gt;0")</f>
        <v xml:space="preserve"> دجاج بالكاري 1 / 3</v>
      </c>
      <c r="C62" s="1439"/>
      <c r="D62" s="1439"/>
      <c r="E62" s="1439"/>
      <c r="F62" s="1439"/>
      <c r="G62" s="1439"/>
      <c r="H62" s="1439"/>
    </row>
    <row r="63" spans="1:10" ht="17.75" customHeight="1" x14ac:dyDescent="0.3">
      <c r="A63" s="922"/>
      <c r="B63" s="1436" t="str">
        <f>" Curry Chicken  1 / " &amp; COUNTIF($C$53:$C$55, "&gt;0")</f>
        <v xml:space="preserve"> Curry Chicken  1 / 3</v>
      </c>
      <c r="C63" s="1437"/>
      <c r="D63" s="1437"/>
      <c r="E63" s="1437"/>
      <c r="F63" s="1437"/>
      <c r="G63" s="1437"/>
      <c r="H63" s="1437"/>
    </row>
    <row r="64" spans="1:10" ht="44" customHeight="1" x14ac:dyDescent="0.25">
      <c r="A64" s="105"/>
      <c r="B64" s="187" t="s">
        <v>245</v>
      </c>
      <c r="C64" s="188" t="s">
        <v>246</v>
      </c>
      <c r="D64" s="187" t="s">
        <v>235</v>
      </c>
      <c r="E64" s="189" t="s">
        <v>238</v>
      </c>
      <c r="F64" s="189" t="s">
        <v>247</v>
      </c>
      <c r="G64" s="187" t="s">
        <v>248</v>
      </c>
      <c r="H64" s="190" t="s">
        <v>249</v>
      </c>
    </row>
    <row r="65" spans="1:8" ht="14.25" customHeight="1" x14ac:dyDescent="0.25">
      <c r="A65" s="191" t="s">
        <v>225</v>
      </c>
      <c r="B65" s="192" t="str">
        <f>$B$5</f>
        <v>Chicken - دجاج</v>
      </c>
      <c r="C65" s="193" t="str">
        <f t="shared" ref="C65:D82" si="11">C5</f>
        <v>gm</v>
      </c>
      <c r="D65" s="194">
        <f t="shared" si="11"/>
        <v>2311.3713405238827</v>
      </c>
      <c r="E65" s="194">
        <f>H53</f>
        <v>10</v>
      </c>
      <c r="F65" s="126">
        <f>F5</f>
        <v>1</v>
      </c>
      <c r="G65" s="195">
        <f>G5</f>
        <v>54185.136897001292</v>
      </c>
      <c r="H65" s="195">
        <f>H5</f>
        <v>54185.136897001292</v>
      </c>
    </row>
    <row r="66" spans="1:8" ht="14.25" customHeight="1" x14ac:dyDescent="0.3">
      <c r="A66" s="127" t="s">
        <v>13</v>
      </c>
      <c r="B66" s="122" t="str">
        <f t="shared" ref="B66:B82" si="12">B6</f>
        <v>Onion - بصل</v>
      </c>
      <c r="C66" s="122" t="str">
        <f t="shared" si="11"/>
        <v>gm</v>
      </c>
      <c r="D66" s="122">
        <f t="shared" si="11"/>
        <v>150</v>
      </c>
      <c r="E66" s="196">
        <f t="shared" ref="E66:E82" si="13">$C$53</f>
        <v>11.764705882352942</v>
      </c>
      <c r="F66" s="126">
        <f t="shared" ref="F66:F82" si="14">F6</f>
        <v>0.95</v>
      </c>
      <c r="G66" s="118">
        <f t="shared" ref="G66:G81" si="15">D66*E66</f>
        <v>1764.7058823529412</v>
      </c>
      <c r="H66" s="119">
        <f t="shared" ref="H66:H81" si="16">G66*F66</f>
        <v>1676.4705882352941</v>
      </c>
    </row>
    <row r="67" spans="1:8" ht="14.25" customHeight="1" x14ac:dyDescent="0.3">
      <c r="A67" s="127" t="s">
        <v>13</v>
      </c>
      <c r="B67" s="122" t="str">
        <f t="shared" si="12"/>
        <v>Tomato - طماطم</v>
      </c>
      <c r="C67" s="122" t="str">
        <f t="shared" si="11"/>
        <v>gm</v>
      </c>
      <c r="D67" s="122">
        <f t="shared" si="11"/>
        <v>250</v>
      </c>
      <c r="E67" s="196">
        <f t="shared" si="13"/>
        <v>11.764705882352942</v>
      </c>
      <c r="F67" s="126">
        <f t="shared" si="14"/>
        <v>1</v>
      </c>
      <c r="G67" s="118">
        <f t="shared" si="15"/>
        <v>2941.1764705882356</v>
      </c>
      <c r="H67" s="119">
        <f t="shared" si="16"/>
        <v>2941.1764705882356</v>
      </c>
    </row>
    <row r="68" spans="1:8" ht="14.25" customHeight="1" x14ac:dyDescent="0.3">
      <c r="A68" s="127" t="s">
        <v>56</v>
      </c>
      <c r="B68" s="122" t="str">
        <f t="shared" si="12"/>
        <v>Ginger - زنجبيل</v>
      </c>
      <c r="C68" s="122" t="str">
        <f t="shared" si="11"/>
        <v>gm</v>
      </c>
      <c r="D68" s="122">
        <f t="shared" si="11"/>
        <v>15</v>
      </c>
      <c r="E68" s="196">
        <f t="shared" si="13"/>
        <v>11.764705882352942</v>
      </c>
      <c r="F68" s="126">
        <f t="shared" si="14"/>
        <v>0.9</v>
      </c>
      <c r="G68" s="118">
        <f t="shared" si="15"/>
        <v>176.47058823529414</v>
      </c>
      <c r="H68" s="119">
        <f t="shared" si="16"/>
        <v>158.82352941176472</v>
      </c>
    </row>
    <row r="69" spans="1:8" ht="14.25" customHeight="1" x14ac:dyDescent="0.3">
      <c r="A69" s="127" t="s">
        <v>13</v>
      </c>
      <c r="B69" s="122" t="str">
        <f t="shared" si="12"/>
        <v>Garlic - ثوم مقشر</v>
      </c>
      <c r="C69" s="122" t="str">
        <f t="shared" si="11"/>
        <v>gm</v>
      </c>
      <c r="D69" s="122">
        <f t="shared" si="11"/>
        <v>25</v>
      </c>
      <c r="E69" s="196">
        <f t="shared" si="13"/>
        <v>11.764705882352942</v>
      </c>
      <c r="F69" s="126">
        <f t="shared" si="14"/>
        <v>0.9</v>
      </c>
      <c r="G69" s="118">
        <f t="shared" si="15"/>
        <v>294.11764705882354</v>
      </c>
      <c r="H69" s="119">
        <f t="shared" si="16"/>
        <v>264.70588235294122</v>
      </c>
    </row>
    <row r="70" spans="1:8" ht="14.25" customHeight="1" x14ac:dyDescent="0.3">
      <c r="A70" s="127" t="s">
        <v>13</v>
      </c>
      <c r="B70" s="122" t="str">
        <f t="shared" si="12"/>
        <v>Green Chilli Pepper - فلفل أخضر حار</v>
      </c>
      <c r="C70" s="122" t="str">
        <f t="shared" si="11"/>
        <v>gm</v>
      </c>
      <c r="D70" s="122">
        <f t="shared" si="11"/>
        <v>5</v>
      </c>
      <c r="E70" s="196">
        <f t="shared" si="13"/>
        <v>11.764705882352942</v>
      </c>
      <c r="F70" s="126">
        <f t="shared" si="14"/>
        <v>0.75</v>
      </c>
      <c r="G70" s="118">
        <f t="shared" si="15"/>
        <v>58.82352941176471</v>
      </c>
      <c r="H70" s="119">
        <f t="shared" si="16"/>
        <v>44.117647058823536</v>
      </c>
    </row>
    <row r="71" spans="1:8" ht="14.25" customHeight="1" x14ac:dyDescent="0.3">
      <c r="A71" s="127" t="s">
        <v>95</v>
      </c>
      <c r="B71" s="122" t="str">
        <f t="shared" si="12"/>
        <v>Cumin Powder - كمون مطحون</v>
      </c>
      <c r="C71" s="122" t="str">
        <f t="shared" si="11"/>
        <v>gm</v>
      </c>
      <c r="D71" s="122">
        <f t="shared" si="11"/>
        <v>5</v>
      </c>
      <c r="E71" s="196">
        <f t="shared" si="13"/>
        <v>11.764705882352942</v>
      </c>
      <c r="F71" s="126">
        <f t="shared" si="14"/>
        <v>0.9</v>
      </c>
      <c r="G71" s="118">
        <f t="shared" si="15"/>
        <v>58.82352941176471</v>
      </c>
      <c r="H71" s="119">
        <f t="shared" si="16"/>
        <v>52.941176470588239</v>
      </c>
    </row>
    <row r="72" spans="1:8" ht="14.25" customHeight="1" x14ac:dyDescent="0.3">
      <c r="A72" s="127" t="s">
        <v>95</v>
      </c>
      <c r="B72" s="122" t="str">
        <f t="shared" si="12"/>
        <v>Coriander Powder - كزبرة مطحونة</v>
      </c>
      <c r="C72" s="122" t="str">
        <f t="shared" si="11"/>
        <v>gm</v>
      </c>
      <c r="D72" s="122">
        <f t="shared" si="11"/>
        <v>5</v>
      </c>
      <c r="E72" s="196">
        <f t="shared" si="13"/>
        <v>11.764705882352942</v>
      </c>
      <c r="F72" s="126">
        <f t="shared" si="14"/>
        <v>0.9</v>
      </c>
      <c r="G72" s="118">
        <f t="shared" si="15"/>
        <v>58.82352941176471</v>
      </c>
      <c r="H72" s="119">
        <f t="shared" si="16"/>
        <v>52.941176470588239</v>
      </c>
    </row>
    <row r="73" spans="1:8" ht="14.25" customHeight="1" x14ac:dyDescent="0.3">
      <c r="A73" s="127" t="s">
        <v>95</v>
      </c>
      <c r="B73" s="122" t="str">
        <f t="shared" si="12"/>
        <v>Curry Powder - كاري بودرة</v>
      </c>
      <c r="C73" s="122" t="str">
        <f t="shared" si="11"/>
        <v>gm</v>
      </c>
      <c r="D73" s="122">
        <f t="shared" si="11"/>
        <v>10</v>
      </c>
      <c r="E73" s="196">
        <f t="shared" si="13"/>
        <v>11.764705882352942</v>
      </c>
      <c r="F73" s="126">
        <f t="shared" si="14"/>
        <v>0.75</v>
      </c>
      <c r="G73" s="118">
        <f t="shared" si="15"/>
        <v>117.64705882352942</v>
      </c>
      <c r="H73" s="119">
        <f t="shared" si="16"/>
        <v>88.235294117647072</v>
      </c>
    </row>
    <row r="74" spans="1:8" ht="14.25" customHeight="1" x14ac:dyDescent="0.3">
      <c r="A74" s="127" t="s">
        <v>215</v>
      </c>
      <c r="B74" s="122" t="str">
        <f t="shared" si="12"/>
        <v>Saffron yellow color powder - لون صفار زعفران بودر</v>
      </c>
      <c r="C74" s="122" t="str">
        <f t="shared" si="11"/>
        <v>gm</v>
      </c>
      <c r="D74" s="122">
        <f t="shared" si="11"/>
        <v>2</v>
      </c>
      <c r="E74" s="196">
        <f t="shared" si="13"/>
        <v>11.764705882352942</v>
      </c>
      <c r="F74" s="126">
        <f t="shared" si="14"/>
        <v>0.75</v>
      </c>
      <c r="G74" s="118">
        <f t="shared" si="15"/>
        <v>23.529411764705884</v>
      </c>
      <c r="H74" s="119">
        <f t="shared" si="16"/>
        <v>17.647058823529413</v>
      </c>
    </row>
    <row r="75" spans="1:8" ht="14.25" customHeight="1" x14ac:dyDescent="0.3">
      <c r="A75" s="127" t="s">
        <v>95</v>
      </c>
      <c r="B75" s="122" t="str">
        <f t="shared" si="12"/>
        <v>Maggi Cubes - مكعبات ماجي</v>
      </c>
      <c r="C75" s="122" t="str">
        <f t="shared" si="11"/>
        <v>gm</v>
      </c>
      <c r="D75" s="122">
        <f t="shared" si="11"/>
        <v>5</v>
      </c>
      <c r="E75" s="196">
        <f t="shared" si="13"/>
        <v>11.764705882352942</v>
      </c>
      <c r="F75" s="126">
        <f t="shared" si="14"/>
        <v>0.6</v>
      </c>
      <c r="G75" s="118">
        <f t="shared" si="15"/>
        <v>58.82352941176471</v>
      </c>
      <c r="H75" s="119">
        <f t="shared" si="16"/>
        <v>35.294117647058826</v>
      </c>
    </row>
    <row r="76" spans="1:8" ht="14.25" customHeight="1" x14ac:dyDescent="0.3">
      <c r="A76" s="127" t="s">
        <v>95</v>
      </c>
      <c r="B76" s="122" t="str">
        <f t="shared" si="12"/>
        <v>Salt - ملح</v>
      </c>
      <c r="C76" s="122" t="str">
        <f t="shared" si="11"/>
        <v>gm</v>
      </c>
      <c r="D76" s="122">
        <f t="shared" si="11"/>
        <v>5</v>
      </c>
      <c r="E76" s="196">
        <f t="shared" si="13"/>
        <v>11.764705882352942</v>
      </c>
      <c r="F76" s="126">
        <f t="shared" si="14"/>
        <v>0.75</v>
      </c>
      <c r="G76" s="118">
        <f t="shared" si="15"/>
        <v>58.82352941176471</v>
      </c>
      <c r="H76" s="119">
        <f t="shared" si="16"/>
        <v>44.117647058823536</v>
      </c>
    </row>
    <row r="77" spans="1:8" ht="14.25" customHeight="1" x14ac:dyDescent="0.3">
      <c r="A77" s="127" t="s">
        <v>154</v>
      </c>
      <c r="B77" s="122" t="str">
        <f t="shared" si="12"/>
        <v>Butter - زبدة</v>
      </c>
      <c r="C77" s="122" t="str">
        <f t="shared" si="11"/>
        <v>gm</v>
      </c>
      <c r="D77" s="122">
        <f t="shared" si="11"/>
        <v>20</v>
      </c>
      <c r="E77" s="196">
        <f t="shared" si="13"/>
        <v>11.764705882352942</v>
      </c>
      <c r="F77" s="126">
        <f t="shared" si="14"/>
        <v>1</v>
      </c>
      <c r="G77" s="118">
        <f t="shared" si="15"/>
        <v>235.29411764705884</v>
      </c>
      <c r="H77" s="119">
        <f t="shared" si="16"/>
        <v>235.29411764705884</v>
      </c>
    </row>
    <row r="78" spans="1:8" ht="17.75" customHeight="1" x14ac:dyDescent="0.3">
      <c r="A78" s="127" t="s">
        <v>154</v>
      </c>
      <c r="B78" s="122" t="str">
        <f t="shared" si="12"/>
        <v>Yogurt - زبادي</v>
      </c>
      <c r="C78" s="122" t="str">
        <f t="shared" si="11"/>
        <v>gm</v>
      </c>
      <c r="D78" s="122">
        <f t="shared" si="11"/>
        <v>200</v>
      </c>
      <c r="E78" s="196">
        <f t="shared" si="13"/>
        <v>11.764705882352942</v>
      </c>
      <c r="F78" s="126">
        <f t="shared" si="14"/>
        <v>1</v>
      </c>
      <c r="G78" s="118">
        <f t="shared" si="15"/>
        <v>2352.9411764705883</v>
      </c>
      <c r="H78" s="119">
        <f t="shared" si="16"/>
        <v>2352.9411764705883</v>
      </c>
    </row>
    <row r="79" spans="1:8" ht="14.25" customHeight="1" x14ac:dyDescent="0.3">
      <c r="A79" s="127" t="s">
        <v>154</v>
      </c>
      <c r="B79" s="122" t="str">
        <f t="shared" si="12"/>
        <v>Cooking Cream - كريمة طبخ</v>
      </c>
      <c r="C79" s="122" t="str">
        <f t="shared" si="11"/>
        <v>ml</v>
      </c>
      <c r="D79" s="122">
        <f t="shared" si="11"/>
        <v>300</v>
      </c>
      <c r="E79" s="196">
        <f t="shared" si="13"/>
        <v>11.764705882352942</v>
      </c>
      <c r="F79" s="126">
        <f t="shared" si="14"/>
        <v>1</v>
      </c>
      <c r="G79" s="118">
        <f t="shared" si="15"/>
        <v>3529.4117647058824</v>
      </c>
      <c r="H79" s="119">
        <f t="shared" si="16"/>
        <v>3529.4117647058824</v>
      </c>
    </row>
    <row r="80" spans="1:8" ht="14.25" customHeight="1" x14ac:dyDescent="0.3">
      <c r="A80" s="127" t="s">
        <v>206</v>
      </c>
      <c r="B80" s="122" t="str">
        <f t="shared" si="12"/>
        <v>Water - ماء</v>
      </c>
      <c r="C80" s="122" t="str">
        <f t="shared" si="11"/>
        <v>ml</v>
      </c>
      <c r="D80" s="122">
        <f t="shared" si="11"/>
        <v>170</v>
      </c>
      <c r="E80" s="196">
        <f t="shared" si="13"/>
        <v>11.764705882352942</v>
      </c>
      <c r="F80" s="126">
        <f t="shared" si="14"/>
        <v>1</v>
      </c>
      <c r="G80" s="118">
        <f t="shared" si="15"/>
        <v>2000.0000000000002</v>
      </c>
      <c r="H80" s="119">
        <f t="shared" si="16"/>
        <v>2000.0000000000002</v>
      </c>
    </row>
    <row r="81" spans="1:10" ht="14.25" customHeight="1" x14ac:dyDescent="0.3">
      <c r="A81" s="127" t="s">
        <v>62</v>
      </c>
      <c r="B81" s="122" t="str">
        <f t="shared" si="12"/>
        <v>Coriander Leaves - كزبرة خضراء</v>
      </c>
      <c r="C81" s="122" t="str">
        <f t="shared" si="11"/>
        <v>gm</v>
      </c>
      <c r="D81" s="122">
        <f t="shared" si="11"/>
        <v>5</v>
      </c>
      <c r="E81" s="196">
        <f t="shared" si="13"/>
        <v>11.764705882352942</v>
      </c>
      <c r="F81" s="126">
        <f t="shared" si="14"/>
        <v>0.75</v>
      </c>
      <c r="G81" s="118">
        <f t="shared" si="15"/>
        <v>58.82352941176471</v>
      </c>
      <c r="H81" s="119">
        <f t="shared" si="16"/>
        <v>44.117647058823536</v>
      </c>
    </row>
    <row r="82" spans="1:10" ht="20.25" customHeight="1" x14ac:dyDescent="0.4">
      <c r="A82" s="127" t="s">
        <v>206</v>
      </c>
      <c r="B82" s="122" t="str">
        <f t="shared" si="12"/>
        <v>Corn Starch - نشا ذرة</v>
      </c>
      <c r="C82" s="122" t="str">
        <f t="shared" si="11"/>
        <v>gm</v>
      </c>
      <c r="D82" s="122">
        <f t="shared" si="11"/>
        <v>20</v>
      </c>
      <c r="E82" s="196">
        <f t="shared" si="13"/>
        <v>11.764705882352942</v>
      </c>
      <c r="F82" s="126">
        <f t="shared" si="14"/>
        <v>1</v>
      </c>
      <c r="G82" s="118">
        <f>D82*E82</f>
        <v>235.29411764705884</v>
      </c>
      <c r="H82" s="119">
        <f>G82*F82</f>
        <v>235.29411764705884</v>
      </c>
      <c r="I82" s="203"/>
      <c r="J82" s="202"/>
    </row>
    <row r="83" spans="1:10" ht="18" x14ac:dyDescent="0.3">
      <c r="B83" s="197" t="s">
        <v>291</v>
      </c>
      <c r="C83" s="199" t="s">
        <v>277</v>
      </c>
      <c r="E83" s="199" t="s">
        <v>292</v>
      </c>
      <c r="G83" s="878" t="s">
        <v>268</v>
      </c>
      <c r="H83" s="878" t="s">
        <v>703</v>
      </c>
    </row>
    <row r="84" spans="1:10" ht="20" x14ac:dyDescent="0.4">
      <c r="B84" s="198">
        <f>$J$53</f>
        <v>13637.090909090908</v>
      </c>
      <c r="C84" s="198">
        <f>E84+G84</f>
        <v>10000</v>
      </c>
      <c r="D84" s="915"/>
      <c r="E84" s="198">
        <f>$D$53*$S$44</f>
        <v>4090.909090909091</v>
      </c>
      <c r="F84" s="919"/>
      <c r="G84" s="198">
        <f>$D$53*$T$44</f>
        <v>5909.090909090909</v>
      </c>
      <c r="H84" s="198">
        <f>B84+E84</f>
        <v>17728</v>
      </c>
    </row>
    <row r="85" spans="1:10" ht="17.75" customHeight="1" x14ac:dyDescent="0.3"/>
    <row r="86" spans="1:10" ht="17.75" customHeight="1" x14ac:dyDescent="0.3">
      <c r="A86" s="922"/>
      <c r="B86" s="1438" t="str">
        <f>" دجاج بالكاري 2 / " &amp; COUNTIF($C$53:$C$55, "&gt;0")</f>
        <v xml:space="preserve"> دجاج بالكاري 2 / 3</v>
      </c>
      <c r="C86" s="1439"/>
      <c r="D86" s="1439"/>
      <c r="E86" s="1439"/>
      <c r="F86" s="1439"/>
      <c r="G86" s="1439"/>
      <c r="H86" s="1439"/>
    </row>
    <row r="87" spans="1:10" ht="25.5" customHeight="1" x14ac:dyDescent="0.3">
      <c r="A87" s="922"/>
      <c r="B87" s="1436" t="str">
        <f>" Curry Chicken  2 / " &amp; COUNTIF($C$53:$C$55, "&gt;0")</f>
        <v xml:space="preserve"> Curry Chicken  2 / 3</v>
      </c>
      <c r="C87" s="1437"/>
      <c r="D87" s="1437"/>
      <c r="E87" s="1437"/>
      <c r="F87" s="1437"/>
      <c r="G87" s="1437"/>
      <c r="H87" s="1437"/>
    </row>
    <row r="88" spans="1:10" ht="26" x14ac:dyDescent="0.25">
      <c r="A88" s="105"/>
      <c r="B88" s="90" t="s">
        <v>245</v>
      </c>
      <c r="C88" s="106" t="s">
        <v>246</v>
      </c>
      <c r="D88" s="90" t="s">
        <v>235</v>
      </c>
      <c r="E88" s="107" t="s">
        <v>238</v>
      </c>
      <c r="F88" s="107" t="s">
        <v>247</v>
      </c>
      <c r="G88" s="90" t="s">
        <v>248</v>
      </c>
      <c r="H88" s="108" t="s">
        <v>249</v>
      </c>
    </row>
    <row r="89" spans="1:10" ht="14.25" customHeight="1" x14ac:dyDescent="0.25">
      <c r="A89" s="191" t="s">
        <v>225</v>
      </c>
      <c r="B89" s="192" t="str">
        <f>$B$5</f>
        <v>Chicken - دجاج</v>
      </c>
      <c r="C89" s="114" t="str">
        <f t="shared" ref="C89:D106" si="17">C5</f>
        <v>gm</v>
      </c>
      <c r="D89" s="204">
        <f t="shared" si="17"/>
        <v>2311.3713405238827</v>
      </c>
      <c r="E89" s="205">
        <f>H54</f>
        <v>10</v>
      </c>
      <c r="F89" s="126">
        <f>F5</f>
        <v>1</v>
      </c>
      <c r="G89" s="206">
        <f>G5</f>
        <v>54185.136897001292</v>
      </c>
      <c r="H89" s="206">
        <f>H5</f>
        <v>54185.136897001292</v>
      </c>
    </row>
    <row r="90" spans="1:10" ht="14.25" customHeight="1" x14ac:dyDescent="0.3">
      <c r="A90" s="127" t="s">
        <v>13</v>
      </c>
      <c r="B90" s="122" t="str">
        <f t="shared" ref="B90:B106" si="18">B6</f>
        <v>Onion - بصل</v>
      </c>
      <c r="C90" s="122" t="str">
        <f t="shared" si="17"/>
        <v>gm</v>
      </c>
      <c r="D90" s="122">
        <f t="shared" si="17"/>
        <v>150</v>
      </c>
      <c r="E90" s="125">
        <f t="shared" ref="E90:E106" si="19">$C$54</f>
        <v>11.764705882352942</v>
      </c>
      <c r="F90" s="126">
        <f t="shared" ref="F90:F106" si="20">F6</f>
        <v>0.95</v>
      </c>
      <c r="G90" s="118">
        <f t="shared" ref="G90:G105" si="21">D90*E90</f>
        <v>1764.7058823529412</v>
      </c>
      <c r="H90" s="119">
        <f t="shared" ref="H90:H105" si="22">G90*F90</f>
        <v>1676.4705882352941</v>
      </c>
    </row>
    <row r="91" spans="1:10" ht="14.25" customHeight="1" x14ac:dyDescent="0.3">
      <c r="A91" s="127" t="s">
        <v>13</v>
      </c>
      <c r="B91" s="122" t="str">
        <f t="shared" si="18"/>
        <v>Tomato - طماطم</v>
      </c>
      <c r="C91" s="122" t="str">
        <f t="shared" si="17"/>
        <v>gm</v>
      </c>
      <c r="D91" s="122">
        <f t="shared" si="17"/>
        <v>250</v>
      </c>
      <c r="E91" s="125">
        <f t="shared" si="19"/>
        <v>11.764705882352942</v>
      </c>
      <c r="F91" s="126">
        <f t="shared" si="20"/>
        <v>1</v>
      </c>
      <c r="G91" s="118">
        <f t="shared" si="21"/>
        <v>2941.1764705882356</v>
      </c>
      <c r="H91" s="119">
        <f t="shared" si="22"/>
        <v>2941.1764705882356</v>
      </c>
    </row>
    <row r="92" spans="1:10" ht="14.25" customHeight="1" x14ac:dyDescent="0.3">
      <c r="A92" s="127" t="s">
        <v>56</v>
      </c>
      <c r="B92" s="122" t="str">
        <f t="shared" si="18"/>
        <v>Ginger - زنجبيل</v>
      </c>
      <c r="C92" s="122" t="str">
        <f t="shared" si="17"/>
        <v>gm</v>
      </c>
      <c r="D92" s="122">
        <f t="shared" si="17"/>
        <v>15</v>
      </c>
      <c r="E92" s="125">
        <f t="shared" si="19"/>
        <v>11.764705882352942</v>
      </c>
      <c r="F92" s="126">
        <f t="shared" si="20"/>
        <v>0.9</v>
      </c>
      <c r="G92" s="118">
        <f t="shared" si="21"/>
        <v>176.47058823529414</v>
      </c>
      <c r="H92" s="119">
        <f t="shared" si="22"/>
        <v>158.82352941176472</v>
      </c>
    </row>
    <row r="93" spans="1:10" ht="14.25" customHeight="1" x14ac:dyDescent="0.3">
      <c r="A93" s="127" t="s">
        <v>13</v>
      </c>
      <c r="B93" s="122" t="str">
        <f t="shared" si="18"/>
        <v>Garlic - ثوم مقشر</v>
      </c>
      <c r="C93" s="122" t="str">
        <f t="shared" si="17"/>
        <v>gm</v>
      </c>
      <c r="D93" s="122">
        <f t="shared" si="17"/>
        <v>25</v>
      </c>
      <c r="E93" s="125">
        <f t="shared" si="19"/>
        <v>11.764705882352942</v>
      </c>
      <c r="F93" s="126">
        <f t="shared" si="20"/>
        <v>0.9</v>
      </c>
      <c r="G93" s="118">
        <f t="shared" si="21"/>
        <v>294.11764705882354</v>
      </c>
      <c r="H93" s="119">
        <f t="shared" si="22"/>
        <v>264.70588235294122</v>
      </c>
    </row>
    <row r="94" spans="1:10" ht="14.25" customHeight="1" x14ac:dyDescent="0.3">
      <c r="A94" s="127" t="s">
        <v>13</v>
      </c>
      <c r="B94" s="122" t="str">
        <f t="shared" si="18"/>
        <v>Green Chilli Pepper - فلفل أخضر حار</v>
      </c>
      <c r="C94" s="122" t="str">
        <f t="shared" si="17"/>
        <v>gm</v>
      </c>
      <c r="D94" s="122">
        <f t="shared" si="17"/>
        <v>5</v>
      </c>
      <c r="E94" s="125">
        <f t="shared" si="19"/>
        <v>11.764705882352942</v>
      </c>
      <c r="F94" s="126">
        <f t="shared" si="20"/>
        <v>0.75</v>
      </c>
      <c r="G94" s="118">
        <f t="shared" si="21"/>
        <v>58.82352941176471</v>
      </c>
      <c r="H94" s="119">
        <f t="shared" si="22"/>
        <v>44.117647058823536</v>
      </c>
    </row>
    <row r="95" spans="1:10" ht="14.25" customHeight="1" x14ac:dyDescent="0.3">
      <c r="A95" s="127" t="s">
        <v>95</v>
      </c>
      <c r="B95" s="122" t="str">
        <f t="shared" si="18"/>
        <v>Cumin Powder - كمون مطحون</v>
      </c>
      <c r="C95" s="122" t="str">
        <f t="shared" si="17"/>
        <v>gm</v>
      </c>
      <c r="D95" s="122">
        <f t="shared" si="17"/>
        <v>5</v>
      </c>
      <c r="E95" s="125">
        <f t="shared" si="19"/>
        <v>11.764705882352942</v>
      </c>
      <c r="F95" s="126">
        <f t="shared" si="20"/>
        <v>0.9</v>
      </c>
      <c r="G95" s="118">
        <f t="shared" si="21"/>
        <v>58.82352941176471</v>
      </c>
      <c r="H95" s="119">
        <f t="shared" si="22"/>
        <v>52.941176470588239</v>
      </c>
    </row>
    <row r="96" spans="1:10" ht="14.25" customHeight="1" x14ac:dyDescent="0.3">
      <c r="A96" s="127" t="s">
        <v>95</v>
      </c>
      <c r="B96" s="122" t="str">
        <f t="shared" si="18"/>
        <v>Coriander Powder - كزبرة مطحونة</v>
      </c>
      <c r="C96" s="122" t="str">
        <f t="shared" si="17"/>
        <v>gm</v>
      </c>
      <c r="D96" s="122">
        <f t="shared" si="17"/>
        <v>5</v>
      </c>
      <c r="E96" s="125">
        <f t="shared" si="19"/>
        <v>11.764705882352942</v>
      </c>
      <c r="F96" s="126">
        <f t="shared" si="20"/>
        <v>0.9</v>
      </c>
      <c r="G96" s="118">
        <f t="shared" si="21"/>
        <v>58.82352941176471</v>
      </c>
      <c r="H96" s="119">
        <f t="shared" si="22"/>
        <v>52.941176470588239</v>
      </c>
    </row>
    <row r="97" spans="1:10" ht="14.25" customHeight="1" x14ac:dyDescent="0.3">
      <c r="A97" s="127" t="s">
        <v>95</v>
      </c>
      <c r="B97" s="122" t="str">
        <f t="shared" si="18"/>
        <v>Curry Powder - كاري بودرة</v>
      </c>
      <c r="C97" s="122" t="str">
        <f t="shared" si="17"/>
        <v>gm</v>
      </c>
      <c r="D97" s="122">
        <f t="shared" si="17"/>
        <v>10</v>
      </c>
      <c r="E97" s="125">
        <f t="shared" si="19"/>
        <v>11.764705882352942</v>
      </c>
      <c r="F97" s="126">
        <f t="shared" si="20"/>
        <v>0.75</v>
      </c>
      <c r="G97" s="118">
        <f t="shared" si="21"/>
        <v>117.64705882352942</v>
      </c>
      <c r="H97" s="119">
        <f t="shared" si="22"/>
        <v>88.235294117647072</v>
      </c>
    </row>
    <row r="98" spans="1:10" ht="14.25" customHeight="1" x14ac:dyDescent="0.3">
      <c r="A98" s="127" t="s">
        <v>215</v>
      </c>
      <c r="B98" s="122" t="str">
        <f t="shared" si="18"/>
        <v>Saffron yellow color powder - لون صفار زعفران بودر</v>
      </c>
      <c r="C98" s="122" t="str">
        <f t="shared" si="17"/>
        <v>gm</v>
      </c>
      <c r="D98" s="122">
        <f t="shared" si="17"/>
        <v>2</v>
      </c>
      <c r="E98" s="125">
        <f t="shared" si="19"/>
        <v>11.764705882352942</v>
      </c>
      <c r="F98" s="126">
        <f t="shared" si="20"/>
        <v>0.75</v>
      </c>
      <c r="G98" s="118">
        <f t="shared" si="21"/>
        <v>23.529411764705884</v>
      </c>
      <c r="H98" s="119">
        <f t="shared" si="22"/>
        <v>17.647058823529413</v>
      </c>
    </row>
    <row r="99" spans="1:10" ht="14.25" customHeight="1" x14ac:dyDescent="0.3">
      <c r="A99" s="127" t="s">
        <v>95</v>
      </c>
      <c r="B99" s="122" t="str">
        <f t="shared" si="18"/>
        <v>Maggi Cubes - مكعبات ماجي</v>
      </c>
      <c r="C99" s="122" t="str">
        <f t="shared" si="17"/>
        <v>gm</v>
      </c>
      <c r="D99" s="122">
        <f t="shared" si="17"/>
        <v>5</v>
      </c>
      <c r="E99" s="125">
        <f t="shared" si="19"/>
        <v>11.764705882352942</v>
      </c>
      <c r="F99" s="126">
        <f t="shared" si="20"/>
        <v>0.6</v>
      </c>
      <c r="G99" s="118">
        <f t="shared" si="21"/>
        <v>58.82352941176471</v>
      </c>
      <c r="H99" s="119">
        <f t="shared" si="22"/>
        <v>35.294117647058826</v>
      </c>
    </row>
    <row r="100" spans="1:10" ht="14.25" customHeight="1" x14ac:dyDescent="0.3">
      <c r="A100" s="127" t="s">
        <v>95</v>
      </c>
      <c r="B100" s="122" t="str">
        <f t="shared" si="18"/>
        <v>Salt - ملح</v>
      </c>
      <c r="C100" s="122" t="str">
        <f t="shared" si="17"/>
        <v>gm</v>
      </c>
      <c r="D100" s="122">
        <f t="shared" si="17"/>
        <v>5</v>
      </c>
      <c r="E100" s="125">
        <f t="shared" si="19"/>
        <v>11.764705882352942</v>
      </c>
      <c r="F100" s="126">
        <f t="shared" si="20"/>
        <v>0.75</v>
      </c>
      <c r="G100" s="118">
        <f t="shared" si="21"/>
        <v>58.82352941176471</v>
      </c>
      <c r="H100" s="119">
        <f t="shared" si="22"/>
        <v>44.117647058823536</v>
      </c>
    </row>
    <row r="101" spans="1:10" ht="14.25" customHeight="1" x14ac:dyDescent="0.3">
      <c r="A101" s="127" t="s">
        <v>154</v>
      </c>
      <c r="B101" s="122" t="str">
        <f t="shared" si="18"/>
        <v>Butter - زبدة</v>
      </c>
      <c r="C101" s="122" t="str">
        <f t="shared" si="17"/>
        <v>gm</v>
      </c>
      <c r="D101" s="122">
        <f t="shared" si="17"/>
        <v>20</v>
      </c>
      <c r="E101" s="125">
        <f t="shared" si="19"/>
        <v>11.764705882352942</v>
      </c>
      <c r="F101" s="126">
        <f t="shared" si="20"/>
        <v>1</v>
      </c>
      <c r="G101" s="118">
        <f t="shared" si="21"/>
        <v>235.29411764705884</v>
      </c>
      <c r="H101" s="119">
        <f t="shared" si="22"/>
        <v>235.29411764705884</v>
      </c>
    </row>
    <row r="102" spans="1:10" ht="14.25" customHeight="1" x14ac:dyDescent="0.3">
      <c r="A102" s="127" t="s">
        <v>154</v>
      </c>
      <c r="B102" s="122" t="str">
        <f t="shared" si="18"/>
        <v>Yogurt - زبادي</v>
      </c>
      <c r="C102" s="122" t="str">
        <f t="shared" si="17"/>
        <v>gm</v>
      </c>
      <c r="D102" s="122">
        <f t="shared" si="17"/>
        <v>200</v>
      </c>
      <c r="E102" s="125">
        <f t="shared" si="19"/>
        <v>11.764705882352942</v>
      </c>
      <c r="F102" s="126">
        <f t="shared" si="20"/>
        <v>1</v>
      </c>
      <c r="G102" s="118">
        <f t="shared" si="21"/>
        <v>2352.9411764705883</v>
      </c>
      <c r="H102" s="119">
        <f t="shared" si="22"/>
        <v>2352.9411764705883</v>
      </c>
    </row>
    <row r="103" spans="1:10" ht="14.25" customHeight="1" x14ac:dyDescent="0.3">
      <c r="A103" s="127" t="s">
        <v>154</v>
      </c>
      <c r="B103" s="122" t="str">
        <f t="shared" si="18"/>
        <v>Cooking Cream - كريمة طبخ</v>
      </c>
      <c r="C103" s="122" t="str">
        <f t="shared" si="17"/>
        <v>ml</v>
      </c>
      <c r="D103" s="122">
        <f t="shared" si="17"/>
        <v>300</v>
      </c>
      <c r="E103" s="125">
        <f t="shared" si="19"/>
        <v>11.764705882352942</v>
      </c>
      <c r="F103" s="126">
        <f t="shared" si="20"/>
        <v>1</v>
      </c>
      <c r="G103" s="118">
        <f t="shared" si="21"/>
        <v>3529.4117647058824</v>
      </c>
      <c r="H103" s="119">
        <f t="shared" si="22"/>
        <v>3529.4117647058824</v>
      </c>
    </row>
    <row r="104" spans="1:10" ht="14.25" customHeight="1" x14ac:dyDescent="0.3">
      <c r="A104" s="127" t="s">
        <v>206</v>
      </c>
      <c r="B104" s="122" t="str">
        <f t="shared" si="18"/>
        <v>Water - ماء</v>
      </c>
      <c r="C104" s="122" t="str">
        <f t="shared" si="17"/>
        <v>ml</v>
      </c>
      <c r="D104" s="122">
        <f t="shared" si="17"/>
        <v>170</v>
      </c>
      <c r="E104" s="125">
        <f t="shared" si="19"/>
        <v>11.764705882352942</v>
      </c>
      <c r="F104" s="126">
        <f t="shared" si="20"/>
        <v>1</v>
      </c>
      <c r="G104" s="118">
        <f t="shared" si="21"/>
        <v>2000.0000000000002</v>
      </c>
      <c r="H104" s="119">
        <f t="shared" si="22"/>
        <v>2000.0000000000002</v>
      </c>
    </row>
    <row r="105" spans="1:10" ht="20.25" customHeight="1" x14ac:dyDescent="0.4">
      <c r="A105" s="127" t="s">
        <v>62</v>
      </c>
      <c r="B105" s="122" t="str">
        <f t="shared" si="18"/>
        <v>Coriander Leaves - كزبرة خضراء</v>
      </c>
      <c r="C105" s="122" t="str">
        <f t="shared" si="17"/>
        <v>gm</v>
      </c>
      <c r="D105" s="122">
        <f t="shared" si="17"/>
        <v>5</v>
      </c>
      <c r="E105" s="125">
        <f t="shared" si="19"/>
        <v>11.764705882352942</v>
      </c>
      <c r="F105" s="126">
        <f t="shared" si="20"/>
        <v>0.75</v>
      </c>
      <c r="G105" s="118">
        <f t="shared" si="21"/>
        <v>58.82352941176471</v>
      </c>
      <c r="H105" s="119">
        <f t="shared" si="22"/>
        <v>44.117647058823536</v>
      </c>
      <c r="I105" s="203"/>
      <c r="J105" s="202"/>
    </row>
    <row r="106" spans="1:10" ht="14.25" customHeight="1" x14ac:dyDescent="0.3">
      <c r="A106" s="127" t="s">
        <v>62</v>
      </c>
      <c r="B106" s="122" t="str">
        <f t="shared" si="18"/>
        <v>Corn Starch - نشا ذرة</v>
      </c>
      <c r="C106" s="122" t="str">
        <f t="shared" si="17"/>
        <v>gm</v>
      </c>
      <c r="D106" s="122">
        <f t="shared" si="17"/>
        <v>20</v>
      </c>
      <c r="E106" s="125">
        <f t="shared" si="19"/>
        <v>11.764705882352942</v>
      </c>
      <c r="F106" s="126">
        <f t="shared" si="20"/>
        <v>1</v>
      </c>
      <c r="G106" s="118">
        <f>D106*E106</f>
        <v>235.29411764705884</v>
      </c>
      <c r="H106" s="119">
        <f>G106*F106</f>
        <v>235.29411764705884</v>
      </c>
    </row>
    <row r="107" spans="1:10" ht="18" x14ac:dyDescent="0.3">
      <c r="B107" s="197" t="s">
        <v>291</v>
      </c>
      <c r="C107" s="199" t="s">
        <v>277</v>
      </c>
      <c r="E107" s="199" t="s">
        <v>292</v>
      </c>
      <c r="G107" s="878" t="s">
        <v>268</v>
      </c>
      <c r="H107" s="878" t="s">
        <v>703</v>
      </c>
    </row>
    <row r="108" spans="1:10" ht="20" x14ac:dyDescent="0.4">
      <c r="B108" s="198">
        <f>$J$54</f>
        <v>13637.090909090908</v>
      </c>
      <c r="C108" s="198">
        <f>E108+G108</f>
        <v>10000</v>
      </c>
      <c r="D108" s="915"/>
      <c r="E108" s="198">
        <f>$D$54*$S$44</f>
        <v>4090.909090909091</v>
      </c>
      <c r="F108" s="919"/>
      <c r="G108" s="198">
        <f>$D$54*$T$44</f>
        <v>5909.090909090909</v>
      </c>
      <c r="H108" s="198">
        <f>B108+E108</f>
        <v>17728</v>
      </c>
    </row>
    <row r="112" spans="1:10" ht="17.75" customHeight="1" x14ac:dyDescent="0.3"/>
    <row r="113" spans="1:8" ht="17.75" customHeight="1" x14ac:dyDescent="0.3"/>
    <row r="114" spans="1:8" ht="25.5" customHeight="1" x14ac:dyDescent="0.3">
      <c r="A114" s="922"/>
      <c r="B114" s="1438" t="str">
        <f>" دجاج بالكاري 3 / " &amp; COUNTIF($C$53:$C$55, "&gt;0")</f>
        <v xml:space="preserve"> دجاج بالكاري 3 / 3</v>
      </c>
      <c r="C114" s="1439"/>
      <c r="D114" s="1439"/>
      <c r="E114" s="1439"/>
      <c r="F114" s="1439"/>
      <c r="G114" s="1439"/>
      <c r="H114" s="1439"/>
    </row>
    <row r="115" spans="1:8" ht="14.25" customHeight="1" x14ac:dyDescent="0.3">
      <c r="A115" s="922"/>
      <c r="B115" s="1436" t="str">
        <f>" Curry Chicken  3 / " &amp; COUNTIF($C$53:$C$55, "&gt;0")</f>
        <v xml:space="preserve"> Curry Chicken  3 / 3</v>
      </c>
      <c r="C115" s="1437"/>
      <c r="D115" s="1437"/>
      <c r="E115" s="1437"/>
      <c r="F115" s="1437"/>
      <c r="G115" s="1437"/>
      <c r="H115" s="1437"/>
    </row>
    <row r="116" spans="1:8" ht="44.75" customHeight="1" x14ac:dyDescent="0.25">
      <c r="A116" s="105"/>
      <c r="B116" s="90" t="s">
        <v>245</v>
      </c>
      <c r="C116" s="106" t="s">
        <v>246</v>
      </c>
      <c r="D116" s="90" t="s">
        <v>235</v>
      </c>
      <c r="E116" s="107" t="s">
        <v>238</v>
      </c>
      <c r="F116" s="107" t="s">
        <v>247</v>
      </c>
      <c r="G116" s="90" t="s">
        <v>248</v>
      </c>
      <c r="H116" s="108" t="s">
        <v>249</v>
      </c>
    </row>
    <row r="117" spans="1:8" ht="14.25" customHeight="1" x14ac:dyDescent="0.25">
      <c r="A117" s="191" t="s">
        <v>225</v>
      </c>
      <c r="B117" s="192" t="str">
        <f>$B$5</f>
        <v>Chicken - دجاج</v>
      </c>
      <c r="C117" s="114" t="str">
        <f t="shared" ref="C117:D134" si="23">C5</f>
        <v>gm</v>
      </c>
      <c r="D117" s="204">
        <f t="shared" si="23"/>
        <v>2311.3713405238827</v>
      </c>
      <c r="E117" s="209">
        <f>H55</f>
        <v>3.4428522786476989</v>
      </c>
      <c r="F117" s="759">
        <f>F5</f>
        <v>1</v>
      </c>
      <c r="G117" s="114">
        <f>G5</f>
        <v>54185.136897001292</v>
      </c>
      <c r="H117" s="206">
        <f>H5</f>
        <v>54185.136897001292</v>
      </c>
    </row>
    <row r="118" spans="1:8" ht="14.25" customHeight="1" x14ac:dyDescent="0.3">
      <c r="A118" s="127" t="s">
        <v>13</v>
      </c>
      <c r="B118" s="122" t="str">
        <f t="shared" ref="B118:B134" si="24">B6</f>
        <v>Onion - بصل</v>
      </c>
      <c r="C118" s="122" t="str">
        <f t="shared" si="23"/>
        <v>gm</v>
      </c>
      <c r="D118" s="122">
        <f t="shared" si="23"/>
        <v>150</v>
      </c>
      <c r="E118" s="125">
        <f t="shared" ref="E118:E134" si="25">$C$55</f>
        <v>4.0518853695324353</v>
      </c>
      <c r="F118" s="126">
        <f t="shared" ref="F118:F134" si="26">F6</f>
        <v>0.95</v>
      </c>
      <c r="G118" s="120">
        <f t="shared" ref="G118:G133" si="27">D118*E118</f>
        <v>607.78280542986533</v>
      </c>
      <c r="H118" s="119">
        <f t="shared" ref="H118:H133" si="28">G118*F118</f>
        <v>577.39366515837207</v>
      </c>
    </row>
    <row r="119" spans="1:8" ht="14.25" customHeight="1" x14ac:dyDescent="0.3">
      <c r="A119" s="127" t="s">
        <v>13</v>
      </c>
      <c r="B119" s="122" t="str">
        <f t="shared" si="24"/>
        <v>Tomato - طماطم</v>
      </c>
      <c r="C119" s="122" t="str">
        <f t="shared" si="23"/>
        <v>gm</v>
      </c>
      <c r="D119" s="122">
        <f t="shared" si="23"/>
        <v>250</v>
      </c>
      <c r="E119" s="125">
        <f t="shared" si="25"/>
        <v>4.0518853695324353</v>
      </c>
      <c r="F119" s="126">
        <f t="shared" si="26"/>
        <v>1</v>
      </c>
      <c r="G119" s="120">
        <f t="shared" si="27"/>
        <v>1012.9713423831088</v>
      </c>
      <c r="H119" s="119">
        <f t="shared" si="28"/>
        <v>1012.9713423831088</v>
      </c>
    </row>
    <row r="120" spans="1:8" ht="14.25" customHeight="1" x14ac:dyDescent="0.3">
      <c r="A120" s="127" t="s">
        <v>56</v>
      </c>
      <c r="B120" s="122" t="str">
        <f t="shared" si="24"/>
        <v>Ginger - زنجبيل</v>
      </c>
      <c r="C120" s="122" t="str">
        <f t="shared" si="23"/>
        <v>gm</v>
      </c>
      <c r="D120" s="122">
        <f t="shared" si="23"/>
        <v>15</v>
      </c>
      <c r="E120" s="125">
        <f t="shared" si="25"/>
        <v>4.0518853695324353</v>
      </c>
      <c r="F120" s="126">
        <f t="shared" si="26"/>
        <v>0.9</v>
      </c>
      <c r="G120" s="120">
        <f t="shared" si="27"/>
        <v>60.778280542986529</v>
      </c>
      <c r="H120" s="119">
        <f t="shared" si="28"/>
        <v>54.70045248868788</v>
      </c>
    </row>
    <row r="121" spans="1:8" ht="14.25" customHeight="1" x14ac:dyDescent="0.3">
      <c r="A121" s="127" t="s">
        <v>13</v>
      </c>
      <c r="B121" s="122" t="str">
        <f t="shared" si="24"/>
        <v>Garlic - ثوم مقشر</v>
      </c>
      <c r="C121" s="122" t="str">
        <f t="shared" si="23"/>
        <v>gm</v>
      </c>
      <c r="D121" s="122">
        <f t="shared" si="23"/>
        <v>25</v>
      </c>
      <c r="E121" s="125">
        <f t="shared" si="25"/>
        <v>4.0518853695324353</v>
      </c>
      <c r="F121" s="126">
        <f t="shared" si="26"/>
        <v>0.9</v>
      </c>
      <c r="G121" s="120">
        <f t="shared" si="27"/>
        <v>101.29713423831089</v>
      </c>
      <c r="H121" s="119">
        <f t="shared" si="28"/>
        <v>91.167420814479797</v>
      </c>
    </row>
    <row r="122" spans="1:8" ht="14.25" customHeight="1" x14ac:dyDescent="0.3">
      <c r="A122" s="127" t="s">
        <v>13</v>
      </c>
      <c r="B122" s="122" t="str">
        <f t="shared" si="24"/>
        <v>Green Chilli Pepper - فلفل أخضر حار</v>
      </c>
      <c r="C122" s="122" t="str">
        <f t="shared" si="23"/>
        <v>gm</v>
      </c>
      <c r="D122" s="122">
        <f t="shared" si="23"/>
        <v>5</v>
      </c>
      <c r="E122" s="125">
        <f t="shared" si="25"/>
        <v>4.0518853695324353</v>
      </c>
      <c r="F122" s="126">
        <f t="shared" si="26"/>
        <v>0.75</v>
      </c>
      <c r="G122" s="120">
        <f t="shared" si="27"/>
        <v>20.259426847662176</v>
      </c>
      <c r="H122" s="119">
        <f t="shared" si="28"/>
        <v>15.194570135746632</v>
      </c>
    </row>
    <row r="123" spans="1:8" ht="14.25" customHeight="1" x14ac:dyDescent="0.3">
      <c r="A123" s="127" t="s">
        <v>95</v>
      </c>
      <c r="B123" s="122" t="str">
        <f t="shared" si="24"/>
        <v>Cumin Powder - كمون مطحون</v>
      </c>
      <c r="C123" s="122" t="str">
        <f t="shared" si="23"/>
        <v>gm</v>
      </c>
      <c r="D123" s="122">
        <f t="shared" si="23"/>
        <v>5</v>
      </c>
      <c r="E123" s="125">
        <f t="shared" si="25"/>
        <v>4.0518853695324353</v>
      </c>
      <c r="F123" s="126">
        <f t="shared" si="26"/>
        <v>0.9</v>
      </c>
      <c r="G123" s="120">
        <f t="shared" si="27"/>
        <v>20.259426847662176</v>
      </c>
      <c r="H123" s="119">
        <f t="shared" si="28"/>
        <v>18.233484162895959</v>
      </c>
    </row>
    <row r="124" spans="1:8" ht="14.25" customHeight="1" x14ac:dyDescent="0.3">
      <c r="A124" s="127" t="s">
        <v>95</v>
      </c>
      <c r="B124" s="122" t="str">
        <f t="shared" si="24"/>
        <v>Coriander Powder - كزبرة مطحونة</v>
      </c>
      <c r="C124" s="122" t="str">
        <f t="shared" si="23"/>
        <v>gm</v>
      </c>
      <c r="D124" s="122">
        <f t="shared" si="23"/>
        <v>5</v>
      </c>
      <c r="E124" s="125">
        <f t="shared" si="25"/>
        <v>4.0518853695324353</v>
      </c>
      <c r="F124" s="126">
        <f t="shared" si="26"/>
        <v>0.9</v>
      </c>
      <c r="G124" s="120">
        <f t="shared" si="27"/>
        <v>20.259426847662176</v>
      </c>
      <c r="H124" s="119">
        <f t="shared" si="28"/>
        <v>18.233484162895959</v>
      </c>
    </row>
    <row r="125" spans="1:8" ht="14.25" customHeight="1" x14ac:dyDescent="0.3">
      <c r="A125" s="127" t="s">
        <v>95</v>
      </c>
      <c r="B125" s="122" t="str">
        <f t="shared" si="24"/>
        <v>Curry Powder - كاري بودرة</v>
      </c>
      <c r="C125" s="122" t="str">
        <f t="shared" si="23"/>
        <v>gm</v>
      </c>
      <c r="D125" s="122">
        <f t="shared" si="23"/>
        <v>10</v>
      </c>
      <c r="E125" s="125">
        <f t="shared" si="25"/>
        <v>4.0518853695324353</v>
      </c>
      <c r="F125" s="126">
        <f t="shared" si="26"/>
        <v>0.75</v>
      </c>
      <c r="G125" s="120">
        <f t="shared" si="27"/>
        <v>40.518853695324353</v>
      </c>
      <c r="H125" s="119">
        <f t="shared" si="28"/>
        <v>30.389140271493265</v>
      </c>
    </row>
    <row r="126" spans="1:8" ht="14.25" customHeight="1" x14ac:dyDescent="0.3">
      <c r="A126" s="127" t="s">
        <v>215</v>
      </c>
      <c r="B126" s="122" t="str">
        <f t="shared" si="24"/>
        <v>Saffron yellow color powder - لون صفار زعفران بودر</v>
      </c>
      <c r="C126" s="122" t="str">
        <f t="shared" si="23"/>
        <v>gm</v>
      </c>
      <c r="D126" s="122">
        <f t="shared" si="23"/>
        <v>2</v>
      </c>
      <c r="E126" s="125">
        <f t="shared" si="25"/>
        <v>4.0518853695324353</v>
      </c>
      <c r="F126" s="126">
        <f t="shared" si="26"/>
        <v>0.75</v>
      </c>
      <c r="G126" s="120">
        <f t="shared" si="27"/>
        <v>8.1037707390648706</v>
      </c>
      <c r="H126" s="119">
        <f t="shared" si="28"/>
        <v>6.0778280542986529</v>
      </c>
    </row>
    <row r="127" spans="1:8" ht="14.25" customHeight="1" x14ac:dyDescent="0.3">
      <c r="A127" s="127" t="s">
        <v>95</v>
      </c>
      <c r="B127" s="122" t="str">
        <f t="shared" si="24"/>
        <v>Maggi Cubes - مكعبات ماجي</v>
      </c>
      <c r="C127" s="122" t="str">
        <f t="shared" si="23"/>
        <v>gm</v>
      </c>
      <c r="D127" s="122">
        <f t="shared" si="23"/>
        <v>5</v>
      </c>
      <c r="E127" s="125">
        <f t="shared" si="25"/>
        <v>4.0518853695324353</v>
      </c>
      <c r="F127" s="126">
        <f t="shared" si="26"/>
        <v>0.6</v>
      </c>
      <c r="G127" s="120">
        <f t="shared" si="27"/>
        <v>20.259426847662176</v>
      </c>
      <c r="H127" s="119">
        <f t="shared" si="28"/>
        <v>12.155656108597306</v>
      </c>
    </row>
    <row r="128" spans="1:8" ht="14.25" customHeight="1" x14ac:dyDescent="0.3">
      <c r="A128" s="127" t="s">
        <v>95</v>
      </c>
      <c r="B128" s="122" t="str">
        <f t="shared" si="24"/>
        <v>Salt - ملح</v>
      </c>
      <c r="C128" s="122" t="str">
        <f t="shared" si="23"/>
        <v>gm</v>
      </c>
      <c r="D128" s="122">
        <f t="shared" si="23"/>
        <v>5</v>
      </c>
      <c r="E128" s="125">
        <f t="shared" si="25"/>
        <v>4.0518853695324353</v>
      </c>
      <c r="F128" s="126">
        <f t="shared" si="26"/>
        <v>0.75</v>
      </c>
      <c r="G128" s="120">
        <f t="shared" si="27"/>
        <v>20.259426847662176</v>
      </c>
      <c r="H128" s="119">
        <f t="shared" si="28"/>
        <v>15.194570135746632</v>
      </c>
    </row>
    <row r="129" spans="1:10" ht="14.25" customHeight="1" x14ac:dyDescent="0.3">
      <c r="A129" s="127" t="s">
        <v>154</v>
      </c>
      <c r="B129" s="122" t="str">
        <f t="shared" si="24"/>
        <v>Butter - زبدة</v>
      </c>
      <c r="C129" s="122" t="str">
        <f t="shared" si="23"/>
        <v>gm</v>
      </c>
      <c r="D129" s="122">
        <f t="shared" si="23"/>
        <v>20</v>
      </c>
      <c r="E129" s="125">
        <f t="shared" si="25"/>
        <v>4.0518853695324353</v>
      </c>
      <c r="F129" s="126">
        <f t="shared" si="26"/>
        <v>1</v>
      </c>
      <c r="G129" s="120">
        <f t="shared" si="27"/>
        <v>81.037707390648706</v>
      </c>
      <c r="H129" s="119">
        <f t="shared" si="28"/>
        <v>81.037707390648706</v>
      </c>
    </row>
    <row r="130" spans="1:10" ht="14.25" customHeight="1" x14ac:dyDescent="0.3">
      <c r="A130" s="127" t="s">
        <v>154</v>
      </c>
      <c r="B130" s="122" t="str">
        <f t="shared" si="24"/>
        <v>Yogurt - زبادي</v>
      </c>
      <c r="C130" s="122" t="str">
        <f t="shared" si="23"/>
        <v>gm</v>
      </c>
      <c r="D130" s="122">
        <f t="shared" si="23"/>
        <v>200</v>
      </c>
      <c r="E130" s="125">
        <f t="shared" si="25"/>
        <v>4.0518853695324353</v>
      </c>
      <c r="F130" s="126">
        <f t="shared" si="26"/>
        <v>1</v>
      </c>
      <c r="G130" s="120">
        <f t="shared" si="27"/>
        <v>810.37707390648711</v>
      </c>
      <c r="H130" s="119">
        <f t="shared" si="28"/>
        <v>810.37707390648711</v>
      </c>
    </row>
    <row r="131" spans="1:10" ht="14.25" customHeight="1" x14ac:dyDescent="0.3">
      <c r="A131" s="127" t="s">
        <v>154</v>
      </c>
      <c r="B131" s="122" t="str">
        <f t="shared" si="24"/>
        <v>Cooking Cream - كريمة طبخ</v>
      </c>
      <c r="C131" s="122" t="str">
        <f t="shared" si="23"/>
        <v>ml</v>
      </c>
      <c r="D131" s="122">
        <f t="shared" si="23"/>
        <v>300</v>
      </c>
      <c r="E131" s="125">
        <f t="shared" si="25"/>
        <v>4.0518853695324353</v>
      </c>
      <c r="F131" s="126">
        <f t="shared" si="26"/>
        <v>1</v>
      </c>
      <c r="G131" s="120">
        <f t="shared" si="27"/>
        <v>1215.5656108597307</v>
      </c>
      <c r="H131" s="119">
        <f t="shared" si="28"/>
        <v>1215.5656108597307</v>
      </c>
    </row>
    <row r="132" spans="1:10" ht="20.25" customHeight="1" x14ac:dyDescent="0.4">
      <c r="A132" s="127" t="s">
        <v>206</v>
      </c>
      <c r="B132" s="122" t="str">
        <f t="shared" si="24"/>
        <v>Water - ماء</v>
      </c>
      <c r="C132" s="122" t="str">
        <f t="shared" si="23"/>
        <v>ml</v>
      </c>
      <c r="D132" s="122">
        <f t="shared" si="23"/>
        <v>170</v>
      </c>
      <c r="E132" s="125">
        <f t="shared" si="25"/>
        <v>4.0518853695324353</v>
      </c>
      <c r="F132" s="126">
        <f t="shared" si="26"/>
        <v>1</v>
      </c>
      <c r="G132" s="120">
        <f t="shared" si="27"/>
        <v>688.82051282051395</v>
      </c>
      <c r="H132" s="119">
        <f t="shared" si="28"/>
        <v>688.82051282051395</v>
      </c>
      <c r="I132" s="203"/>
      <c r="J132" s="202"/>
    </row>
    <row r="133" spans="1:10" x14ac:dyDescent="0.3">
      <c r="A133" s="127" t="s">
        <v>62</v>
      </c>
      <c r="B133" s="122" t="str">
        <f t="shared" si="24"/>
        <v>Coriander Leaves - كزبرة خضراء</v>
      </c>
      <c r="C133" s="122" t="str">
        <f t="shared" si="23"/>
        <v>gm</v>
      </c>
      <c r="D133" s="122">
        <f t="shared" si="23"/>
        <v>5</v>
      </c>
      <c r="E133" s="125">
        <f t="shared" si="25"/>
        <v>4.0518853695324353</v>
      </c>
      <c r="F133" s="126">
        <f t="shared" si="26"/>
        <v>0.75</v>
      </c>
      <c r="G133" s="120">
        <f t="shared" si="27"/>
        <v>20.259426847662176</v>
      </c>
      <c r="H133" s="119">
        <f t="shared" si="28"/>
        <v>15.194570135746632</v>
      </c>
    </row>
    <row r="134" spans="1:10" x14ac:dyDescent="0.3">
      <c r="A134" s="127" t="s">
        <v>62</v>
      </c>
      <c r="B134" s="122" t="str">
        <f t="shared" si="24"/>
        <v>Corn Starch - نشا ذرة</v>
      </c>
      <c r="C134" s="122" t="str">
        <f t="shared" si="23"/>
        <v>gm</v>
      </c>
      <c r="D134" s="122">
        <f t="shared" si="23"/>
        <v>20</v>
      </c>
      <c r="E134" s="125">
        <f t="shared" si="25"/>
        <v>4.0518853695324353</v>
      </c>
      <c r="F134" s="126">
        <f t="shared" si="26"/>
        <v>1</v>
      </c>
      <c r="G134" s="120">
        <f>D134*E134</f>
        <v>81.037707390648706</v>
      </c>
      <c r="H134" s="119">
        <f>G134*F134</f>
        <v>81.037707390648706</v>
      </c>
    </row>
    <row r="135" spans="1:10" ht="18" x14ac:dyDescent="0.3">
      <c r="B135" s="197" t="s">
        <v>291</v>
      </c>
      <c r="C135" s="199" t="s">
        <v>277</v>
      </c>
      <c r="E135" s="199" t="s">
        <v>292</v>
      </c>
      <c r="G135" s="878" t="s">
        <v>268</v>
      </c>
      <c r="H135" s="878" t="s">
        <v>703</v>
      </c>
    </row>
    <row r="136" spans="1:10" ht="20" x14ac:dyDescent="0.4">
      <c r="B136" s="198">
        <f>$J$55</f>
        <v>4695.048951048946</v>
      </c>
      <c r="C136" s="198">
        <f>E136+G136</f>
        <v>3444.1025641025699</v>
      </c>
      <c r="D136" s="930"/>
      <c r="E136" s="198">
        <f>$D$55*$S$44</f>
        <v>1408.9510489510515</v>
      </c>
      <c r="F136" s="930"/>
      <c r="G136" s="198">
        <f>$D$55*$T$44</f>
        <v>2035.1515151515187</v>
      </c>
      <c r="H136" s="198">
        <f>B136+E136</f>
        <v>6103.9999999999973</v>
      </c>
    </row>
  </sheetData>
  <mergeCells count="11">
    <mergeCell ref="AK2:AM2"/>
    <mergeCell ref="F2:F3"/>
    <mergeCell ref="B63:H63"/>
    <mergeCell ref="B86:H86"/>
    <mergeCell ref="R26:U26"/>
    <mergeCell ref="B115:H115"/>
    <mergeCell ref="B62:H62"/>
    <mergeCell ref="R25:U25"/>
    <mergeCell ref="B87:H87"/>
    <mergeCell ref="B114:H114"/>
    <mergeCell ref="B35:F35"/>
  </mergeCells>
  <printOptions horizontalCentered="1"/>
  <pageMargins left="0.5" right="0.5" top="1" bottom="0.5" header="0.3" footer="0.511811023622047"/>
  <pageSetup paperSize="9" scale="2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00B050"/>
    <pageSetUpPr fitToPage="1"/>
  </sheetPr>
  <dimension ref="A1:AE176"/>
  <sheetViews>
    <sheetView topLeftCell="U10" zoomScaleNormal="100" workbookViewId="0">
      <selection activeCell="B22" sqref="B22:L22"/>
    </sheetView>
  </sheetViews>
  <sheetFormatPr defaultColWidth="12.5" defaultRowHeight="14" x14ac:dyDescent="0.3"/>
  <cols>
    <col min="1" max="1" width="12.5" style="210" customWidth="1"/>
    <col min="2" max="2" width="40.08203125" style="29" customWidth="1"/>
    <col min="3" max="3" width="18.1640625" style="211" customWidth="1"/>
    <col min="4" max="4" width="19" style="211" customWidth="1"/>
    <col min="5" max="5" width="16.1640625" style="211" customWidth="1"/>
    <col min="6" max="6" width="23.08203125" style="211" customWidth="1"/>
    <col min="7" max="7" width="25.1640625" style="211" customWidth="1"/>
    <col min="8" max="8" width="36.1640625" style="211" customWidth="1"/>
    <col min="9" max="11" width="12.5" style="211" customWidth="1"/>
    <col min="12" max="12" width="8.33203125" style="211" customWidth="1"/>
    <col min="13" max="13" width="15.83203125" style="211" customWidth="1"/>
    <col min="14" max="17" width="12.5" style="211" customWidth="1"/>
    <col min="18" max="18" width="30.5" style="211" customWidth="1"/>
    <col min="19" max="22" width="12.5" style="211" customWidth="1"/>
    <col min="23" max="23" width="29.4140625" style="211" customWidth="1"/>
    <col min="24" max="24" width="9.33203125" style="211" bestFit="1" customWidth="1"/>
    <col min="25" max="25" width="12.5" style="211" customWidth="1"/>
    <col min="26" max="26" width="12.5" style="211"/>
    <col min="27" max="27" width="13.33203125" style="211" bestFit="1" customWidth="1"/>
    <col min="28" max="16384" width="12.5" style="211"/>
  </cols>
  <sheetData>
    <row r="1" spans="1:30" ht="31.5" customHeight="1" x14ac:dyDescent="0.3">
      <c r="B1" s="299" t="s">
        <v>235</v>
      </c>
      <c r="C1" s="80">
        <v>1000</v>
      </c>
      <c r="D1" s="81" t="s">
        <v>236</v>
      </c>
      <c r="E1" s="116">
        <f>S32</f>
        <v>33410</v>
      </c>
      <c r="F1" s="79" t="s">
        <v>237</v>
      </c>
      <c r="G1" s="212">
        <f>E1/C1</f>
        <v>33.409999999999997</v>
      </c>
      <c r="H1" s="79" t="s">
        <v>238</v>
      </c>
      <c r="I1" s="212">
        <f>G1/K1</f>
        <v>33.409999999999997</v>
      </c>
      <c r="J1" s="85" t="s">
        <v>239</v>
      </c>
      <c r="K1" s="91">
        <v>1</v>
      </c>
      <c r="L1" s="213"/>
      <c r="M1" s="214"/>
      <c r="N1" s="215"/>
      <c r="O1" s="90" t="s">
        <v>240</v>
      </c>
      <c r="P1" s="91" t="s">
        <v>293</v>
      </c>
      <c r="Q1" s="92" t="s">
        <v>242</v>
      </c>
      <c r="R1" s="91">
        <v>0.49</v>
      </c>
      <c r="S1" s="213"/>
      <c r="Y1" s="90" t="s">
        <v>463</v>
      </c>
      <c r="Z1" s="835">
        <v>32910</v>
      </c>
      <c r="AA1" s="90" t="s">
        <v>578</v>
      </c>
      <c r="AB1" s="835">
        <v>500</v>
      </c>
      <c r="AC1" s="90" t="s">
        <v>567</v>
      </c>
      <c r="AD1" s="835">
        <v>216</v>
      </c>
    </row>
    <row r="2" spans="1:30" ht="12.75" customHeight="1" x14ac:dyDescent="0.3">
      <c r="A2" s="216"/>
      <c r="B2" s="1449" t="s">
        <v>294</v>
      </c>
      <c r="C2" s="1449"/>
      <c r="D2" s="1449"/>
      <c r="E2" s="1449"/>
      <c r="F2" s="1449"/>
      <c r="G2" s="1449"/>
      <c r="H2" s="1449"/>
      <c r="I2" s="14"/>
      <c r="J2" s="14"/>
      <c r="K2" s="97"/>
      <c r="L2" s="97"/>
      <c r="M2" s="98"/>
      <c r="N2" s="98"/>
      <c r="O2" s="213"/>
      <c r="P2" s="213"/>
      <c r="Q2" s="213"/>
      <c r="R2" s="213"/>
      <c r="S2" s="213"/>
      <c r="T2" s="213"/>
      <c r="U2" s="213"/>
    </row>
    <row r="3" spans="1:30" ht="12.75" customHeight="1" x14ac:dyDescent="0.3">
      <c r="A3" s="216"/>
      <c r="B3" s="1450"/>
      <c r="C3" s="1450"/>
      <c r="D3" s="1450"/>
      <c r="E3" s="1450"/>
      <c r="F3" s="1450"/>
      <c r="G3" s="1450"/>
      <c r="H3" s="1450"/>
      <c r="I3" s="1302"/>
      <c r="J3" s="1302"/>
      <c r="K3" s="102"/>
      <c r="L3" s="102"/>
      <c r="M3" s="98"/>
      <c r="N3" s="98"/>
      <c r="O3" s="213"/>
      <c r="P3" s="213"/>
      <c r="Q3" s="213"/>
      <c r="R3" s="213"/>
      <c r="S3" s="213"/>
      <c r="T3" s="213"/>
      <c r="U3" s="213"/>
    </row>
    <row r="4" spans="1:30" ht="35.25" customHeight="1" x14ac:dyDescent="0.25">
      <c r="A4" s="90" t="s">
        <v>1</v>
      </c>
      <c r="B4" s="590" t="s">
        <v>245</v>
      </c>
      <c r="C4" s="106" t="s">
        <v>246</v>
      </c>
      <c r="D4" s="90" t="s">
        <v>235</v>
      </c>
      <c r="E4" s="217" t="s">
        <v>238</v>
      </c>
      <c r="F4" s="107" t="s">
        <v>247</v>
      </c>
      <c r="G4" s="90" t="s">
        <v>248</v>
      </c>
      <c r="H4" s="108" t="s">
        <v>249</v>
      </c>
      <c r="I4" s="90" t="s">
        <v>250</v>
      </c>
      <c r="J4" s="90" t="s">
        <v>251</v>
      </c>
      <c r="K4" s="90" t="s">
        <v>252</v>
      </c>
      <c r="L4" s="90" t="s">
        <v>253</v>
      </c>
      <c r="M4" s="213"/>
      <c r="N4" s="213"/>
      <c r="O4" s="213"/>
      <c r="P4" s="213"/>
      <c r="Q4" s="213"/>
      <c r="R4" s="213"/>
      <c r="S4" s="213"/>
    </row>
    <row r="5" spans="1:30" ht="14.25" customHeight="1" x14ac:dyDescent="0.25">
      <c r="A5" s="218" t="s">
        <v>225</v>
      </c>
      <c r="B5" s="219" t="s">
        <v>227</v>
      </c>
      <c r="C5" s="123" t="s">
        <v>14</v>
      </c>
      <c r="D5" s="120">
        <f>I51/10</f>
        <v>2040.8163265306125</v>
      </c>
      <c r="E5" s="196">
        <f>H52</f>
        <v>33.409999999999997</v>
      </c>
      <c r="F5" s="126">
        <v>1</v>
      </c>
      <c r="G5" s="118">
        <f t="shared" ref="G5" si="0">D5*E5</f>
        <v>68183.673469387752</v>
      </c>
      <c r="H5" s="119">
        <f t="shared" ref="H5" si="1">G5*F5</f>
        <v>68183.673469387752</v>
      </c>
      <c r="I5" s="80">
        <f>VLOOKUP(B5,All_Ingredients!$A$1:$F$149,6,FALSE())</f>
        <v>0.55000000000000004</v>
      </c>
      <c r="J5" s="118">
        <f>VLOOKUP(B5,All_Ingredients!$A$1:$J$149,10,FALSE())</f>
        <v>14.361111111111111</v>
      </c>
      <c r="K5" s="121">
        <f t="shared" ref="K5" si="2">(H5/I5)/1000</f>
        <v>123.97031539888681</v>
      </c>
      <c r="L5" s="121">
        <f t="shared" ref="L5:L14" si="3">K5*J5</f>
        <v>1780.3514739229022</v>
      </c>
      <c r="M5" s="1404">
        <f>L5/(H5/1000)</f>
        <v>26.111111111111107</v>
      </c>
      <c r="N5" s="213"/>
      <c r="O5" s="213"/>
      <c r="P5" s="213"/>
      <c r="Q5" s="213"/>
      <c r="R5" s="213"/>
      <c r="S5" s="213"/>
    </row>
    <row r="6" spans="1:30" ht="14.25" customHeight="1" x14ac:dyDescent="0.3">
      <c r="A6" s="220" t="s">
        <v>13</v>
      </c>
      <c r="B6" s="219" t="s">
        <v>98</v>
      </c>
      <c r="C6" s="123" t="s">
        <v>14</v>
      </c>
      <c r="D6" s="124">
        <v>2</v>
      </c>
      <c r="E6" s="222">
        <f t="shared" ref="E6:E16" si="4">$G$1</f>
        <v>33.409999999999997</v>
      </c>
      <c r="F6" s="126">
        <v>1</v>
      </c>
      <c r="G6" s="118">
        <f t="shared" ref="G6:G14" si="5">D6*E6</f>
        <v>66.819999999999993</v>
      </c>
      <c r="H6" s="119">
        <f t="shared" ref="H6:H14" si="6">G6*F6</f>
        <v>66.819999999999993</v>
      </c>
      <c r="I6" s="80">
        <f>VLOOKUP(B6,All_Ingredients!$A$1:$F$149,6,FALSE())</f>
        <v>1</v>
      </c>
      <c r="J6" s="118">
        <f>VLOOKUP(B6,All_Ingredients!$A$1:$J$149,10,FALSE())</f>
        <v>38</v>
      </c>
      <c r="K6" s="121">
        <f t="shared" ref="K6:K14" si="7">(H6/I6)/1000</f>
        <v>6.6819999999999991E-2</v>
      </c>
      <c r="L6" s="121">
        <f t="shared" si="3"/>
        <v>2.5391599999999999</v>
      </c>
    </row>
    <row r="7" spans="1:30" ht="14.25" customHeight="1" x14ac:dyDescent="0.3">
      <c r="A7" s="220" t="s">
        <v>13</v>
      </c>
      <c r="B7" s="219" t="s">
        <v>104</v>
      </c>
      <c r="C7" s="123" t="s">
        <v>14</v>
      </c>
      <c r="D7" s="124">
        <v>2</v>
      </c>
      <c r="E7" s="222">
        <f t="shared" si="4"/>
        <v>33.409999999999997</v>
      </c>
      <c r="F7" s="126">
        <v>0.95</v>
      </c>
      <c r="G7" s="118">
        <f t="shared" si="5"/>
        <v>66.819999999999993</v>
      </c>
      <c r="H7" s="119">
        <f t="shared" si="6"/>
        <v>63.478999999999992</v>
      </c>
      <c r="I7" s="80">
        <f>VLOOKUP(B7,All_Ingredients!$A$1:$F$149,6,FALSE())</f>
        <v>1</v>
      </c>
      <c r="J7" s="118">
        <f>VLOOKUP(B7,All_Ingredients!$A$1:$J$149,10,FALSE())</f>
        <v>19</v>
      </c>
      <c r="K7" s="121">
        <f t="shared" si="7"/>
        <v>6.3478999999999994E-2</v>
      </c>
      <c r="L7" s="121">
        <f t="shared" si="3"/>
        <v>1.2061009999999999</v>
      </c>
    </row>
    <row r="8" spans="1:30" ht="14.25" customHeight="1" x14ac:dyDescent="0.3">
      <c r="A8" s="220" t="s">
        <v>56</v>
      </c>
      <c r="B8" s="219" t="s">
        <v>125</v>
      </c>
      <c r="C8" s="123" t="s">
        <v>14</v>
      </c>
      <c r="D8" s="124">
        <v>2</v>
      </c>
      <c r="E8" s="222">
        <f t="shared" si="4"/>
        <v>33.409999999999997</v>
      </c>
      <c r="F8" s="126">
        <v>0.95</v>
      </c>
      <c r="G8" s="118">
        <f t="shared" si="5"/>
        <v>66.819999999999993</v>
      </c>
      <c r="H8" s="119">
        <f t="shared" si="6"/>
        <v>63.478999999999992</v>
      </c>
      <c r="I8" s="80">
        <f>VLOOKUP(B8,All_Ingredients!$A$1:$F$149,6,FALSE())</f>
        <v>1</v>
      </c>
      <c r="J8" s="118">
        <f>VLOOKUP(B8,All_Ingredients!$A$1:$J$149,10,FALSE())</f>
        <v>37</v>
      </c>
      <c r="K8" s="121">
        <f t="shared" si="7"/>
        <v>6.3478999999999994E-2</v>
      </c>
      <c r="L8" s="121">
        <f t="shared" si="3"/>
        <v>2.3487229999999997</v>
      </c>
    </row>
    <row r="9" spans="1:30" ht="14.25" customHeight="1" x14ac:dyDescent="0.3">
      <c r="A9" s="220" t="s">
        <v>13</v>
      </c>
      <c r="B9" s="219" t="s">
        <v>121</v>
      </c>
      <c r="C9" s="123" t="s">
        <v>14</v>
      </c>
      <c r="D9" s="124">
        <v>2</v>
      </c>
      <c r="E9" s="222">
        <f t="shared" si="4"/>
        <v>33.409999999999997</v>
      </c>
      <c r="F9" s="126">
        <v>1</v>
      </c>
      <c r="G9" s="118">
        <f t="shared" si="5"/>
        <v>66.819999999999993</v>
      </c>
      <c r="H9" s="119">
        <f t="shared" si="6"/>
        <v>66.819999999999993</v>
      </c>
      <c r="I9" s="80">
        <f>VLOOKUP(B9,All_Ingredients!$A$1:$F$149,6,FALSE())</f>
        <v>1</v>
      </c>
      <c r="J9" s="118">
        <f>VLOOKUP(B9,All_Ingredients!$A$1:$J$149,10,FALSE())</f>
        <v>15</v>
      </c>
      <c r="K9" s="121">
        <f t="shared" si="7"/>
        <v>6.6819999999999991E-2</v>
      </c>
      <c r="L9" s="121">
        <f t="shared" si="3"/>
        <v>1.0023</v>
      </c>
    </row>
    <row r="10" spans="1:30" ht="14.25" customHeight="1" x14ac:dyDescent="0.3">
      <c r="A10" s="220" t="s">
        <v>13</v>
      </c>
      <c r="B10" s="219" t="s">
        <v>877</v>
      </c>
      <c r="C10" s="123" t="s">
        <v>14</v>
      </c>
      <c r="D10" s="124">
        <v>5</v>
      </c>
      <c r="E10" s="222">
        <f t="shared" si="4"/>
        <v>33.409999999999997</v>
      </c>
      <c r="F10" s="126">
        <v>1</v>
      </c>
      <c r="G10" s="118">
        <f t="shared" si="5"/>
        <v>167.04999999999998</v>
      </c>
      <c r="H10" s="119">
        <f t="shared" si="6"/>
        <v>167.04999999999998</v>
      </c>
      <c r="I10" s="80">
        <f>VLOOKUP(B10,All_Ingredients!$A$1:$F$149,6,FALSE())</f>
        <v>1</v>
      </c>
      <c r="J10" s="118">
        <f>VLOOKUP(B10,All_Ingredients!$A$1:$J$149,10,FALSE())</f>
        <v>22.5</v>
      </c>
      <c r="K10" s="121">
        <f t="shared" si="7"/>
        <v>0.16704999999999998</v>
      </c>
      <c r="L10" s="121">
        <f t="shared" si="3"/>
        <v>3.7586249999999994</v>
      </c>
    </row>
    <row r="11" spans="1:30" ht="14.25" customHeight="1" x14ac:dyDescent="0.3">
      <c r="A11" s="220" t="s">
        <v>182</v>
      </c>
      <c r="B11" s="219" t="s">
        <v>106</v>
      </c>
      <c r="C11" s="123" t="s">
        <v>14</v>
      </c>
      <c r="D11" s="124">
        <v>6</v>
      </c>
      <c r="E11" s="222">
        <f t="shared" si="4"/>
        <v>33.409999999999997</v>
      </c>
      <c r="F11" s="126">
        <v>1</v>
      </c>
      <c r="G11" s="118">
        <f t="shared" si="5"/>
        <v>200.45999999999998</v>
      </c>
      <c r="H11" s="119">
        <f t="shared" si="6"/>
        <v>200.45999999999998</v>
      </c>
      <c r="I11" s="80">
        <f>VLOOKUP(B11,All_Ingredients!$A$1:$F$149,6,FALSE())</f>
        <v>1</v>
      </c>
      <c r="J11" s="118">
        <f>VLOOKUP(B11,All_Ingredients!$A$1:$J$149,10,FALSE())</f>
        <v>15</v>
      </c>
      <c r="K11" s="121">
        <f t="shared" si="7"/>
        <v>0.20045999999999997</v>
      </c>
      <c r="L11" s="121">
        <f t="shared" si="3"/>
        <v>3.0068999999999995</v>
      </c>
    </row>
    <row r="12" spans="1:30" ht="14.25" customHeight="1" x14ac:dyDescent="0.3">
      <c r="A12" s="220" t="s">
        <v>192</v>
      </c>
      <c r="B12" s="219" t="s">
        <v>100</v>
      </c>
      <c r="C12" s="123" t="s">
        <v>14</v>
      </c>
      <c r="D12" s="124">
        <v>6</v>
      </c>
      <c r="E12" s="222">
        <f t="shared" si="4"/>
        <v>33.409999999999997</v>
      </c>
      <c r="F12" s="126">
        <v>1</v>
      </c>
      <c r="G12" s="118">
        <f t="shared" si="5"/>
        <v>200.45999999999998</v>
      </c>
      <c r="H12" s="119">
        <f t="shared" si="6"/>
        <v>200.45999999999998</v>
      </c>
      <c r="I12" s="80">
        <f>VLOOKUP(B12,All_Ingredients!$A$1:$F$149,6,FALSE())</f>
        <v>1</v>
      </c>
      <c r="J12" s="118">
        <f>VLOOKUP(B12,All_Ingredients!$A$1:$J$149,10,FALSE())</f>
        <v>31</v>
      </c>
      <c r="K12" s="121">
        <f t="shared" si="7"/>
        <v>0.20045999999999997</v>
      </c>
      <c r="L12" s="121">
        <f t="shared" si="3"/>
        <v>6.2142599999999995</v>
      </c>
    </row>
    <row r="13" spans="1:30" ht="14.25" customHeight="1" x14ac:dyDescent="0.3">
      <c r="A13" s="220" t="s">
        <v>95</v>
      </c>
      <c r="B13" s="1317" t="s">
        <v>153</v>
      </c>
      <c r="C13" s="123" t="s">
        <v>14</v>
      </c>
      <c r="D13" s="223">
        <v>75</v>
      </c>
      <c r="E13" s="222">
        <f t="shared" si="4"/>
        <v>33.409999999999997</v>
      </c>
      <c r="F13" s="126">
        <v>1</v>
      </c>
      <c r="G13" s="118">
        <f t="shared" si="5"/>
        <v>2505.7499999999995</v>
      </c>
      <c r="H13" s="119">
        <f t="shared" si="6"/>
        <v>2505.7499999999995</v>
      </c>
      <c r="I13" s="80">
        <f>VLOOKUP(B13,All_Ingredients!$A$1:$F$149,6,FALSE())</f>
        <v>1</v>
      </c>
      <c r="J13" s="118">
        <f>VLOOKUP(B13,All_Ingredients!$A$1:$J$149,10,FALSE())</f>
        <v>30</v>
      </c>
      <c r="K13" s="121">
        <f t="shared" si="7"/>
        <v>2.5057499999999995</v>
      </c>
      <c r="L13" s="121">
        <f t="shared" si="3"/>
        <v>75.172499999999985</v>
      </c>
    </row>
    <row r="14" spans="1:30" x14ac:dyDescent="0.3">
      <c r="A14" s="220" t="s">
        <v>95</v>
      </c>
      <c r="B14" s="219" t="s">
        <v>127</v>
      </c>
      <c r="C14" s="123" t="s">
        <v>14</v>
      </c>
      <c r="D14" s="223">
        <v>6</v>
      </c>
      <c r="E14" s="222">
        <f t="shared" si="4"/>
        <v>33.409999999999997</v>
      </c>
      <c r="F14" s="126">
        <v>1</v>
      </c>
      <c r="G14" s="118">
        <f t="shared" si="5"/>
        <v>200.45999999999998</v>
      </c>
      <c r="H14" s="119">
        <f t="shared" si="6"/>
        <v>200.45999999999998</v>
      </c>
      <c r="I14" s="80">
        <f>VLOOKUP(B14,All_Ingredients!$A$1:$F$149,6,FALSE())</f>
        <v>1</v>
      </c>
      <c r="J14" s="118">
        <f>VLOOKUP(B14,All_Ingredients!$A$1:$J$149,10,FALSE())</f>
        <v>125</v>
      </c>
      <c r="K14" s="121">
        <f t="shared" si="7"/>
        <v>0.20045999999999997</v>
      </c>
      <c r="L14" s="121">
        <f t="shared" si="3"/>
        <v>25.057499999999997</v>
      </c>
    </row>
    <row r="15" spans="1:30" ht="14.25" customHeight="1" x14ac:dyDescent="0.3">
      <c r="A15" s="220" t="s">
        <v>95</v>
      </c>
      <c r="B15" s="219" t="s">
        <v>140</v>
      </c>
      <c r="C15" s="123" t="s">
        <v>14</v>
      </c>
      <c r="D15" s="223">
        <v>8</v>
      </c>
      <c r="E15" s="222">
        <f t="shared" si="4"/>
        <v>33.409999999999997</v>
      </c>
      <c r="F15" s="126">
        <v>1</v>
      </c>
      <c r="G15" s="118">
        <f t="shared" ref="G15:G16" si="8">D15*E15</f>
        <v>267.27999999999997</v>
      </c>
      <c r="H15" s="119">
        <f t="shared" ref="H15:H16" si="9">G15*F15</f>
        <v>267.27999999999997</v>
      </c>
      <c r="I15" s="80">
        <f>VLOOKUP(B15,All_Ingredients!$A$1:$F$149,6,FALSE())</f>
        <v>1</v>
      </c>
      <c r="J15" s="118">
        <f>VLOOKUP(B15,All_Ingredients!$A$1:$J$149,10,FALSE())</f>
        <v>15.277777777777779</v>
      </c>
      <c r="K15" s="121">
        <f t="shared" ref="K15:K16" si="10">(H15/I15)/1000</f>
        <v>0.26727999999999996</v>
      </c>
      <c r="L15" s="121">
        <f t="shared" ref="L15:L16" si="11">K15*J15</f>
        <v>4.083444444444444</v>
      </c>
    </row>
    <row r="16" spans="1:30" ht="14.25" customHeight="1" x14ac:dyDescent="0.3">
      <c r="A16" s="220" t="s">
        <v>95</v>
      </c>
      <c r="B16" s="219" t="s">
        <v>94</v>
      </c>
      <c r="C16" s="123" t="s">
        <v>14</v>
      </c>
      <c r="D16" s="223">
        <v>11</v>
      </c>
      <c r="E16" s="222">
        <f t="shared" si="4"/>
        <v>33.409999999999997</v>
      </c>
      <c r="F16" s="126">
        <v>1</v>
      </c>
      <c r="G16" s="118">
        <f t="shared" si="8"/>
        <v>367.51</v>
      </c>
      <c r="H16" s="119">
        <f t="shared" si="9"/>
        <v>367.51</v>
      </c>
      <c r="I16" s="80">
        <f>VLOOKUP(B16,All_Ingredients!$A$1:$F$149,6,FALSE())</f>
        <v>1</v>
      </c>
      <c r="J16" s="118">
        <f>VLOOKUP(B16,All_Ingredients!$A$1:$J$149,10,FALSE())</f>
        <v>0.74</v>
      </c>
      <c r="K16" s="121">
        <f t="shared" si="10"/>
        <v>0.36751</v>
      </c>
      <c r="L16" s="121">
        <f t="shared" si="11"/>
        <v>0.27195740000000002</v>
      </c>
    </row>
    <row r="17" spans="2:31" ht="14.25" customHeight="1" x14ac:dyDescent="0.3"/>
    <row r="18" spans="2:31" ht="14.25" customHeight="1" x14ac:dyDescent="0.3"/>
    <row r="19" spans="2:31" ht="14.25" customHeight="1" x14ac:dyDescent="0.3"/>
    <row r="20" spans="2:31" ht="14.25" customHeight="1" x14ac:dyDescent="0.3"/>
    <row r="21" spans="2:31" ht="14.25" customHeight="1" x14ac:dyDescent="0.3"/>
    <row r="22" spans="2:31" ht="14.25" customHeight="1" x14ac:dyDescent="0.3"/>
    <row r="23" spans="2:31" ht="13.5" customHeight="1" x14ac:dyDescent="0.3">
      <c r="Z23" s="1264"/>
    </row>
    <row r="24" spans="2:31" ht="13.5" customHeight="1" x14ac:dyDescent="0.3">
      <c r="B24" s="1112"/>
      <c r="C24" s="132"/>
      <c r="D24" s="3"/>
      <c r="E24" s="224"/>
      <c r="F24" s="135"/>
      <c r="G24" s="139"/>
      <c r="H24" s="137"/>
      <c r="Z24" s="1264"/>
    </row>
    <row r="25" spans="2:31" ht="13.5" customHeight="1" x14ac:dyDescent="0.3">
      <c r="B25" s="1112"/>
      <c r="C25" s="3"/>
      <c r="D25" s="3"/>
      <c r="E25" s="3"/>
      <c r="F25" s="3"/>
      <c r="G25" s="139"/>
      <c r="H25" s="137"/>
      <c r="R25" s="1451" t="s">
        <v>294</v>
      </c>
      <c r="S25" s="1452"/>
      <c r="T25" s="1452"/>
      <c r="U25" s="1452"/>
      <c r="V25" s="235"/>
      <c r="Z25" s="140" t="s">
        <v>256</v>
      </c>
      <c r="AA25" s="141">
        <v>1</v>
      </c>
      <c r="AB25" s="140" t="s">
        <v>253</v>
      </c>
      <c r="AC25" s="142">
        <f>AE30*AA25</f>
        <v>5.7619317242644366E-2</v>
      </c>
      <c r="AD25" s="14"/>
    </row>
    <row r="26" spans="2:31" ht="13.5" customHeight="1" x14ac:dyDescent="0.3">
      <c r="R26" s="1451" t="s">
        <v>295</v>
      </c>
      <c r="S26" s="1452"/>
      <c r="T26" s="1452"/>
      <c r="U26" s="1452"/>
      <c r="V26" s="235"/>
      <c r="Z26" s="14"/>
      <c r="AA26" s="14"/>
      <c r="AB26" s="14"/>
      <c r="AC26" s="14"/>
      <c r="AD26" s="14"/>
    </row>
    <row r="27" spans="2:31" ht="13.5" customHeight="1" thickBot="1" x14ac:dyDescent="0.35">
      <c r="R27" s="225" t="s">
        <v>258</v>
      </c>
      <c r="S27" s="226" t="s">
        <v>296</v>
      </c>
      <c r="T27" s="226" t="s">
        <v>260</v>
      </c>
      <c r="U27" s="226" t="s">
        <v>261</v>
      </c>
      <c r="V27" s="145" t="s">
        <v>817</v>
      </c>
      <c r="Z27" s="140" t="s">
        <v>262</v>
      </c>
      <c r="AA27" s="146" t="s">
        <v>263</v>
      </c>
      <c r="AB27" s="146" t="s">
        <v>264</v>
      </c>
      <c r="AC27" s="146" t="s">
        <v>265</v>
      </c>
      <c r="AD27" s="1167" t="s">
        <v>817</v>
      </c>
      <c r="AE27" s="146" t="s">
        <v>266</v>
      </c>
    </row>
    <row r="28" spans="2:31" ht="12.75" customHeight="1" thickBot="1" x14ac:dyDescent="0.35">
      <c r="R28" s="143" t="s">
        <v>267</v>
      </c>
      <c r="S28" s="1392">
        <f>$Z$1</f>
        <v>32910</v>
      </c>
      <c r="T28" s="1375"/>
      <c r="U28" s="1375">
        <f>S28</f>
        <v>32910</v>
      </c>
      <c r="V28" s="148">
        <f>G37</f>
        <v>0</v>
      </c>
      <c r="Z28" s="150"/>
      <c r="AA28" s="1181">
        <f>AA25</f>
        <v>1</v>
      </c>
      <c r="AB28" s="151">
        <f>AA25-AA28</f>
        <v>0</v>
      </c>
      <c r="AC28" s="152">
        <v>0</v>
      </c>
      <c r="AD28" s="1169"/>
      <c r="AE28" s="153">
        <f>SUM(AA28:AC28)</f>
        <v>1</v>
      </c>
    </row>
    <row r="29" spans="2:31" ht="14.25" customHeight="1" thickBot="1" x14ac:dyDescent="0.35">
      <c r="R29" s="143" t="s">
        <v>268</v>
      </c>
      <c r="S29" s="1391"/>
      <c r="T29" s="227"/>
      <c r="U29" s="1375">
        <f>T29</f>
        <v>0</v>
      </c>
      <c r="V29" s="148"/>
      <c r="Z29" s="150"/>
      <c r="AA29" s="155">
        <f>AA28/$AE$28</f>
        <v>1</v>
      </c>
      <c r="AB29" s="155">
        <f>AB28/$AE$28</f>
        <v>0</v>
      </c>
      <c r="AC29" s="155">
        <f>AC28/$AE$28</f>
        <v>0</v>
      </c>
      <c r="AD29" s="1173"/>
      <c r="AE29" s="155">
        <f>AE28/$AE$28</f>
        <v>1</v>
      </c>
    </row>
    <row r="30" spans="2:31" ht="14.25" customHeight="1" thickBot="1" x14ac:dyDescent="0.35">
      <c r="R30" s="143" t="s">
        <v>269</v>
      </c>
      <c r="S30" s="1391">
        <f>$AB$1</f>
        <v>500</v>
      </c>
      <c r="T30" s="1375"/>
      <c r="U30" s="1375">
        <f>T30+S30</f>
        <v>500</v>
      </c>
      <c r="V30" s="1124"/>
      <c r="Z30" s="140" t="s">
        <v>270</v>
      </c>
      <c r="AA30" s="156">
        <f>S35/(S32)</f>
        <v>5.688888185941042E-2</v>
      </c>
      <c r="AB30" s="157"/>
      <c r="AC30" s="157"/>
      <c r="AD30" s="1179">
        <f>V35/U32</f>
        <v>7.3043538323394651E-4</v>
      </c>
      <c r="AE30" s="1182">
        <f>SUMPRODUCT(AA30:AC30,AA29:AC29)+(AD30)</f>
        <v>5.7619317242644366E-2</v>
      </c>
    </row>
    <row r="31" spans="2:31" ht="14.25" customHeight="1" thickBot="1" x14ac:dyDescent="0.35">
      <c r="R31" s="143" t="s">
        <v>271</v>
      </c>
      <c r="S31" s="229"/>
      <c r="T31" s="227">
        <f>T28+T29</f>
        <v>0</v>
      </c>
      <c r="U31" s="227">
        <f>T31</f>
        <v>0</v>
      </c>
      <c r="V31" s="148"/>
    </row>
    <row r="32" spans="2:31" ht="14.25" customHeight="1" thickBot="1" x14ac:dyDescent="0.35">
      <c r="R32" s="235" t="s">
        <v>261</v>
      </c>
      <c r="S32" s="227">
        <f>SUM(S28:S30)</f>
        <v>33410</v>
      </c>
      <c r="T32" s="227">
        <f>SUM(T28:T30)</f>
        <v>0</v>
      </c>
      <c r="U32" s="227">
        <f>T32+S32</f>
        <v>33410</v>
      </c>
      <c r="V32" s="148">
        <f>SUM(V28:V30)</f>
        <v>0</v>
      </c>
    </row>
    <row r="33" spans="1:23" ht="14.25" customHeight="1" thickBot="1" x14ac:dyDescent="0.35">
      <c r="R33" s="236" t="s">
        <v>272</v>
      </c>
      <c r="S33" s="229"/>
      <c r="T33" s="229"/>
      <c r="U33" s="229"/>
      <c r="V33" s="154"/>
    </row>
    <row r="34" spans="1:23" ht="14.25" customHeight="1" thickBot="1" x14ac:dyDescent="0.35">
      <c r="R34" s="237" t="s">
        <v>273</v>
      </c>
      <c r="S34" s="229"/>
      <c r="T34" s="227"/>
      <c r="U34" s="229"/>
      <c r="V34" s="154"/>
    </row>
    <row r="35" spans="1:23" ht="14.25" customHeight="1" thickBot="1" x14ac:dyDescent="0.35">
      <c r="A35" s="78"/>
      <c r="B35" s="1453" t="s">
        <v>654</v>
      </c>
      <c r="C35" s="1454"/>
      <c r="D35" s="1454"/>
      <c r="E35" s="1454"/>
      <c r="F35" s="1455"/>
      <c r="G35" s="877"/>
      <c r="H35" s="877"/>
      <c r="I35" s="877"/>
      <c r="J35" s="877"/>
      <c r="K35" s="877"/>
      <c r="L35" s="877"/>
      <c r="R35" s="162" t="s">
        <v>253</v>
      </c>
      <c r="S35" s="1125">
        <f>SUM(L5:L14)</f>
        <v>1900.6575429229022</v>
      </c>
      <c r="T35" s="1125"/>
      <c r="U35" s="1263">
        <f>S35+T35+V35</f>
        <v>1925.0613890767484</v>
      </c>
      <c r="V35" s="1125">
        <f>SUM(L37:L38)</f>
        <v>24.403846153846153</v>
      </c>
    </row>
    <row r="36" spans="1:23" ht="14.75" customHeight="1" x14ac:dyDescent="0.3">
      <c r="A36" s="78"/>
      <c r="B36" s="848" t="s">
        <v>245</v>
      </c>
      <c r="C36" s="848" t="s">
        <v>321</v>
      </c>
      <c r="D36" s="850" t="s">
        <v>645</v>
      </c>
      <c r="E36" s="847" t="s">
        <v>646</v>
      </c>
      <c r="F36" s="850" t="s">
        <v>647</v>
      </c>
      <c r="G36" s="870"/>
      <c r="H36" s="850" t="s">
        <v>647</v>
      </c>
      <c r="I36" s="850" t="s">
        <v>250</v>
      </c>
      <c r="J36" s="850" t="s">
        <v>251</v>
      </c>
      <c r="K36" s="850" t="s">
        <v>252</v>
      </c>
      <c r="L36" s="850" t="s">
        <v>253</v>
      </c>
    </row>
    <row r="37" spans="1:23" ht="14.25" customHeight="1" x14ac:dyDescent="0.3">
      <c r="A37" s="78"/>
      <c r="B37" s="843" t="s">
        <v>716</v>
      </c>
      <c r="C37" s="844" t="s">
        <v>14</v>
      </c>
      <c r="D37" s="845">
        <v>1</v>
      </c>
      <c r="E37" s="843">
        <f>$AD$1</f>
        <v>216</v>
      </c>
      <c r="F37" s="843">
        <f>D37*E37</f>
        <v>216</v>
      </c>
      <c r="G37" s="869"/>
      <c r="H37" s="843">
        <f>F37</f>
        <v>216</v>
      </c>
      <c r="I37" s="843">
        <f>VLOOKUP(B37,All_Ingredients!$A$1:$F$149,6,FALSE())</f>
        <v>0.65</v>
      </c>
      <c r="J37" s="843">
        <f>VLOOKUP(B37,All_Ingredients!$A$1:$J$149,10,FALSE())</f>
        <v>45</v>
      </c>
      <c r="K37" s="843">
        <f>(H37/I37)/1000</f>
        <v>0.3323076923076923</v>
      </c>
      <c r="L37" s="843">
        <f t="shared" ref="L37" si="12">K37*J37</f>
        <v>14.953846153846154</v>
      </c>
    </row>
    <row r="38" spans="1:23" ht="14.25" customHeight="1" x14ac:dyDescent="0.3">
      <c r="A38" s="78"/>
      <c r="B38" s="843" t="s">
        <v>186</v>
      </c>
      <c r="C38" s="844" t="s">
        <v>14</v>
      </c>
      <c r="D38" s="845">
        <v>2.5</v>
      </c>
      <c r="E38" s="843">
        <f>$AD$1</f>
        <v>216</v>
      </c>
      <c r="F38" s="843">
        <f>D38*E38</f>
        <v>540</v>
      </c>
      <c r="G38" s="869"/>
      <c r="H38" s="843">
        <f>F38</f>
        <v>540</v>
      </c>
      <c r="I38" s="843">
        <f>VLOOKUP(B38,All_Ingredients!$A$1:$F$149,6,FALSE())</f>
        <v>1</v>
      </c>
      <c r="J38" s="843">
        <f>VLOOKUP(B38,All_Ingredients!$A$1:$J$149,10,FALSE())</f>
        <v>17.5</v>
      </c>
      <c r="K38" s="843">
        <f>(H38/I38)/1000</f>
        <v>0.54</v>
      </c>
      <c r="L38" s="843">
        <f t="shared" ref="L38" si="13">K38*J38</f>
        <v>9.4500000000000011</v>
      </c>
    </row>
    <row r="39" spans="1:23" ht="14.25" customHeight="1" x14ac:dyDescent="0.3">
      <c r="A39" s="78"/>
      <c r="I39" s="14"/>
      <c r="J39" s="14"/>
    </row>
    <row r="40" spans="1:23" ht="46.5" customHeight="1" x14ac:dyDescent="0.3">
      <c r="A40" s="78"/>
      <c r="I40" s="14"/>
      <c r="J40" s="14"/>
      <c r="Q40" s="14"/>
      <c r="R40" s="164" t="s">
        <v>274</v>
      </c>
      <c r="S40" s="238">
        <v>1</v>
      </c>
      <c r="T40" s="164" t="s">
        <v>275</v>
      </c>
      <c r="U40" s="238">
        <v>0</v>
      </c>
      <c r="V40" s="167">
        <f>S40+U40</f>
        <v>1</v>
      </c>
      <c r="W40" s="14"/>
    </row>
    <row r="41" spans="1:23" ht="14.25" customHeight="1" x14ac:dyDescent="0.3">
      <c r="A41" s="78"/>
      <c r="I41" s="14"/>
      <c r="J41" s="14"/>
      <c r="Q41" s="14"/>
      <c r="R41" s="14"/>
      <c r="S41" s="14"/>
      <c r="T41" s="14"/>
      <c r="U41" s="168"/>
      <c r="V41" s="14"/>
      <c r="W41" s="14"/>
    </row>
    <row r="42" spans="1:23" ht="14.25" customHeight="1" x14ac:dyDescent="0.3">
      <c r="A42" s="78"/>
      <c r="I42" s="14"/>
      <c r="J42" s="14"/>
      <c r="Q42" s="14"/>
      <c r="R42" s="14"/>
      <c r="S42" s="14"/>
      <c r="T42" s="14"/>
      <c r="U42" s="14"/>
      <c r="V42" s="14"/>
      <c r="W42" s="14"/>
    </row>
    <row r="43" spans="1:23" ht="14.25" customHeight="1" x14ac:dyDescent="0.3">
      <c r="A43" s="78"/>
      <c r="G43" s="14"/>
      <c r="H43" s="14"/>
      <c r="I43" s="14"/>
      <c r="J43" s="14"/>
      <c r="Q43" s="169" t="s">
        <v>276</v>
      </c>
      <c r="R43" s="169" t="s">
        <v>277</v>
      </c>
      <c r="S43" s="169" t="s">
        <v>278</v>
      </c>
      <c r="T43" s="169" t="s">
        <v>279</v>
      </c>
      <c r="U43" s="169" t="s">
        <v>280</v>
      </c>
      <c r="V43" s="169" t="s">
        <v>281</v>
      </c>
      <c r="W43" s="169" t="s">
        <v>282</v>
      </c>
    </row>
    <row r="44" spans="1:23" ht="14.25" customHeight="1" x14ac:dyDescent="0.3">
      <c r="A44" s="78"/>
      <c r="B44" s="300"/>
      <c r="C44" s="14"/>
      <c r="D44" s="14"/>
      <c r="E44" s="99"/>
      <c r="F44" s="99"/>
      <c r="G44" s="14"/>
      <c r="H44" s="14"/>
      <c r="I44" s="14"/>
      <c r="J44" s="14"/>
      <c r="Q44" s="239">
        <v>10000</v>
      </c>
      <c r="R44" s="172">
        <v>0</v>
      </c>
      <c r="S44" s="240">
        <v>0</v>
      </c>
      <c r="T44" s="173">
        <v>0</v>
      </c>
      <c r="U44" s="241">
        <f>R44*S44</f>
        <v>0</v>
      </c>
      <c r="V44" s="175">
        <f>R44*T44</f>
        <v>0</v>
      </c>
      <c r="W44" s="175">
        <f>Q44-U44</f>
        <v>10000</v>
      </c>
    </row>
    <row r="45" spans="1:23" ht="14.25" customHeight="1" x14ac:dyDescent="0.3">
      <c r="A45" s="78"/>
      <c r="B45" s="300"/>
      <c r="C45" s="14"/>
      <c r="D45" s="14"/>
      <c r="E45" s="99"/>
      <c r="F45" s="99"/>
      <c r="G45" s="14"/>
      <c r="H45" s="14"/>
      <c r="I45" s="14"/>
      <c r="J45" s="14"/>
    </row>
    <row r="46" spans="1:23" ht="14.25" customHeight="1" x14ac:dyDescent="0.3">
      <c r="A46" s="78"/>
      <c r="B46" s="300"/>
      <c r="C46" s="14"/>
      <c r="D46" s="14"/>
      <c r="E46" s="99"/>
      <c r="F46" s="99"/>
      <c r="G46" s="14"/>
      <c r="H46" s="14"/>
      <c r="I46" s="14"/>
      <c r="J46" s="14"/>
    </row>
    <row r="47" spans="1:23" ht="14.25" customHeight="1" x14ac:dyDescent="0.3">
      <c r="A47" s="78"/>
      <c r="B47" s="300"/>
      <c r="C47" s="14"/>
      <c r="D47" s="14"/>
      <c r="E47" s="99"/>
      <c r="F47" s="99"/>
      <c r="G47" s="14"/>
      <c r="H47" s="14"/>
      <c r="I47" s="14"/>
      <c r="J47" s="14"/>
    </row>
    <row r="48" spans="1:23" ht="14.25" customHeight="1" x14ac:dyDescent="0.3">
      <c r="A48" s="78"/>
      <c r="B48" s="300"/>
      <c r="C48" s="14"/>
      <c r="D48" s="14"/>
      <c r="E48" s="99"/>
      <c r="F48" s="99"/>
      <c r="G48" s="14"/>
      <c r="H48" s="14"/>
      <c r="I48" s="14"/>
      <c r="J48" s="14"/>
    </row>
    <row r="49" spans="1:10" ht="14.25" customHeight="1" x14ac:dyDescent="0.3">
      <c r="A49" s="78"/>
      <c r="B49" s="300"/>
      <c r="C49" s="14"/>
      <c r="D49" s="14"/>
      <c r="E49" s="99"/>
      <c r="F49" s="99"/>
      <c r="G49" s="14"/>
      <c r="H49" s="14"/>
      <c r="I49" s="14"/>
      <c r="J49" s="14"/>
    </row>
    <row r="50" spans="1:10" ht="14.25" customHeight="1" x14ac:dyDescent="0.3">
      <c r="A50" s="78"/>
      <c r="B50" s="588"/>
      <c r="C50" s="225" t="s">
        <v>237</v>
      </c>
      <c r="D50" s="225" t="s">
        <v>283</v>
      </c>
      <c r="E50" s="182"/>
      <c r="F50" s="213"/>
      <c r="G50" s="144" t="s">
        <v>284</v>
      </c>
      <c r="H50" s="144" t="s">
        <v>237</v>
      </c>
      <c r="I50" s="144" t="s">
        <v>285</v>
      </c>
      <c r="J50" s="144" t="s">
        <v>286</v>
      </c>
    </row>
    <row r="51" spans="1:10" ht="14.25" customHeight="1" x14ac:dyDescent="0.3">
      <c r="A51" s="78"/>
      <c r="B51" s="1113" t="s">
        <v>287</v>
      </c>
      <c r="C51" s="180">
        <f>10/K1</f>
        <v>10</v>
      </c>
      <c r="D51" s="181">
        <f>$C$1*10</f>
        <v>10000</v>
      </c>
      <c r="E51" s="228"/>
      <c r="F51" s="213"/>
      <c r="G51" s="179" t="s">
        <v>287</v>
      </c>
      <c r="H51" s="180">
        <f>I51/$D$5</f>
        <v>10</v>
      </c>
      <c r="I51" s="180">
        <f t="shared" ref="I51:I56" si="14">J51/$R$1</f>
        <v>20408.163265306124</v>
      </c>
      <c r="J51" s="180">
        <f>$W$44</f>
        <v>10000</v>
      </c>
    </row>
    <row r="52" spans="1:10" ht="14.25" customHeight="1" x14ac:dyDescent="0.3">
      <c r="A52" s="78"/>
      <c r="B52" s="301" t="s">
        <v>266</v>
      </c>
      <c r="C52" s="231">
        <f>I1</f>
        <v>33.409999999999997</v>
      </c>
      <c r="D52" s="232">
        <f>E1</f>
        <v>33410</v>
      </c>
      <c r="E52" s="213"/>
      <c r="F52" s="213"/>
      <c r="G52" s="147" t="s">
        <v>266</v>
      </c>
      <c r="H52" s="175">
        <f>I52/$D$5</f>
        <v>33.409999999999997</v>
      </c>
      <c r="I52" s="175">
        <f t="shared" si="14"/>
        <v>68183.673469387752</v>
      </c>
      <c r="J52" s="183">
        <f>$S$32</f>
        <v>33410</v>
      </c>
    </row>
    <row r="53" spans="1:10" ht="14.25" customHeight="1" x14ac:dyDescent="0.3">
      <c r="A53" s="78"/>
      <c r="B53" s="301" t="s">
        <v>288</v>
      </c>
      <c r="C53" s="233">
        <f>MIN($C$52, 10)</f>
        <v>10</v>
      </c>
      <c r="D53" s="232">
        <f>(C53*$K$1)*$C$1</f>
        <v>10000</v>
      </c>
      <c r="E53" s="213"/>
      <c r="F53" s="213"/>
      <c r="G53" s="147" t="s">
        <v>288</v>
      </c>
      <c r="H53" s="186">
        <f>MIN(H52,H51)</f>
        <v>10</v>
      </c>
      <c r="I53" s="175">
        <f t="shared" si="14"/>
        <v>20408.163265306124</v>
      </c>
      <c r="J53" s="175">
        <f>MIN(J52,J51)</f>
        <v>10000</v>
      </c>
    </row>
    <row r="54" spans="1:10" ht="14.25" customHeight="1" x14ac:dyDescent="0.3">
      <c r="A54" s="78"/>
      <c r="B54" s="301" t="s">
        <v>289</v>
      </c>
      <c r="C54" s="233">
        <f>MIN(MAX($C$52-C53,0),10)</f>
        <v>10</v>
      </c>
      <c r="D54" s="232">
        <f>(C54*$K$1)*$C$1</f>
        <v>10000</v>
      </c>
      <c r="E54" s="213"/>
      <c r="F54" s="213"/>
      <c r="G54" s="147" t="s">
        <v>289</v>
      </c>
      <c r="H54" s="186">
        <f>MIN(MAX(H52-H53),H51)</f>
        <v>10</v>
      </c>
      <c r="I54" s="175">
        <f t="shared" si="14"/>
        <v>20408.163265306124</v>
      </c>
      <c r="J54" s="175">
        <f>MIN(MAX(J52-J53),J51)</f>
        <v>10000</v>
      </c>
    </row>
    <row r="55" spans="1:10" ht="14.25" customHeight="1" x14ac:dyDescent="0.3">
      <c r="A55" s="78"/>
      <c r="B55" s="301" t="s">
        <v>290</v>
      </c>
      <c r="C55" s="233">
        <f>MIN(MAX($C$52-C53-C54,0),10)</f>
        <v>10</v>
      </c>
      <c r="D55" s="232">
        <f>(C55*$K$1)*$C$1</f>
        <v>10000</v>
      </c>
      <c r="E55" s="213"/>
      <c r="F55" s="213"/>
      <c r="G55" s="144" t="s">
        <v>290</v>
      </c>
      <c r="H55" s="186">
        <f>MIN(MAX(H52-H53-H54),H51)</f>
        <v>10</v>
      </c>
      <c r="I55" s="175">
        <f t="shared" si="14"/>
        <v>20408.163265306124</v>
      </c>
      <c r="J55" s="175">
        <f>MIN(MAX(J52-J53-J54),J51)</f>
        <v>10000</v>
      </c>
    </row>
    <row r="56" spans="1:10" ht="14.25" customHeight="1" x14ac:dyDescent="0.3">
      <c r="A56" s="78"/>
      <c r="B56" s="301" t="s">
        <v>297</v>
      </c>
      <c r="C56" s="233">
        <f>MIN(MAX($C$52-C53-C54-C55,0),10)</f>
        <v>3.4099999999999966</v>
      </c>
      <c r="D56" s="234">
        <f>C56*$K$1</f>
        <v>3.4099999999999966</v>
      </c>
      <c r="E56" s="99"/>
      <c r="F56" s="99"/>
      <c r="G56" s="144" t="s">
        <v>297</v>
      </c>
      <c r="H56" s="186">
        <f>MIN(MAX(H52-H53-H54-H55),H51)</f>
        <v>3.4099999999999966</v>
      </c>
      <c r="I56" s="175">
        <f t="shared" si="14"/>
        <v>6959.1836734693879</v>
      </c>
      <c r="J56" s="175">
        <f>MIN(MAX(J52-J53-J54-J55),J51)</f>
        <v>3410</v>
      </c>
    </row>
    <row r="57" spans="1:10" ht="14.25" customHeight="1" x14ac:dyDescent="0.3">
      <c r="A57" s="78"/>
    </row>
    <row r="58" spans="1:10" ht="14.25" customHeight="1" x14ac:dyDescent="0.3">
      <c r="A58" s="78"/>
      <c r="B58" s="300"/>
      <c r="C58" s="14"/>
      <c r="D58" s="14"/>
      <c r="E58" s="99"/>
      <c r="F58" s="99"/>
      <c r="G58" s="14"/>
      <c r="H58" s="14"/>
      <c r="I58" s="14"/>
      <c r="J58" s="14"/>
    </row>
    <row r="59" spans="1:10" ht="14.25" customHeight="1" x14ac:dyDescent="0.3">
      <c r="A59" s="78"/>
      <c r="B59" s="300"/>
      <c r="C59" s="14"/>
      <c r="D59" s="14"/>
      <c r="E59" s="99"/>
      <c r="F59" s="99"/>
      <c r="G59" s="14"/>
      <c r="H59" s="14"/>
      <c r="I59" s="14"/>
      <c r="J59" s="14"/>
    </row>
    <row r="60" spans="1:10" ht="14.25" customHeight="1" x14ac:dyDescent="0.3">
      <c r="A60" s="78"/>
      <c r="B60" s="300"/>
      <c r="C60" s="14"/>
      <c r="D60" s="14"/>
      <c r="E60" s="99"/>
      <c r="F60" s="99"/>
      <c r="G60" s="14"/>
      <c r="H60" s="14"/>
      <c r="I60" s="14"/>
      <c r="J60" s="14"/>
    </row>
    <row r="61" spans="1:10" ht="14.25" customHeight="1" x14ac:dyDescent="0.3">
      <c r="A61" s="78"/>
      <c r="B61" s="300"/>
      <c r="C61" s="14"/>
      <c r="D61" s="14"/>
      <c r="E61" s="99"/>
      <c r="F61" s="99"/>
      <c r="G61" s="14"/>
      <c r="H61" s="14"/>
      <c r="I61" s="14"/>
      <c r="J61" s="14"/>
    </row>
    <row r="62" spans="1:10" ht="48" customHeight="1" x14ac:dyDescent="0.3">
      <c r="A62" s="947"/>
      <c r="B62" s="1447" t="str">
        <f>"كبسة لحم دفعة  1  / " &amp; COUNTIF($C$53:$C$56, "&gt;0")</f>
        <v>كبسة لحم دفعة  1  / 4</v>
      </c>
      <c r="C62" s="1448"/>
      <c r="D62" s="1448"/>
      <c r="E62" s="1448"/>
      <c r="F62" s="1448"/>
      <c r="G62" s="1448"/>
      <c r="H62" s="1448"/>
    </row>
    <row r="63" spans="1:10" x14ac:dyDescent="0.3">
      <c r="A63" s="947"/>
      <c r="B63" s="1438" t="str">
        <f>"Kabsah Laham 1 / " &amp; COUNTIF($C$53:$C$56, "&gt;0")</f>
        <v>Kabsah Laham 1 / 4</v>
      </c>
      <c r="C63" s="1439"/>
      <c r="D63" s="1439"/>
      <c r="E63" s="1439"/>
      <c r="F63" s="1439"/>
      <c r="G63" s="1439"/>
      <c r="H63" s="1439"/>
    </row>
    <row r="64" spans="1:10" ht="26" x14ac:dyDescent="0.25">
      <c r="A64" s="90"/>
      <c r="B64" s="591" t="s">
        <v>245</v>
      </c>
      <c r="C64" s="243" t="s">
        <v>246</v>
      </c>
      <c r="D64" s="244" t="s">
        <v>235</v>
      </c>
      <c r="E64" s="217" t="s">
        <v>238</v>
      </c>
      <c r="F64" s="217" t="s">
        <v>247</v>
      </c>
      <c r="G64" s="244" t="s">
        <v>248</v>
      </c>
      <c r="H64" s="217" t="s">
        <v>249</v>
      </c>
    </row>
    <row r="65" spans="1:8" ht="14.25" customHeight="1" x14ac:dyDescent="0.3">
      <c r="A65" s="220" t="s">
        <v>225</v>
      </c>
      <c r="B65" s="1114" t="str">
        <f t="shared" ref="B65:D76" si="15">B5</f>
        <v>Indian Meat Alana  - لحم هندى ألانا</v>
      </c>
      <c r="C65" s="123" t="str">
        <f t="shared" si="15"/>
        <v>gm</v>
      </c>
      <c r="D65" s="115">
        <f t="shared" si="15"/>
        <v>2040.8163265306125</v>
      </c>
      <c r="E65" s="125">
        <f>H53</f>
        <v>10</v>
      </c>
      <c r="F65" s="126">
        <f t="shared" ref="F65:F76" si="16">F5</f>
        <v>1</v>
      </c>
      <c r="G65" s="118">
        <f t="shared" ref="G65:G72" si="17">D65*E65</f>
        <v>20408.163265306124</v>
      </c>
      <c r="H65" s="119">
        <f t="shared" ref="H65:H72" si="18">G65*F65</f>
        <v>20408.163265306124</v>
      </c>
    </row>
    <row r="66" spans="1:8" ht="14.25" customHeight="1" x14ac:dyDescent="0.3">
      <c r="A66" s="220" t="s">
        <v>95</v>
      </c>
      <c r="B66" s="1114" t="str">
        <f t="shared" si="15"/>
        <v>Black Pepper Whole - فلفل أسود حب</v>
      </c>
      <c r="C66" s="123" t="str">
        <f t="shared" si="15"/>
        <v>gm</v>
      </c>
      <c r="D66" s="115">
        <f t="shared" si="15"/>
        <v>2</v>
      </c>
      <c r="E66" s="125">
        <f t="shared" ref="E66:E76" si="19">$C$53</f>
        <v>10</v>
      </c>
      <c r="F66" s="126">
        <f t="shared" si="16"/>
        <v>1</v>
      </c>
      <c r="G66" s="80">
        <f t="shared" si="17"/>
        <v>20</v>
      </c>
      <c r="H66" s="119">
        <f t="shared" si="18"/>
        <v>20</v>
      </c>
    </row>
    <row r="67" spans="1:8" ht="14.25" customHeight="1" x14ac:dyDescent="0.3">
      <c r="A67" s="220" t="s">
        <v>95</v>
      </c>
      <c r="B67" s="1114" t="str">
        <f t="shared" si="15"/>
        <v>Cumin Whole - كمون حب</v>
      </c>
      <c r="C67" s="123" t="str">
        <f t="shared" si="15"/>
        <v>gm</v>
      </c>
      <c r="D67" s="115">
        <f t="shared" si="15"/>
        <v>2</v>
      </c>
      <c r="E67" s="125">
        <f t="shared" si="19"/>
        <v>10</v>
      </c>
      <c r="F67" s="126">
        <f t="shared" si="16"/>
        <v>0.95</v>
      </c>
      <c r="G67" s="80">
        <f t="shared" si="17"/>
        <v>20</v>
      </c>
      <c r="H67" s="119">
        <f t="shared" si="18"/>
        <v>19</v>
      </c>
    </row>
    <row r="68" spans="1:8" ht="14.25" customHeight="1" x14ac:dyDescent="0.3">
      <c r="A68" s="220" t="s">
        <v>95</v>
      </c>
      <c r="B68" s="1114" t="str">
        <f t="shared" si="15"/>
        <v>Cloves Whole - قرنفل حب</v>
      </c>
      <c r="C68" s="123" t="str">
        <f t="shared" si="15"/>
        <v>gm</v>
      </c>
      <c r="D68" s="115">
        <f t="shared" si="15"/>
        <v>2</v>
      </c>
      <c r="E68" s="125">
        <f t="shared" si="19"/>
        <v>10</v>
      </c>
      <c r="F68" s="126">
        <f t="shared" si="16"/>
        <v>0.95</v>
      </c>
      <c r="G68" s="80">
        <f t="shared" si="17"/>
        <v>20</v>
      </c>
      <c r="H68" s="119">
        <f t="shared" si="18"/>
        <v>19</v>
      </c>
    </row>
    <row r="69" spans="1:8" ht="14.25" customHeight="1" x14ac:dyDescent="0.3">
      <c r="A69" s="220" t="s">
        <v>95</v>
      </c>
      <c r="B69" s="1114" t="str">
        <f t="shared" si="15"/>
        <v>Cinnamon Whole - قرفة أعواد</v>
      </c>
      <c r="C69" s="123" t="str">
        <f t="shared" si="15"/>
        <v>gm</v>
      </c>
      <c r="D69" s="115">
        <f t="shared" si="15"/>
        <v>2</v>
      </c>
      <c r="E69" s="125">
        <f t="shared" si="19"/>
        <v>10</v>
      </c>
      <c r="F69" s="126">
        <f t="shared" si="16"/>
        <v>1</v>
      </c>
      <c r="G69" s="80">
        <f t="shared" si="17"/>
        <v>20</v>
      </c>
      <c r="H69" s="119">
        <f t="shared" si="18"/>
        <v>20</v>
      </c>
    </row>
    <row r="70" spans="1:8" ht="14.25" customHeight="1" x14ac:dyDescent="0.3">
      <c r="A70" s="220" t="s">
        <v>215</v>
      </c>
      <c r="B70" s="1114" t="str">
        <f t="shared" si="15"/>
        <v>Saffron yellow color powder - لون صفار زعفران بودر</v>
      </c>
      <c r="C70" s="123" t="str">
        <f t="shared" si="15"/>
        <v>gm</v>
      </c>
      <c r="D70" s="115">
        <f t="shared" si="15"/>
        <v>5</v>
      </c>
      <c r="E70" s="125">
        <f t="shared" si="19"/>
        <v>10</v>
      </c>
      <c r="F70" s="126">
        <f t="shared" si="16"/>
        <v>1</v>
      </c>
      <c r="G70" s="80">
        <f t="shared" si="17"/>
        <v>50</v>
      </c>
      <c r="H70" s="119">
        <f t="shared" si="18"/>
        <v>50</v>
      </c>
    </row>
    <row r="71" spans="1:8" ht="14.25" customHeight="1" x14ac:dyDescent="0.3">
      <c r="A71" s="220" t="s">
        <v>95</v>
      </c>
      <c r="B71" s="1114" t="str">
        <f t="shared" si="15"/>
        <v>Cumin Powder - كمون مطحون</v>
      </c>
      <c r="C71" s="123" t="str">
        <f t="shared" si="15"/>
        <v>gm</v>
      </c>
      <c r="D71" s="115">
        <f t="shared" si="15"/>
        <v>6</v>
      </c>
      <c r="E71" s="125">
        <f t="shared" si="19"/>
        <v>10</v>
      </c>
      <c r="F71" s="126">
        <f t="shared" si="16"/>
        <v>1</v>
      </c>
      <c r="G71" s="80">
        <f t="shared" si="17"/>
        <v>60</v>
      </c>
      <c r="H71" s="119">
        <f t="shared" si="18"/>
        <v>60</v>
      </c>
    </row>
    <row r="72" spans="1:8" ht="14.25" customHeight="1" x14ac:dyDescent="0.3">
      <c r="A72" s="220" t="s">
        <v>95</v>
      </c>
      <c r="B72" s="1114" t="str">
        <f t="shared" si="15"/>
        <v>Black Pepper Powder - فلفل أسود مطحون</v>
      </c>
      <c r="C72" s="123" t="str">
        <f t="shared" si="15"/>
        <v>gm</v>
      </c>
      <c r="D72" s="115">
        <f t="shared" si="15"/>
        <v>6</v>
      </c>
      <c r="E72" s="125">
        <f t="shared" si="19"/>
        <v>10</v>
      </c>
      <c r="F72" s="126">
        <f t="shared" si="16"/>
        <v>1</v>
      </c>
      <c r="G72" s="80">
        <f t="shared" si="17"/>
        <v>60</v>
      </c>
      <c r="H72" s="119">
        <f t="shared" si="18"/>
        <v>60</v>
      </c>
    </row>
    <row r="73" spans="1:8" ht="14.25" customHeight="1" x14ac:dyDescent="0.3">
      <c r="A73" s="220"/>
      <c r="B73" s="1114" t="str">
        <f t="shared" si="15"/>
        <v>Butter - زبدة</v>
      </c>
      <c r="C73" s="123" t="str">
        <f t="shared" si="15"/>
        <v>gm</v>
      </c>
      <c r="D73" s="115">
        <f t="shared" si="15"/>
        <v>75</v>
      </c>
      <c r="E73" s="125">
        <f t="shared" si="19"/>
        <v>10</v>
      </c>
      <c r="F73" s="126">
        <f t="shared" si="16"/>
        <v>1</v>
      </c>
      <c r="G73" s="80">
        <f t="shared" ref="G73:G76" si="20">D73*E73</f>
        <v>750</v>
      </c>
      <c r="H73" s="119">
        <f t="shared" ref="H73:H76" si="21">G73*F73</f>
        <v>750</v>
      </c>
    </row>
    <row r="74" spans="1:8" ht="19.25" customHeight="1" x14ac:dyDescent="0.3">
      <c r="A74" s="220"/>
      <c r="B74" s="1114" t="str">
        <f t="shared" si="15"/>
        <v>Cardamom Whole - هيل حب</v>
      </c>
      <c r="C74" s="123" t="str">
        <f t="shared" si="15"/>
        <v>gm</v>
      </c>
      <c r="D74" s="115">
        <f t="shared" si="15"/>
        <v>6</v>
      </c>
      <c r="E74" s="125">
        <f t="shared" si="19"/>
        <v>10</v>
      </c>
      <c r="F74" s="126">
        <f t="shared" si="16"/>
        <v>1</v>
      </c>
      <c r="G74" s="80">
        <f t="shared" si="20"/>
        <v>60</v>
      </c>
      <c r="H74" s="119">
        <f t="shared" si="21"/>
        <v>60</v>
      </c>
    </row>
    <row r="75" spans="1:8" ht="14.25" customHeight="1" x14ac:dyDescent="0.3">
      <c r="A75" s="220" t="s">
        <v>154</v>
      </c>
      <c r="B75" s="1114" t="str">
        <f t="shared" si="15"/>
        <v>Maggi Cubes - مكعبات ماجي</v>
      </c>
      <c r="C75" s="123" t="str">
        <f t="shared" si="15"/>
        <v>gm</v>
      </c>
      <c r="D75" s="115">
        <f t="shared" si="15"/>
        <v>8</v>
      </c>
      <c r="E75" s="125">
        <f t="shared" si="19"/>
        <v>10</v>
      </c>
      <c r="F75" s="126">
        <f t="shared" si="16"/>
        <v>1</v>
      </c>
      <c r="G75" s="80">
        <f t="shared" si="20"/>
        <v>80</v>
      </c>
      <c r="H75" s="119">
        <f t="shared" si="21"/>
        <v>80</v>
      </c>
    </row>
    <row r="76" spans="1:8" ht="14.25" customHeight="1" x14ac:dyDescent="0.3">
      <c r="A76" s="220" t="s">
        <v>13</v>
      </c>
      <c r="B76" s="1114" t="str">
        <f t="shared" si="15"/>
        <v>Salt - ملح</v>
      </c>
      <c r="C76" s="123" t="str">
        <f t="shared" si="15"/>
        <v>gm</v>
      </c>
      <c r="D76" s="115">
        <f t="shared" si="15"/>
        <v>11</v>
      </c>
      <c r="E76" s="125">
        <f t="shared" si="19"/>
        <v>10</v>
      </c>
      <c r="F76" s="126">
        <f t="shared" si="16"/>
        <v>1</v>
      </c>
      <c r="G76" s="80">
        <f t="shared" si="20"/>
        <v>110</v>
      </c>
      <c r="H76" s="119">
        <f t="shared" si="21"/>
        <v>110</v>
      </c>
    </row>
    <row r="77" spans="1:8" ht="14.25" customHeight="1" x14ac:dyDescent="0.3">
      <c r="B77" s="1115" t="s">
        <v>291</v>
      </c>
      <c r="C77" s="199" t="s">
        <v>277</v>
      </c>
      <c r="D77" s="14"/>
      <c r="E77" s="199" t="s">
        <v>292</v>
      </c>
      <c r="F77" s="14"/>
      <c r="G77" s="878" t="s">
        <v>268</v>
      </c>
      <c r="H77" s="878" t="s">
        <v>703</v>
      </c>
    </row>
    <row r="78" spans="1:8" ht="24" customHeight="1" x14ac:dyDescent="0.4">
      <c r="B78" s="1116">
        <f>$J$53</f>
        <v>10000</v>
      </c>
      <c r="C78" s="198">
        <f>E78+G78</f>
        <v>0</v>
      </c>
      <c r="D78" s="915"/>
      <c r="E78" s="198">
        <f>$C$53*$S$44</f>
        <v>0</v>
      </c>
      <c r="F78" s="919"/>
      <c r="G78" s="198">
        <f>$C$53*$T$44</f>
        <v>0</v>
      </c>
      <c r="H78" s="198">
        <f>B78+E78</f>
        <v>10000</v>
      </c>
    </row>
    <row r="79" spans="1:8" ht="14.25" customHeight="1" x14ac:dyDescent="0.3">
      <c r="B79" s="300"/>
      <c r="E79" s="213"/>
      <c r="F79" s="213"/>
    </row>
    <row r="80" spans="1:8" ht="26.75" customHeight="1" x14ac:dyDescent="0.3">
      <c r="A80" s="947"/>
      <c r="B80" s="1447" t="str">
        <f>"كبسة لحم دفعة  2  / " &amp; COUNTIF($C$53:$C$56, "&gt;0")</f>
        <v>كبسة لحم دفعة  2  / 4</v>
      </c>
      <c r="C80" s="1448"/>
      <c r="D80" s="1448"/>
      <c r="E80" s="1448"/>
      <c r="F80" s="1448"/>
      <c r="G80" s="1448"/>
      <c r="H80" s="1448"/>
    </row>
    <row r="81" spans="1:8" ht="14.25" customHeight="1" x14ac:dyDescent="0.3">
      <c r="A81" s="947"/>
      <c r="B81" s="1438" t="str">
        <f>"Kabsah Laham 2 / " &amp; COUNTIF($C$53:$C$56, "&gt;0")</f>
        <v>Kabsah Laham 2 / 4</v>
      </c>
      <c r="C81" s="1439"/>
      <c r="D81" s="1439"/>
      <c r="E81" s="1439"/>
      <c r="F81" s="1439"/>
      <c r="G81" s="1439"/>
      <c r="H81" s="1439"/>
    </row>
    <row r="82" spans="1:8" ht="26" x14ac:dyDescent="0.25">
      <c r="A82" s="90"/>
      <c r="B82" s="590" t="s">
        <v>245</v>
      </c>
      <c r="C82" s="106" t="s">
        <v>246</v>
      </c>
      <c r="D82" s="90" t="s">
        <v>235</v>
      </c>
      <c r="E82" s="245" t="s">
        <v>298</v>
      </c>
      <c r="F82" s="107" t="s">
        <v>247</v>
      </c>
      <c r="G82" s="90" t="s">
        <v>248</v>
      </c>
      <c r="H82" s="108" t="s">
        <v>249</v>
      </c>
    </row>
    <row r="83" spans="1:8" ht="14.25" customHeight="1" x14ac:dyDescent="0.3">
      <c r="A83" s="220" t="s">
        <v>225</v>
      </c>
      <c r="B83" s="1114" t="str">
        <f t="shared" ref="B83:D94" si="22">B5</f>
        <v>Indian Meat Alana  - لحم هندى ألانا</v>
      </c>
      <c r="C83" s="123" t="str">
        <f t="shared" si="22"/>
        <v>gm</v>
      </c>
      <c r="D83" s="115">
        <f t="shared" si="22"/>
        <v>2040.8163265306125</v>
      </c>
      <c r="E83" s="125">
        <f>H54</f>
        <v>10</v>
      </c>
      <c r="F83" s="126">
        <f t="shared" ref="F83:F94" si="23">F5</f>
        <v>1</v>
      </c>
      <c r="G83" s="118">
        <f t="shared" ref="G83:G90" si="24">D83*E83</f>
        <v>20408.163265306124</v>
      </c>
      <c r="H83" s="119">
        <f t="shared" ref="H83:H90" si="25">G83*F83</f>
        <v>20408.163265306124</v>
      </c>
    </row>
    <row r="84" spans="1:8" ht="14" customHeight="1" x14ac:dyDescent="0.3">
      <c r="A84" s="220" t="s">
        <v>95</v>
      </c>
      <c r="B84" s="1114" t="str">
        <f t="shared" si="22"/>
        <v>Black Pepper Whole - فلفل أسود حب</v>
      </c>
      <c r="C84" s="123" t="str">
        <f t="shared" si="22"/>
        <v>gm</v>
      </c>
      <c r="D84" s="115">
        <f t="shared" si="22"/>
        <v>2</v>
      </c>
      <c r="E84" s="125">
        <f t="shared" ref="E84:E94" si="26">$C$54</f>
        <v>10</v>
      </c>
      <c r="F84" s="126">
        <f t="shared" si="23"/>
        <v>1</v>
      </c>
      <c r="G84" s="80">
        <f t="shared" si="24"/>
        <v>20</v>
      </c>
      <c r="H84" s="119">
        <f t="shared" si="25"/>
        <v>20</v>
      </c>
    </row>
    <row r="85" spans="1:8" ht="14" customHeight="1" x14ac:dyDescent="0.3">
      <c r="A85" s="220" t="s">
        <v>95</v>
      </c>
      <c r="B85" s="1114" t="str">
        <f t="shared" si="22"/>
        <v>Cumin Whole - كمون حب</v>
      </c>
      <c r="C85" s="123" t="str">
        <f t="shared" si="22"/>
        <v>gm</v>
      </c>
      <c r="D85" s="115">
        <f t="shared" si="22"/>
        <v>2</v>
      </c>
      <c r="E85" s="125">
        <f t="shared" si="26"/>
        <v>10</v>
      </c>
      <c r="F85" s="126">
        <f t="shared" si="23"/>
        <v>0.95</v>
      </c>
      <c r="G85" s="80">
        <f t="shared" si="24"/>
        <v>20</v>
      </c>
      <c r="H85" s="119">
        <f t="shared" si="25"/>
        <v>19</v>
      </c>
    </row>
    <row r="86" spans="1:8" ht="20.25" customHeight="1" x14ac:dyDescent="0.3">
      <c r="A86" s="220" t="s">
        <v>95</v>
      </c>
      <c r="B86" s="1114" t="str">
        <f t="shared" si="22"/>
        <v>Cloves Whole - قرنفل حب</v>
      </c>
      <c r="C86" s="123" t="str">
        <f t="shared" si="22"/>
        <v>gm</v>
      </c>
      <c r="D86" s="115">
        <f t="shared" si="22"/>
        <v>2</v>
      </c>
      <c r="E86" s="125">
        <f t="shared" si="26"/>
        <v>10</v>
      </c>
      <c r="F86" s="126">
        <f t="shared" si="23"/>
        <v>0.95</v>
      </c>
      <c r="G86" s="80">
        <f t="shared" si="24"/>
        <v>20</v>
      </c>
      <c r="H86" s="119">
        <f t="shared" si="25"/>
        <v>19</v>
      </c>
    </row>
    <row r="87" spans="1:8" ht="24" customHeight="1" x14ac:dyDescent="0.3">
      <c r="A87" s="220" t="s">
        <v>95</v>
      </c>
      <c r="B87" s="1114" t="str">
        <f t="shared" si="22"/>
        <v>Cinnamon Whole - قرفة أعواد</v>
      </c>
      <c r="C87" s="123" t="str">
        <f t="shared" si="22"/>
        <v>gm</v>
      </c>
      <c r="D87" s="115">
        <f t="shared" si="22"/>
        <v>2</v>
      </c>
      <c r="E87" s="125">
        <f t="shared" si="26"/>
        <v>10</v>
      </c>
      <c r="F87" s="126">
        <f t="shared" si="23"/>
        <v>1</v>
      </c>
      <c r="G87" s="80">
        <f t="shared" si="24"/>
        <v>20</v>
      </c>
      <c r="H87" s="119">
        <f t="shared" si="25"/>
        <v>20</v>
      </c>
    </row>
    <row r="88" spans="1:8" ht="14.25" customHeight="1" x14ac:dyDescent="0.3">
      <c r="A88" s="220" t="s">
        <v>215</v>
      </c>
      <c r="B88" s="1114" t="str">
        <f t="shared" si="22"/>
        <v>Saffron yellow color powder - لون صفار زعفران بودر</v>
      </c>
      <c r="C88" s="123" t="str">
        <f t="shared" si="22"/>
        <v>gm</v>
      </c>
      <c r="D88" s="115">
        <f t="shared" si="22"/>
        <v>5</v>
      </c>
      <c r="E88" s="125">
        <f t="shared" si="26"/>
        <v>10</v>
      </c>
      <c r="F88" s="126">
        <f t="shared" si="23"/>
        <v>1</v>
      </c>
      <c r="G88" s="80">
        <f t="shared" si="24"/>
        <v>50</v>
      </c>
      <c r="H88" s="119">
        <f t="shared" si="25"/>
        <v>50</v>
      </c>
    </row>
    <row r="89" spans="1:8" ht="17.75" customHeight="1" x14ac:dyDescent="0.3">
      <c r="A89" s="220" t="s">
        <v>95</v>
      </c>
      <c r="B89" s="1114" t="str">
        <f t="shared" si="22"/>
        <v>Cumin Powder - كمون مطحون</v>
      </c>
      <c r="C89" s="123" t="str">
        <f t="shared" si="22"/>
        <v>gm</v>
      </c>
      <c r="D89" s="115">
        <f t="shared" si="22"/>
        <v>6</v>
      </c>
      <c r="E89" s="125">
        <f t="shared" si="26"/>
        <v>10</v>
      </c>
      <c r="F89" s="126">
        <f t="shared" si="23"/>
        <v>1</v>
      </c>
      <c r="G89" s="80">
        <f t="shared" si="24"/>
        <v>60</v>
      </c>
      <c r="H89" s="119">
        <f t="shared" si="25"/>
        <v>60</v>
      </c>
    </row>
    <row r="90" spans="1:8" ht="21" customHeight="1" x14ac:dyDescent="0.3">
      <c r="A90" s="220" t="s">
        <v>95</v>
      </c>
      <c r="B90" s="1114" t="str">
        <f t="shared" si="22"/>
        <v>Black Pepper Powder - فلفل أسود مطحون</v>
      </c>
      <c r="C90" s="123" t="str">
        <f t="shared" si="22"/>
        <v>gm</v>
      </c>
      <c r="D90" s="115">
        <f t="shared" si="22"/>
        <v>6</v>
      </c>
      <c r="E90" s="125">
        <f t="shared" si="26"/>
        <v>10</v>
      </c>
      <c r="F90" s="126">
        <f t="shared" si="23"/>
        <v>1</v>
      </c>
      <c r="G90" s="80">
        <f t="shared" si="24"/>
        <v>60</v>
      </c>
      <c r="H90" s="119">
        <f t="shared" si="25"/>
        <v>60</v>
      </c>
    </row>
    <row r="91" spans="1:8" x14ac:dyDescent="0.3">
      <c r="A91" s="220"/>
      <c r="B91" s="1114" t="str">
        <f t="shared" si="22"/>
        <v>Butter - زبدة</v>
      </c>
      <c r="C91" s="123" t="str">
        <f t="shared" si="22"/>
        <v>gm</v>
      </c>
      <c r="D91" s="115">
        <f t="shared" si="22"/>
        <v>75</v>
      </c>
      <c r="E91" s="125">
        <f t="shared" si="26"/>
        <v>10</v>
      </c>
      <c r="F91" s="126">
        <f t="shared" si="23"/>
        <v>1</v>
      </c>
      <c r="G91" s="80">
        <f t="shared" ref="G91:G94" si="27">D91*E91</f>
        <v>750</v>
      </c>
      <c r="H91" s="119">
        <f t="shared" ref="H91:H94" si="28">G91*F91</f>
        <v>750</v>
      </c>
    </row>
    <row r="92" spans="1:8" ht="14.25" customHeight="1" x14ac:dyDescent="0.3">
      <c r="A92" s="220"/>
      <c r="B92" s="1114" t="str">
        <f t="shared" si="22"/>
        <v>Cardamom Whole - هيل حب</v>
      </c>
      <c r="C92" s="123" t="str">
        <f t="shared" si="22"/>
        <v>gm</v>
      </c>
      <c r="D92" s="115">
        <f t="shared" si="22"/>
        <v>6</v>
      </c>
      <c r="E92" s="125">
        <f t="shared" si="26"/>
        <v>10</v>
      </c>
      <c r="F92" s="126">
        <f t="shared" si="23"/>
        <v>1</v>
      </c>
      <c r="G92" s="80">
        <f t="shared" si="27"/>
        <v>60</v>
      </c>
      <c r="H92" s="119">
        <f t="shared" si="28"/>
        <v>60</v>
      </c>
    </row>
    <row r="93" spans="1:8" ht="14.25" customHeight="1" x14ac:dyDescent="0.3">
      <c r="A93" s="220" t="s">
        <v>154</v>
      </c>
      <c r="B93" s="1114" t="str">
        <f t="shared" si="22"/>
        <v>Maggi Cubes - مكعبات ماجي</v>
      </c>
      <c r="C93" s="123" t="str">
        <f t="shared" si="22"/>
        <v>gm</v>
      </c>
      <c r="D93" s="115">
        <f t="shared" si="22"/>
        <v>8</v>
      </c>
      <c r="E93" s="125">
        <f t="shared" si="26"/>
        <v>10</v>
      </c>
      <c r="F93" s="126">
        <f t="shared" si="23"/>
        <v>1</v>
      </c>
      <c r="G93" s="80">
        <f t="shared" si="27"/>
        <v>80</v>
      </c>
      <c r="H93" s="119">
        <f t="shared" si="28"/>
        <v>80</v>
      </c>
    </row>
    <row r="94" spans="1:8" ht="14.25" customHeight="1" x14ac:dyDescent="0.3">
      <c r="A94" s="220" t="s">
        <v>13</v>
      </c>
      <c r="B94" s="1114" t="str">
        <f t="shared" si="22"/>
        <v>Salt - ملح</v>
      </c>
      <c r="C94" s="123" t="str">
        <f t="shared" si="22"/>
        <v>gm</v>
      </c>
      <c r="D94" s="115">
        <f t="shared" si="22"/>
        <v>11</v>
      </c>
      <c r="E94" s="125">
        <f t="shared" si="26"/>
        <v>10</v>
      </c>
      <c r="F94" s="126">
        <f t="shared" si="23"/>
        <v>1</v>
      </c>
      <c r="G94" s="80">
        <f t="shared" si="27"/>
        <v>110</v>
      </c>
      <c r="H94" s="119">
        <f t="shared" si="28"/>
        <v>110</v>
      </c>
    </row>
    <row r="95" spans="1:8" ht="14.25" customHeight="1" x14ac:dyDescent="0.3">
      <c r="B95" s="1115" t="s">
        <v>291</v>
      </c>
      <c r="C95" s="199" t="s">
        <v>277</v>
      </c>
      <c r="D95" s="14"/>
      <c r="E95" s="199" t="s">
        <v>292</v>
      </c>
      <c r="F95" s="14"/>
      <c r="G95" s="878" t="s">
        <v>268</v>
      </c>
      <c r="H95" s="878" t="s">
        <v>703</v>
      </c>
    </row>
    <row r="96" spans="1:8" ht="24" customHeight="1" x14ac:dyDescent="0.4">
      <c r="B96" s="1116">
        <f>$J$54</f>
        <v>10000</v>
      </c>
      <c r="C96" s="198">
        <f>E96+G96</f>
        <v>0</v>
      </c>
      <c r="D96" s="915"/>
      <c r="E96" s="198">
        <f>$C$54*$S$44</f>
        <v>0</v>
      </c>
      <c r="F96" s="919"/>
      <c r="G96" s="198">
        <f>$C$54*$T$44</f>
        <v>0</v>
      </c>
      <c r="H96" s="198">
        <f>B96+E96</f>
        <v>10000</v>
      </c>
    </row>
    <row r="97" spans="1:8" ht="14.25" customHeight="1" x14ac:dyDescent="0.3"/>
    <row r="98" spans="1:8" ht="14.25" customHeight="1" x14ac:dyDescent="0.3"/>
    <row r="99" spans="1:8" ht="14.25" customHeight="1" x14ac:dyDescent="0.3"/>
    <row r="100" spans="1:8" ht="24.5" customHeight="1" x14ac:dyDescent="0.3">
      <c r="A100" s="947"/>
      <c r="B100" s="1447" t="str">
        <f>"كبسة لحم دفعة  3  / " &amp; COUNTIF($C$53:$C$56, "&gt;0")</f>
        <v>كبسة لحم دفعة  3  / 4</v>
      </c>
      <c r="C100" s="1448"/>
      <c r="D100" s="1448"/>
      <c r="E100" s="1448"/>
      <c r="F100" s="1448"/>
      <c r="G100" s="1448"/>
      <c r="H100" s="1448"/>
    </row>
    <row r="101" spans="1:8" ht="14.25" customHeight="1" x14ac:dyDescent="0.3">
      <c r="A101" s="947"/>
      <c r="B101" s="1438" t="str">
        <f>"Kabsah Laham 3 / " &amp; COUNTIF($C$53:$C$56, "&gt;0")</f>
        <v>Kabsah Laham 3 / 4</v>
      </c>
      <c r="C101" s="1439"/>
      <c r="D101" s="1439"/>
      <c r="E101" s="1439"/>
      <c r="F101" s="1439"/>
      <c r="G101" s="1439"/>
      <c r="H101" s="1439"/>
    </row>
    <row r="102" spans="1:8" ht="26" x14ac:dyDescent="0.25">
      <c r="A102" s="90"/>
      <c r="B102" s="590" t="s">
        <v>245</v>
      </c>
      <c r="C102" s="106" t="s">
        <v>246</v>
      </c>
      <c r="D102" s="90" t="s">
        <v>235</v>
      </c>
      <c r="E102" s="245" t="s">
        <v>298</v>
      </c>
      <c r="F102" s="107" t="s">
        <v>247</v>
      </c>
      <c r="G102" s="90" t="s">
        <v>248</v>
      </c>
      <c r="H102" s="108" t="s">
        <v>249</v>
      </c>
    </row>
    <row r="103" spans="1:8" ht="14.25" customHeight="1" x14ac:dyDescent="0.3">
      <c r="A103" s="220" t="s">
        <v>225</v>
      </c>
      <c r="B103" s="1114" t="str">
        <f t="shared" ref="B103:D114" si="29">B5</f>
        <v>Indian Meat Alana  - لحم هندى ألانا</v>
      </c>
      <c r="C103" s="123" t="str">
        <f t="shared" si="29"/>
        <v>gm</v>
      </c>
      <c r="D103" s="115">
        <f t="shared" si="29"/>
        <v>2040.8163265306125</v>
      </c>
      <c r="E103" s="125">
        <f>H55</f>
        <v>10</v>
      </c>
      <c r="F103" s="126">
        <f t="shared" ref="F103:F114" si="30">F5</f>
        <v>1</v>
      </c>
      <c r="G103" s="120">
        <f t="shared" ref="G103:G110" si="31">D103*E103</f>
        <v>20408.163265306124</v>
      </c>
      <c r="H103" s="119">
        <f t="shared" ref="H103:H110" si="32">G103*F103</f>
        <v>20408.163265306124</v>
      </c>
    </row>
    <row r="104" spans="1:8" ht="14.25" customHeight="1" x14ac:dyDescent="0.3">
      <c r="A104" s="220" t="s">
        <v>95</v>
      </c>
      <c r="B104" s="1114" t="str">
        <f t="shared" si="29"/>
        <v>Black Pepper Whole - فلفل أسود حب</v>
      </c>
      <c r="C104" s="123" t="str">
        <f t="shared" si="29"/>
        <v>gm</v>
      </c>
      <c r="D104" s="115">
        <f t="shared" si="29"/>
        <v>2</v>
      </c>
      <c r="E104" s="125">
        <f t="shared" ref="E104:E114" si="33">$C$55</f>
        <v>10</v>
      </c>
      <c r="F104" s="126">
        <f t="shared" si="30"/>
        <v>1</v>
      </c>
      <c r="G104" s="120">
        <f t="shared" si="31"/>
        <v>20</v>
      </c>
      <c r="H104" s="119">
        <f t="shared" si="32"/>
        <v>20</v>
      </c>
    </row>
    <row r="105" spans="1:8" ht="14.25" customHeight="1" x14ac:dyDescent="0.3">
      <c r="A105" s="220" t="s">
        <v>95</v>
      </c>
      <c r="B105" s="1114" t="str">
        <f t="shared" si="29"/>
        <v>Cumin Whole - كمون حب</v>
      </c>
      <c r="C105" s="123" t="str">
        <f t="shared" si="29"/>
        <v>gm</v>
      </c>
      <c r="D105" s="115">
        <f t="shared" si="29"/>
        <v>2</v>
      </c>
      <c r="E105" s="125">
        <f t="shared" si="33"/>
        <v>10</v>
      </c>
      <c r="F105" s="126">
        <f t="shared" si="30"/>
        <v>0.95</v>
      </c>
      <c r="G105" s="120">
        <f t="shared" si="31"/>
        <v>20</v>
      </c>
      <c r="H105" s="119">
        <f t="shared" si="32"/>
        <v>19</v>
      </c>
    </row>
    <row r="106" spans="1:8" ht="14.25" customHeight="1" x14ac:dyDescent="0.3">
      <c r="A106" s="220" t="s">
        <v>95</v>
      </c>
      <c r="B106" s="1114" t="str">
        <f t="shared" si="29"/>
        <v>Cloves Whole - قرنفل حب</v>
      </c>
      <c r="C106" s="123" t="str">
        <f t="shared" si="29"/>
        <v>gm</v>
      </c>
      <c r="D106" s="115">
        <f t="shared" si="29"/>
        <v>2</v>
      </c>
      <c r="E106" s="125">
        <f t="shared" si="33"/>
        <v>10</v>
      </c>
      <c r="F106" s="126">
        <f t="shared" si="30"/>
        <v>0.95</v>
      </c>
      <c r="G106" s="120">
        <f t="shared" si="31"/>
        <v>20</v>
      </c>
      <c r="H106" s="119">
        <f t="shared" si="32"/>
        <v>19</v>
      </c>
    </row>
    <row r="107" spans="1:8" ht="14.25" customHeight="1" x14ac:dyDescent="0.3">
      <c r="A107" s="220" t="s">
        <v>95</v>
      </c>
      <c r="B107" s="1114" t="str">
        <f t="shared" si="29"/>
        <v>Cinnamon Whole - قرفة أعواد</v>
      </c>
      <c r="C107" s="123" t="str">
        <f t="shared" si="29"/>
        <v>gm</v>
      </c>
      <c r="D107" s="115">
        <f t="shared" si="29"/>
        <v>2</v>
      </c>
      <c r="E107" s="125">
        <f t="shared" si="33"/>
        <v>10</v>
      </c>
      <c r="F107" s="126">
        <f t="shared" si="30"/>
        <v>1</v>
      </c>
      <c r="G107" s="120">
        <f t="shared" si="31"/>
        <v>20</v>
      </c>
      <c r="H107" s="119">
        <f t="shared" si="32"/>
        <v>20</v>
      </c>
    </row>
    <row r="108" spans="1:8" ht="25.5" customHeight="1" x14ac:dyDescent="0.3">
      <c r="A108" s="220" t="s">
        <v>215</v>
      </c>
      <c r="B108" s="1114" t="str">
        <f t="shared" si="29"/>
        <v>Saffron yellow color powder - لون صفار زعفران بودر</v>
      </c>
      <c r="C108" s="123" t="str">
        <f t="shared" si="29"/>
        <v>gm</v>
      </c>
      <c r="D108" s="115">
        <f t="shared" si="29"/>
        <v>5</v>
      </c>
      <c r="E108" s="125">
        <f t="shared" si="33"/>
        <v>10</v>
      </c>
      <c r="F108" s="126">
        <f t="shared" si="30"/>
        <v>1</v>
      </c>
      <c r="G108" s="120">
        <f t="shared" si="31"/>
        <v>50</v>
      </c>
      <c r="H108" s="119">
        <f t="shared" si="32"/>
        <v>50</v>
      </c>
    </row>
    <row r="109" spans="1:8" ht="14.25" customHeight="1" x14ac:dyDescent="0.3">
      <c r="A109" s="220" t="s">
        <v>95</v>
      </c>
      <c r="B109" s="1114" t="str">
        <f t="shared" si="29"/>
        <v>Cumin Powder - كمون مطحون</v>
      </c>
      <c r="C109" s="123" t="str">
        <f t="shared" si="29"/>
        <v>gm</v>
      </c>
      <c r="D109" s="115">
        <f t="shared" si="29"/>
        <v>6</v>
      </c>
      <c r="E109" s="125">
        <f t="shared" si="33"/>
        <v>10</v>
      </c>
      <c r="F109" s="126">
        <f t="shared" si="30"/>
        <v>1</v>
      </c>
      <c r="G109" s="120">
        <f t="shared" si="31"/>
        <v>60</v>
      </c>
      <c r="H109" s="119">
        <f t="shared" si="32"/>
        <v>60</v>
      </c>
    </row>
    <row r="110" spans="1:8" ht="14.25" customHeight="1" x14ac:dyDescent="0.3">
      <c r="A110" s="220" t="s">
        <v>95</v>
      </c>
      <c r="B110" s="1114" t="str">
        <f t="shared" si="29"/>
        <v>Black Pepper Powder - فلفل أسود مطحون</v>
      </c>
      <c r="C110" s="123" t="str">
        <f t="shared" si="29"/>
        <v>gm</v>
      </c>
      <c r="D110" s="115">
        <f t="shared" si="29"/>
        <v>6</v>
      </c>
      <c r="E110" s="125">
        <f t="shared" si="33"/>
        <v>10</v>
      </c>
      <c r="F110" s="126">
        <f t="shared" si="30"/>
        <v>1</v>
      </c>
      <c r="G110" s="120">
        <f t="shared" si="31"/>
        <v>60</v>
      </c>
      <c r="H110" s="119">
        <f t="shared" si="32"/>
        <v>60</v>
      </c>
    </row>
    <row r="111" spans="1:8" ht="14.25" customHeight="1" x14ac:dyDescent="0.3">
      <c r="A111" s="220" t="s">
        <v>95</v>
      </c>
      <c r="B111" s="1114" t="str">
        <f t="shared" si="29"/>
        <v>Butter - زبدة</v>
      </c>
      <c r="C111" s="123" t="str">
        <f t="shared" si="29"/>
        <v>gm</v>
      </c>
      <c r="D111" s="115">
        <f t="shared" si="29"/>
        <v>75</v>
      </c>
      <c r="E111" s="125">
        <f t="shared" si="33"/>
        <v>10</v>
      </c>
      <c r="F111" s="126">
        <f t="shared" si="30"/>
        <v>1</v>
      </c>
      <c r="G111" s="120">
        <f t="shared" ref="G111:G114" si="34">D111*E111</f>
        <v>750</v>
      </c>
      <c r="H111" s="119">
        <f t="shared" ref="H111:H114" si="35">G111*F111</f>
        <v>750</v>
      </c>
    </row>
    <row r="112" spans="1:8" ht="14.25" customHeight="1" x14ac:dyDescent="0.3">
      <c r="A112" s="220" t="s">
        <v>95</v>
      </c>
      <c r="B112" s="1114" t="str">
        <f t="shared" si="29"/>
        <v>Cardamom Whole - هيل حب</v>
      </c>
      <c r="C112" s="123" t="str">
        <f t="shared" si="29"/>
        <v>gm</v>
      </c>
      <c r="D112" s="115">
        <f t="shared" si="29"/>
        <v>6</v>
      </c>
      <c r="E112" s="125">
        <f t="shared" si="33"/>
        <v>10</v>
      </c>
      <c r="F112" s="126">
        <f t="shared" si="30"/>
        <v>1</v>
      </c>
      <c r="G112" s="120">
        <f t="shared" si="34"/>
        <v>60</v>
      </c>
      <c r="H112" s="119">
        <f t="shared" si="35"/>
        <v>60</v>
      </c>
    </row>
    <row r="113" spans="1:8" ht="20.25" customHeight="1" x14ac:dyDescent="0.3">
      <c r="A113" s="220" t="s">
        <v>95</v>
      </c>
      <c r="B113" s="1114" t="str">
        <f t="shared" si="29"/>
        <v>Maggi Cubes - مكعبات ماجي</v>
      </c>
      <c r="C113" s="123" t="str">
        <f t="shared" si="29"/>
        <v>gm</v>
      </c>
      <c r="D113" s="115">
        <f t="shared" si="29"/>
        <v>8</v>
      </c>
      <c r="E113" s="125">
        <f t="shared" si="33"/>
        <v>10</v>
      </c>
      <c r="F113" s="126">
        <f t="shared" si="30"/>
        <v>1</v>
      </c>
      <c r="G113" s="120">
        <f t="shared" si="34"/>
        <v>80</v>
      </c>
      <c r="H113" s="119">
        <f t="shared" si="35"/>
        <v>80</v>
      </c>
    </row>
    <row r="114" spans="1:8" x14ac:dyDescent="0.3">
      <c r="A114" s="220" t="s">
        <v>95</v>
      </c>
      <c r="B114" s="1114" t="str">
        <f t="shared" si="29"/>
        <v>Salt - ملح</v>
      </c>
      <c r="C114" s="123" t="str">
        <f t="shared" si="29"/>
        <v>gm</v>
      </c>
      <c r="D114" s="115">
        <f t="shared" si="29"/>
        <v>11</v>
      </c>
      <c r="E114" s="125">
        <f t="shared" si="33"/>
        <v>10</v>
      </c>
      <c r="F114" s="126">
        <f t="shared" si="30"/>
        <v>1</v>
      </c>
      <c r="G114" s="120">
        <f t="shared" si="34"/>
        <v>110</v>
      </c>
      <c r="H114" s="119">
        <f t="shared" si="35"/>
        <v>110</v>
      </c>
    </row>
    <row r="115" spans="1:8" ht="18" x14ac:dyDescent="0.3">
      <c r="A115" s="78"/>
      <c r="B115" s="1115" t="s">
        <v>291</v>
      </c>
      <c r="C115" s="199" t="s">
        <v>277</v>
      </c>
      <c r="D115" s="14"/>
      <c r="E115" s="199" t="s">
        <v>292</v>
      </c>
      <c r="F115" s="14"/>
      <c r="G115" s="878" t="s">
        <v>268</v>
      </c>
      <c r="H115" s="878" t="s">
        <v>703</v>
      </c>
    </row>
    <row r="116" spans="1:8" ht="20" x14ac:dyDescent="0.4">
      <c r="A116" s="78"/>
      <c r="B116" s="1116">
        <f>$J$55</f>
        <v>10000</v>
      </c>
      <c r="C116" s="198">
        <f>E116+G116</f>
        <v>0</v>
      </c>
      <c r="D116" s="930"/>
      <c r="E116" s="198">
        <f>$C$55*$S$44</f>
        <v>0</v>
      </c>
      <c r="F116" s="930"/>
      <c r="G116" s="198">
        <f>$C$55*$T$44</f>
        <v>0</v>
      </c>
      <c r="H116" s="198">
        <f>B116+E116</f>
        <v>10000</v>
      </c>
    </row>
    <row r="117" spans="1:8" x14ac:dyDescent="0.3">
      <c r="B117" s="300"/>
      <c r="E117" s="213"/>
      <c r="F117" s="213"/>
    </row>
    <row r="118" spans="1:8" ht="17.75" customHeight="1" x14ac:dyDescent="0.3">
      <c r="B118" s="300"/>
      <c r="E118" s="213"/>
      <c r="F118" s="213"/>
    </row>
    <row r="119" spans="1:8" ht="29.75" customHeight="1" x14ac:dyDescent="0.3">
      <c r="A119" s="947"/>
      <c r="B119" s="1447" t="str">
        <f>"كبسة لحم دفعة  4  / " &amp; COUNTIF($C$53:$C$56, "&gt;0")</f>
        <v>كبسة لحم دفعة  4  / 4</v>
      </c>
      <c r="C119" s="1448"/>
      <c r="D119" s="1448"/>
      <c r="E119" s="1448"/>
      <c r="F119" s="1448"/>
      <c r="G119" s="1448"/>
      <c r="H119" s="1448"/>
    </row>
    <row r="120" spans="1:8" x14ac:dyDescent="0.3">
      <c r="A120" s="947"/>
      <c r="B120" s="1438" t="str">
        <f>"Kabsah Laham 4 / " &amp; COUNTIF($C$53:$C$56, "&gt;0")</f>
        <v>Kabsah Laham 4 / 4</v>
      </c>
      <c r="C120" s="1439"/>
      <c r="D120" s="1439"/>
      <c r="E120" s="1439"/>
      <c r="F120" s="1439"/>
      <c r="G120" s="1439"/>
      <c r="H120" s="1439"/>
    </row>
    <row r="121" spans="1:8" ht="26" x14ac:dyDescent="0.25">
      <c r="A121" s="90"/>
      <c r="B121" s="590" t="s">
        <v>245</v>
      </c>
      <c r="C121" s="106" t="s">
        <v>246</v>
      </c>
      <c r="D121" s="90" t="s">
        <v>235</v>
      </c>
      <c r="E121" s="245" t="s">
        <v>298</v>
      </c>
      <c r="F121" s="107" t="s">
        <v>247</v>
      </c>
      <c r="G121" s="90" t="s">
        <v>248</v>
      </c>
      <c r="H121" s="108" t="s">
        <v>249</v>
      </c>
    </row>
    <row r="122" spans="1:8" ht="14.25" customHeight="1" x14ac:dyDescent="0.3">
      <c r="A122" s="220" t="s">
        <v>225</v>
      </c>
      <c r="B122" s="1114" t="str">
        <f t="shared" ref="B122:D130" si="36">B5</f>
        <v>Indian Meat Alana  - لحم هندى ألانا</v>
      </c>
      <c r="C122" s="123" t="str">
        <f t="shared" si="36"/>
        <v>gm</v>
      </c>
      <c r="D122" s="119">
        <f t="shared" si="36"/>
        <v>2040.8163265306125</v>
      </c>
      <c r="E122" s="125">
        <f>H56</f>
        <v>3.4099999999999966</v>
      </c>
      <c r="F122" s="126">
        <f t="shared" ref="F122:F133" si="37">F5</f>
        <v>1</v>
      </c>
      <c r="G122" s="118">
        <f t="shared" ref="G122:G129" si="38">D122*E122</f>
        <v>6959.1836734693816</v>
      </c>
      <c r="H122" s="119">
        <f t="shared" ref="H122:H129" si="39">G122*F122</f>
        <v>6959.1836734693816</v>
      </c>
    </row>
    <row r="123" spans="1:8" ht="14.25" customHeight="1" x14ac:dyDescent="0.3">
      <c r="A123" s="220" t="s">
        <v>95</v>
      </c>
      <c r="B123" s="1114" t="str">
        <f t="shared" si="36"/>
        <v>Black Pepper Whole - فلفل أسود حب</v>
      </c>
      <c r="C123" s="123" t="str">
        <f t="shared" si="36"/>
        <v>gm</v>
      </c>
      <c r="D123" s="119">
        <f t="shared" si="36"/>
        <v>2</v>
      </c>
      <c r="E123" s="125">
        <f t="shared" ref="E123:E133" si="40">$C$56</f>
        <v>3.4099999999999966</v>
      </c>
      <c r="F123" s="126">
        <f t="shared" si="37"/>
        <v>1</v>
      </c>
      <c r="G123" s="80">
        <f t="shared" si="38"/>
        <v>6.8199999999999932</v>
      </c>
      <c r="H123" s="119">
        <f t="shared" si="39"/>
        <v>6.8199999999999932</v>
      </c>
    </row>
    <row r="124" spans="1:8" ht="14.25" customHeight="1" x14ac:dyDescent="0.3">
      <c r="A124" s="220" t="s">
        <v>95</v>
      </c>
      <c r="B124" s="1114" t="str">
        <f t="shared" si="36"/>
        <v>Cumin Whole - كمون حب</v>
      </c>
      <c r="C124" s="123" t="str">
        <f t="shared" si="36"/>
        <v>gm</v>
      </c>
      <c r="D124" s="119">
        <f t="shared" si="36"/>
        <v>2</v>
      </c>
      <c r="E124" s="125">
        <f t="shared" si="40"/>
        <v>3.4099999999999966</v>
      </c>
      <c r="F124" s="126">
        <f t="shared" si="37"/>
        <v>0.95</v>
      </c>
      <c r="G124" s="80">
        <f t="shared" si="38"/>
        <v>6.8199999999999932</v>
      </c>
      <c r="H124" s="119">
        <f t="shared" si="39"/>
        <v>6.478999999999993</v>
      </c>
    </row>
    <row r="125" spans="1:8" ht="20.75" customHeight="1" x14ac:dyDescent="0.3">
      <c r="A125" s="220" t="s">
        <v>95</v>
      </c>
      <c r="B125" s="1114" t="str">
        <f t="shared" si="36"/>
        <v>Cloves Whole - قرنفل حب</v>
      </c>
      <c r="C125" s="123" t="str">
        <f t="shared" si="36"/>
        <v>gm</v>
      </c>
      <c r="D125" s="119">
        <f t="shared" si="36"/>
        <v>2</v>
      </c>
      <c r="E125" s="125">
        <f t="shared" si="40"/>
        <v>3.4099999999999966</v>
      </c>
      <c r="F125" s="126">
        <f t="shared" si="37"/>
        <v>0.95</v>
      </c>
      <c r="G125" s="80">
        <f t="shared" si="38"/>
        <v>6.8199999999999932</v>
      </c>
      <c r="H125" s="119">
        <f t="shared" si="39"/>
        <v>6.478999999999993</v>
      </c>
    </row>
    <row r="126" spans="1:8" ht="14.25" customHeight="1" x14ac:dyDescent="0.3">
      <c r="A126" s="220" t="s">
        <v>95</v>
      </c>
      <c r="B126" s="1114" t="str">
        <f t="shared" si="36"/>
        <v>Cinnamon Whole - قرفة أعواد</v>
      </c>
      <c r="C126" s="123" t="str">
        <f t="shared" si="36"/>
        <v>gm</v>
      </c>
      <c r="D126" s="119">
        <f t="shared" si="36"/>
        <v>2</v>
      </c>
      <c r="E126" s="125">
        <f t="shared" si="40"/>
        <v>3.4099999999999966</v>
      </c>
      <c r="F126" s="126">
        <f t="shared" si="37"/>
        <v>1</v>
      </c>
      <c r="G126" s="80">
        <f t="shared" si="38"/>
        <v>6.8199999999999932</v>
      </c>
      <c r="H126" s="119">
        <f t="shared" si="39"/>
        <v>6.8199999999999932</v>
      </c>
    </row>
    <row r="127" spans="1:8" ht="14.25" customHeight="1" x14ac:dyDescent="0.3">
      <c r="A127" s="220" t="s">
        <v>215</v>
      </c>
      <c r="B127" s="1114" t="str">
        <f t="shared" si="36"/>
        <v>Saffron yellow color powder - لون صفار زعفران بودر</v>
      </c>
      <c r="C127" s="123" t="str">
        <f t="shared" si="36"/>
        <v>gm</v>
      </c>
      <c r="D127" s="119">
        <f t="shared" si="36"/>
        <v>5</v>
      </c>
      <c r="E127" s="125">
        <f t="shared" si="40"/>
        <v>3.4099999999999966</v>
      </c>
      <c r="F127" s="126">
        <f t="shared" si="37"/>
        <v>1</v>
      </c>
      <c r="G127" s="80">
        <f t="shared" si="38"/>
        <v>17.049999999999983</v>
      </c>
      <c r="H127" s="119">
        <f t="shared" si="39"/>
        <v>17.049999999999983</v>
      </c>
    </row>
    <row r="128" spans="1:8" ht="14.25" customHeight="1" x14ac:dyDescent="0.3">
      <c r="A128" s="220" t="s">
        <v>95</v>
      </c>
      <c r="B128" s="1114" t="str">
        <f t="shared" si="36"/>
        <v>Cumin Powder - كمون مطحون</v>
      </c>
      <c r="C128" s="123" t="str">
        <f t="shared" si="36"/>
        <v>gm</v>
      </c>
      <c r="D128" s="119">
        <f t="shared" si="36"/>
        <v>6</v>
      </c>
      <c r="E128" s="125">
        <f t="shared" si="40"/>
        <v>3.4099999999999966</v>
      </c>
      <c r="F128" s="126">
        <f t="shared" si="37"/>
        <v>1</v>
      </c>
      <c r="G128" s="80">
        <f t="shared" si="38"/>
        <v>20.45999999999998</v>
      </c>
      <c r="H128" s="119">
        <f t="shared" si="39"/>
        <v>20.45999999999998</v>
      </c>
    </row>
    <row r="129" spans="1:8" ht="14.25" customHeight="1" x14ac:dyDescent="0.3">
      <c r="A129" s="220" t="s">
        <v>95</v>
      </c>
      <c r="B129" s="1114" t="str">
        <f t="shared" si="36"/>
        <v>Black Pepper Powder - فلفل أسود مطحون</v>
      </c>
      <c r="C129" s="123" t="str">
        <f t="shared" si="36"/>
        <v>gm</v>
      </c>
      <c r="D129" s="119">
        <f t="shared" si="36"/>
        <v>6</v>
      </c>
      <c r="E129" s="125">
        <f t="shared" si="40"/>
        <v>3.4099999999999966</v>
      </c>
      <c r="F129" s="126">
        <f t="shared" si="37"/>
        <v>1</v>
      </c>
      <c r="G129" s="80">
        <f t="shared" si="38"/>
        <v>20.45999999999998</v>
      </c>
      <c r="H129" s="119">
        <f t="shared" si="39"/>
        <v>20.45999999999998</v>
      </c>
    </row>
    <row r="130" spans="1:8" ht="14.25" customHeight="1" x14ac:dyDescent="0.3">
      <c r="A130" s="220" t="s">
        <v>95</v>
      </c>
      <c r="B130" s="1114" t="str">
        <f t="shared" si="36"/>
        <v>Butter - زبدة</v>
      </c>
      <c r="C130" s="123" t="str">
        <f t="shared" si="36"/>
        <v>gm</v>
      </c>
      <c r="D130" s="119">
        <f t="shared" si="36"/>
        <v>75</v>
      </c>
      <c r="E130" s="125">
        <f t="shared" si="40"/>
        <v>3.4099999999999966</v>
      </c>
      <c r="F130" s="126">
        <f t="shared" si="37"/>
        <v>1</v>
      </c>
      <c r="G130" s="80">
        <f t="shared" ref="G130:G133" si="41">D130*E130</f>
        <v>255.74999999999974</v>
      </c>
      <c r="H130" s="119">
        <f t="shared" ref="H130:H133" si="42">G130*F130</f>
        <v>255.74999999999974</v>
      </c>
    </row>
    <row r="131" spans="1:8" ht="14.25" customHeight="1" x14ac:dyDescent="0.3">
      <c r="A131" s="220" t="s">
        <v>95</v>
      </c>
      <c r="B131" s="1114" t="str">
        <f t="shared" ref="B131:D131" si="43">B14</f>
        <v>Cardamom Whole - هيل حب</v>
      </c>
      <c r="C131" s="123" t="str">
        <f t="shared" si="43"/>
        <v>gm</v>
      </c>
      <c r="D131" s="119">
        <f t="shared" si="43"/>
        <v>6</v>
      </c>
      <c r="E131" s="125">
        <f t="shared" si="40"/>
        <v>3.4099999999999966</v>
      </c>
      <c r="F131" s="126">
        <f t="shared" si="37"/>
        <v>1</v>
      </c>
      <c r="G131" s="80">
        <f t="shared" si="41"/>
        <v>20.45999999999998</v>
      </c>
      <c r="H131" s="119">
        <f t="shared" si="42"/>
        <v>20.45999999999998</v>
      </c>
    </row>
    <row r="132" spans="1:8" ht="14.25" customHeight="1" x14ac:dyDescent="0.3">
      <c r="A132" s="220" t="s">
        <v>95</v>
      </c>
      <c r="B132" s="1114" t="str">
        <f t="shared" ref="B132:D132" si="44">B15</f>
        <v>Maggi Cubes - مكعبات ماجي</v>
      </c>
      <c r="C132" s="123" t="str">
        <f t="shared" si="44"/>
        <v>gm</v>
      </c>
      <c r="D132" s="119">
        <f t="shared" si="44"/>
        <v>8</v>
      </c>
      <c r="E132" s="125">
        <f t="shared" si="40"/>
        <v>3.4099999999999966</v>
      </c>
      <c r="F132" s="126">
        <f t="shared" si="37"/>
        <v>1</v>
      </c>
      <c r="G132" s="80">
        <f t="shared" si="41"/>
        <v>27.279999999999973</v>
      </c>
      <c r="H132" s="119">
        <f t="shared" si="42"/>
        <v>27.279999999999973</v>
      </c>
    </row>
    <row r="133" spans="1:8" ht="21.5" customHeight="1" x14ac:dyDescent="0.3">
      <c r="A133" s="220" t="s">
        <v>95</v>
      </c>
      <c r="B133" s="1114" t="str">
        <f>B16</f>
        <v>Salt - ملح</v>
      </c>
      <c r="C133" s="123" t="str">
        <f>C16</f>
        <v>gm</v>
      </c>
      <c r="D133" s="119">
        <f>D16</f>
        <v>11</v>
      </c>
      <c r="E133" s="125">
        <f t="shared" si="40"/>
        <v>3.4099999999999966</v>
      </c>
      <c r="F133" s="126">
        <f t="shared" si="37"/>
        <v>1</v>
      </c>
      <c r="G133" s="80">
        <f t="shared" si="41"/>
        <v>37.509999999999962</v>
      </c>
      <c r="H133" s="119">
        <f t="shared" si="42"/>
        <v>37.509999999999962</v>
      </c>
    </row>
    <row r="134" spans="1:8" ht="14.25" customHeight="1" x14ac:dyDescent="0.3">
      <c r="A134" s="78"/>
      <c r="B134" s="1115" t="s">
        <v>291</v>
      </c>
      <c r="C134" s="199" t="s">
        <v>277</v>
      </c>
      <c r="D134" s="14"/>
      <c r="E134" s="199" t="s">
        <v>292</v>
      </c>
      <c r="F134" s="14"/>
      <c r="G134" s="878" t="s">
        <v>268</v>
      </c>
      <c r="H134" s="878" t="s">
        <v>703</v>
      </c>
    </row>
    <row r="135" spans="1:8" ht="21.5" customHeight="1" x14ac:dyDescent="0.4">
      <c r="A135" s="78"/>
      <c r="B135" s="1116">
        <f>$J$56</f>
        <v>3410</v>
      </c>
      <c r="C135" s="198">
        <f>E135+G135</f>
        <v>0</v>
      </c>
      <c r="D135" s="930"/>
      <c r="E135" s="198">
        <f>$C$56*$S$44</f>
        <v>0</v>
      </c>
      <c r="F135" s="930"/>
      <c r="G135" s="198">
        <f>$C$56*$T$44</f>
        <v>0</v>
      </c>
      <c r="H135" s="198">
        <f>B135+E135</f>
        <v>3410</v>
      </c>
    </row>
    <row r="136" spans="1:8" ht="14.25" customHeight="1" x14ac:dyDescent="0.3">
      <c r="B136" s="300"/>
      <c r="E136" s="213"/>
      <c r="F136" s="213"/>
    </row>
    <row r="137" spans="1:8" ht="14.25" customHeight="1" x14ac:dyDescent="0.3">
      <c r="B137" s="300"/>
      <c r="E137" s="213"/>
      <c r="F137" s="213"/>
    </row>
    <row r="138" spans="1:8" ht="14.25" customHeight="1" x14ac:dyDescent="0.3">
      <c r="B138" s="300"/>
      <c r="E138" s="213"/>
      <c r="F138" s="213"/>
    </row>
    <row r="139" spans="1:8" ht="14.25" customHeight="1" x14ac:dyDescent="0.3">
      <c r="B139" s="246"/>
    </row>
    <row r="140" spans="1:8" ht="14.25" customHeight="1" x14ac:dyDescent="0.3">
      <c r="B140" s="246"/>
    </row>
    <row r="141" spans="1:8" ht="14.25" customHeight="1" x14ac:dyDescent="0.3"/>
    <row r="142" spans="1:8" ht="20.25" customHeight="1" x14ac:dyDescent="0.3"/>
    <row r="143" spans="1:8" ht="25.25" customHeight="1" x14ac:dyDescent="0.3"/>
    <row r="144" spans="1:8" ht="14.25" customHeight="1" x14ac:dyDescent="0.3"/>
    <row r="145" ht="14.25" customHeight="1" x14ac:dyDescent="0.3"/>
    <row r="146" ht="17.75" customHeight="1" x14ac:dyDescent="0.3"/>
    <row r="147" ht="17.75" customHeight="1" x14ac:dyDescent="0.3"/>
    <row r="148" ht="56.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20.25" customHeight="1" x14ac:dyDescent="0.3"/>
    <row r="171" ht="24" customHeight="1" x14ac:dyDescent="0.3"/>
    <row r="172" ht="14.25" customHeight="1" x14ac:dyDescent="0.3"/>
    <row r="173" ht="14.25" customHeight="1" x14ac:dyDescent="0.3"/>
    <row r="174" ht="14.25" customHeight="1" x14ac:dyDescent="0.3"/>
    <row r="175" ht="18" customHeight="1" x14ac:dyDescent="0.3"/>
    <row r="176" ht="18" customHeight="1" x14ac:dyDescent="0.3"/>
  </sheetData>
  <mergeCells count="12">
    <mergeCell ref="B100:H100"/>
    <mergeCell ref="B120:H120"/>
    <mergeCell ref="B80:H80"/>
    <mergeCell ref="B2:H3"/>
    <mergeCell ref="R26:U26"/>
    <mergeCell ref="B81:H81"/>
    <mergeCell ref="R25:U25"/>
    <mergeCell ref="B63:H63"/>
    <mergeCell ref="B119:H119"/>
    <mergeCell ref="B35:F35"/>
    <mergeCell ref="B101:H101"/>
    <mergeCell ref="B62:H62"/>
  </mergeCells>
  <printOptions horizontalCentered="1"/>
  <pageMargins left="0.5" right="0.5" top="1" bottom="0.5" header="0.3" footer="0.511811023622047"/>
  <pageSetup paperSize="9" scale="2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00B050"/>
    <pageSetUpPr fitToPage="1"/>
  </sheetPr>
  <dimension ref="A1:AT86"/>
  <sheetViews>
    <sheetView topLeftCell="P9" zoomScale="83" zoomScaleNormal="55" workbookViewId="0">
      <selection activeCell="R26" sqref="R26:U26"/>
    </sheetView>
  </sheetViews>
  <sheetFormatPr defaultColWidth="12.5" defaultRowHeight="14" x14ac:dyDescent="0.3"/>
  <cols>
    <col min="1" max="1" width="12.5" style="1" customWidth="1"/>
    <col min="2" max="2" width="33.9140625" customWidth="1"/>
    <col min="3" max="3" width="23.9140625" customWidth="1"/>
    <col min="4" max="4" width="23.08203125" customWidth="1"/>
    <col min="5" max="5" width="16.1640625" customWidth="1"/>
    <col min="6" max="6" width="27" customWidth="1"/>
    <col min="7" max="7" width="25.1640625" customWidth="1"/>
    <col min="8" max="8" width="36.1640625" customWidth="1"/>
    <col min="9" max="9" width="15.1640625" customWidth="1"/>
    <col min="10" max="10" width="15.58203125" customWidth="1"/>
    <col min="12" max="12" width="8.33203125" customWidth="1"/>
    <col min="13" max="14" width="5.08203125" customWidth="1"/>
    <col min="18" max="18" width="46.5" customWidth="1"/>
    <col min="28" max="28" width="13.1640625" bestFit="1" customWidth="1"/>
    <col min="29" max="29" width="11" bestFit="1" customWidth="1"/>
    <col min="30" max="30" width="13.1640625" bestFit="1" customWidth="1"/>
    <col min="31" max="31" width="11.75" customWidth="1"/>
    <col min="32" max="32" width="8.6640625" bestFit="1" customWidth="1"/>
    <col min="33" max="34" width="4.1640625" customWidth="1"/>
    <col min="36" max="36" width="29.83203125" customWidth="1"/>
    <col min="42" max="42" width="19.58203125" customWidth="1"/>
  </cols>
  <sheetData>
    <row r="1" spans="1:46" s="132" customFormat="1" ht="35.25" customHeight="1" x14ac:dyDescent="0.3">
      <c r="A1" s="263"/>
      <c r="B1" s="79" t="s">
        <v>235</v>
      </c>
      <c r="C1" s="80">
        <v>1000</v>
      </c>
      <c r="D1" s="81" t="s">
        <v>236</v>
      </c>
      <c r="E1" s="116">
        <f>T32</f>
        <v>12410</v>
      </c>
      <c r="F1" s="79" t="s">
        <v>237</v>
      </c>
      <c r="G1" s="120">
        <f>E1/C1</f>
        <v>12.41</v>
      </c>
      <c r="H1" s="79" t="s">
        <v>238</v>
      </c>
      <c r="I1" s="248">
        <f>(G1/K1)</f>
        <v>12.41</v>
      </c>
      <c r="J1" s="85" t="s">
        <v>239</v>
      </c>
      <c r="K1" s="80">
        <v>1</v>
      </c>
      <c r="L1" s="91"/>
      <c r="M1" s="88"/>
      <c r="N1" s="89"/>
      <c r="O1" s="90" t="s">
        <v>240</v>
      </c>
      <c r="P1" s="91" t="s">
        <v>303</v>
      </c>
      <c r="Q1" s="92" t="s">
        <v>242</v>
      </c>
      <c r="R1" s="91">
        <v>0.54</v>
      </c>
      <c r="Y1" s="90" t="s">
        <v>463</v>
      </c>
      <c r="Z1" s="835">
        <v>36230</v>
      </c>
      <c r="AA1" s="90" t="s">
        <v>578</v>
      </c>
      <c r="AB1" s="835">
        <v>1000</v>
      </c>
      <c r="AC1" s="90" t="s">
        <v>567</v>
      </c>
      <c r="AD1" s="835">
        <v>243</v>
      </c>
      <c r="AE1" s="249"/>
      <c r="AF1" s="251"/>
      <c r="AG1" s="91"/>
      <c r="AI1" s="1"/>
      <c r="AJ1" s="93" t="s">
        <v>254</v>
      </c>
      <c r="AK1" s="93">
        <v>10000</v>
      </c>
      <c r="AL1" s="623" t="s">
        <v>523</v>
      </c>
      <c r="AM1" s="624">
        <f>$S$32</f>
        <v>37230</v>
      </c>
      <c r="AN1" s="93" t="s">
        <v>243</v>
      </c>
      <c r="AO1" s="328">
        <f>(($S$32)/$R$1)/$AK$1</f>
        <v>6.8944444444444439</v>
      </c>
      <c r="AP1" s="94"/>
    </row>
    <row r="2" spans="1:46" ht="15.75" customHeight="1" x14ac:dyDescent="0.3">
      <c r="A2" s="264"/>
      <c r="B2" s="97"/>
      <c r="C2" s="97"/>
      <c r="D2" s="97"/>
      <c r="E2" s="97"/>
      <c r="F2" s="1443" t="s">
        <v>22</v>
      </c>
      <c r="G2" s="97"/>
      <c r="H2" s="97"/>
      <c r="I2" s="97"/>
      <c r="J2" s="97"/>
      <c r="K2" s="97"/>
      <c r="L2" s="97"/>
      <c r="M2" s="99"/>
      <c r="N2" s="99"/>
      <c r="O2" s="99"/>
      <c r="P2" s="99"/>
      <c r="Q2" s="99"/>
      <c r="R2" s="99"/>
      <c r="AC2" s="98"/>
      <c r="AD2" s="98"/>
      <c r="AE2" s="1457"/>
      <c r="AF2" s="1458"/>
      <c r="AG2" s="1458"/>
      <c r="AI2" s="1"/>
      <c r="AJ2" s="100"/>
      <c r="AK2" s="1442" t="s">
        <v>306</v>
      </c>
      <c r="AL2" s="1442"/>
      <c r="AM2" s="1442"/>
      <c r="AN2" s="101"/>
      <c r="AO2" s="100"/>
      <c r="AP2" s="100"/>
    </row>
    <row r="3" spans="1:46" ht="15.75" customHeight="1" x14ac:dyDescent="0.3">
      <c r="A3" s="264"/>
      <c r="B3" s="102"/>
      <c r="C3" s="102"/>
      <c r="D3" s="102"/>
      <c r="E3" s="102"/>
      <c r="F3" s="1444"/>
      <c r="G3" s="102"/>
      <c r="H3" s="102"/>
      <c r="I3" s="102"/>
      <c r="J3" s="102"/>
      <c r="K3" s="102"/>
      <c r="L3" s="102"/>
      <c r="M3" s="99"/>
      <c r="N3" s="99"/>
      <c r="O3" s="99"/>
      <c r="P3" s="99"/>
      <c r="Q3" s="99"/>
      <c r="R3" s="99"/>
      <c r="AC3" s="98"/>
      <c r="AD3" s="98"/>
      <c r="AE3" s="1458"/>
      <c r="AF3" s="1458"/>
      <c r="AG3" s="1458"/>
      <c r="AI3" s="1"/>
      <c r="AJ3" s="103"/>
      <c r="AK3" s="103"/>
      <c r="AL3" s="104"/>
      <c r="AM3" s="104"/>
      <c r="AN3" s="104"/>
      <c r="AO3" s="103"/>
      <c r="AP3" s="103"/>
    </row>
    <row r="4" spans="1:46" ht="69" customHeight="1" x14ac:dyDescent="0.3">
      <c r="A4" s="90" t="s">
        <v>1</v>
      </c>
      <c r="B4" s="90" t="s">
        <v>245</v>
      </c>
      <c r="C4" s="106" t="s">
        <v>246</v>
      </c>
      <c r="D4" s="90" t="s">
        <v>235</v>
      </c>
      <c r="E4" s="107" t="s">
        <v>238</v>
      </c>
      <c r="F4" s="107" t="s">
        <v>247</v>
      </c>
      <c r="G4" s="90" t="s">
        <v>248</v>
      </c>
      <c r="H4" s="108" t="s">
        <v>249</v>
      </c>
      <c r="I4" s="90" t="s">
        <v>250</v>
      </c>
      <c r="J4" s="90" t="s">
        <v>251</v>
      </c>
      <c r="K4" s="90" t="s">
        <v>252</v>
      </c>
      <c r="L4" s="90" t="s">
        <v>253</v>
      </c>
      <c r="P4" s="99"/>
      <c r="AA4" s="250"/>
      <c r="AB4" s="252"/>
      <c r="AC4" s="250"/>
      <c r="AD4" s="250"/>
      <c r="AE4" s="250"/>
      <c r="AI4" s="1"/>
      <c r="AJ4" s="109" t="s">
        <v>245</v>
      </c>
      <c r="AK4" s="110" t="s">
        <v>246</v>
      </c>
      <c r="AL4" s="109" t="s">
        <v>254</v>
      </c>
      <c r="AM4" s="109" t="s">
        <v>238</v>
      </c>
      <c r="AN4" s="109" t="s">
        <v>247</v>
      </c>
      <c r="AO4" s="109" t="s">
        <v>248</v>
      </c>
      <c r="AP4" s="111" t="s">
        <v>249</v>
      </c>
      <c r="AQ4" s="90" t="s">
        <v>250</v>
      </c>
      <c r="AR4" s="90" t="s">
        <v>251</v>
      </c>
      <c r="AS4" s="90" t="s">
        <v>252</v>
      </c>
      <c r="AT4" s="90" t="s">
        <v>253</v>
      </c>
    </row>
    <row r="5" spans="1:46" ht="14.25" customHeight="1" x14ac:dyDescent="0.3">
      <c r="A5" s="265" t="s">
        <v>225</v>
      </c>
      <c r="B5" s="266" t="s">
        <v>229</v>
      </c>
      <c r="C5" s="123" t="s">
        <v>14</v>
      </c>
      <c r="D5" s="120">
        <f>I51/10</f>
        <v>6172.9629629629626</v>
      </c>
      <c r="E5" s="267">
        <f>H52</f>
        <v>11.16877662446751</v>
      </c>
      <c r="F5" s="117">
        <v>1</v>
      </c>
      <c r="G5" s="120">
        <f t="shared" ref="G5:G11" si="0">D5*E5</f>
        <v>68944.444444444438</v>
      </c>
      <c r="H5" s="119">
        <f t="shared" ref="H5:H11" si="1">G5*F5</f>
        <v>68944.444444444438</v>
      </c>
      <c r="I5" s="80">
        <f>VLOOKUP(B5,All_Ingredients!$A$1:$F$149,6,FALSE())</f>
        <v>0.47</v>
      </c>
      <c r="J5" s="118">
        <f>VLOOKUP(B5,All_Ingredients!$A$1:$J$149,10,FALSE())</f>
        <v>12</v>
      </c>
      <c r="K5" s="121">
        <f t="shared" ref="K5" si="2">(H5/I5)/1000</f>
        <v>146.6903073286052</v>
      </c>
      <c r="L5" s="121">
        <f t="shared" ref="L5" si="3">K5*J5</f>
        <v>1760.2836879432625</v>
      </c>
      <c r="M5" s="99"/>
      <c r="N5" s="99"/>
      <c r="O5" s="99"/>
      <c r="P5" s="99"/>
      <c r="AA5" s="91"/>
      <c r="AB5" s="132"/>
      <c r="AC5" s="253"/>
      <c r="AD5" s="134"/>
      <c r="AE5" s="135"/>
      <c r="AI5" s="1"/>
      <c r="AJ5" s="268" t="s">
        <v>229</v>
      </c>
      <c r="AK5" s="123" t="s">
        <v>231</v>
      </c>
      <c r="AL5" s="123">
        <v>10</v>
      </c>
      <c r="AM5" s="84">
        <f>$AO$1</f>
        <v>6.8944444444444439</v>
      </c>
      <c r="AN5" s="126">
        <v>1</v>
      </c>
      <c r="AO5" s="118">
        <f>AL5*AM5</f>
        <v>68.944444444444443</v>
      </c>
      <c r="AP5" s="119">
        <f>AN5*AO5</f>
        <v>68.944444444444443</v>
      </c>
      <c r="AQ5" s="294"/>
      <c r="AR5" s="1152"/>
      <c r="AS5" s="174"/>
      <c r="AT5" s="1153"/>
    </row>
    <row r="6" spans="1:46" ht="14.25" customHeight="1" x14ac:dyDescent="0.3">
      <c r="A6" s="269" t="s">
        <v>13</v>
      </c>
      <c r="B6" s="266" t="s">
        <v>762</v>
      </c>
      <c r="C6" s="123" t="s">
        <v>14</v>
      </c>
      <c r="D6" s="124">
        <v>60</v>
      </c>
      <c r="E6" s="222">
        <f t="shared" ref="E6:E11" si="4">$I$1</f>
        <v>12.41</v>
      </c>
      <c r="F6" s="126">
        <v>0.95</v>
      </c>
      <c r="G6" s="120">
        <f t="shared" si="0"/>
        <v>744.6</v>
      </c>
      <c r="H6" s="119">
        <f t="shared" si="1"/>
        <v>707.37</v>
      </c>
      <c r="I6" s="80">
        <f>VLOOKUP(B6,All_Ingredients!$A$1:$F$149,6,FALSE())</f>
        <v>1</v>
      </c>
      <c r="J6" s="118">
        <f>VLOOKUP(B6,All_Ingredients!$A$1:$J$149,10,FALSE())</f>
        <v>10.5</v>
      </c>
      <c r="K6" s="121">
        <f t="shared" ref="K6:K11" si="5">(H6/I6)/1000</f>
        <v>0.70737000000000005</v>
      </c>
      <c r="L6" s="121">
        <f t="shared" ref="L6:L11" si="6">K6*J6</f>
        <v>7.427385000000001</v>
      </c>
      <c r="AB6" s="132"/>
      <c r="AC6" s="132"/>
      <c r="AD6" s="134"/>
      <c r="AE6" s="135"/>
      <c r="AI6" s="1" t="s">
        <v>56</v>
      </c>
      <c r="AJ6" s="268" t="s">
        <v>55</v>
      </c>
      <c r="AK6" s="123" t="s">
        <v>14</v>
      </c>
      <c r="AL6" s="123">
        <v>200</v>
      </c>
      <c r="AM6" s="84">
        <f t="shared" ref="AM6:AM13" si="7">$AO$1</f>
        <v>6.8944444444444439</v>
      </c>
      <c r="AN6" s="126">
        <v>1</v>
      </c>
      <c r="AO6" s="118">
        <f t="shared" ref="AO6:AO13" si="8">AL6*AM6</f>
        <v>1378.8888888888887</v>
      </c>
      <c r="AP6" s="119">
        <f t="shared" ref="AP6:AP13" si="9">AN6*AO6</f>
        <v>1378.8888888888887</v>
      </c>
      <c r="AQ6" s="1153">
        <f>VLOOKUP(AJ6,Marination_Ordering!$A:$J,6,FALSE)</f>
        <v>0.87</v>
      </c>
      <c r="AR6" s="1153">
        <f>VLOOKUP(AJ6,Marination_Ordering!$A:$J,10,FALSE)</f>
        <v>3.2</v>
      </c>
      <c r="AS6" s="174">
        <f>AP6/AQ6</f>
        <v>1584.9297573435501</v>
      </c>
      <c r="AT6" s="1153">
        <f>AR6*(AS6/1000)</f>
        <v>5.0717752234993609</v>
      </c>
    </row>
    <row r="7" spans="1:46" ht="14.25" customHeight="1" x14ac:dyDescent="0.3">
      <c r="A7" s="269" t="s">
        <v>206</v>
      </c>
      <c r="B7" s="270" t="s">
        <v>211</v>
      </c>
      <c r="C7" s="123" t="s">
        <v>161</v>
      </c>
      <c r="D7" s="124">
        <v>10</v>
      </c>
      <c r="E7" s="222">
        <f t="shared" si="4"/>
        <v>12.41</v>
      </c>
      <c r="F7" s="126">
        <f>F6</f>
        <v>0.95</v>
      </c>
      <c r="G7" s="120">
        <f t="shared" si="0"/>
        <v>124.1</v>
      </c>
      <c r="H7" s="119">
        <f t="shared" si="1"/>
        <v>117.895</v>
      </c>
      <c r="I7" s="80">
        <f>VLOOKUP(B7,All_Ingredients!$A$1:$F$149,6,FALSE())</f>
        <v>1</v>
      </c>
      <c r="J7" s="118">
        <f>VLOOKUP(B7,All_Ingredients!$A$1:$J$149,10,FALSE())</f>
        <v>28.406666666666666</v>
      </c>
      <c r="K7" s="121">
        <f t="shared" si="5"/>
        <v>0.117895</v>
      </c>
      <c r="L7" s="121">
        <f t="shared" si="6"/>
        <v>3.3490039666666664</v>
      </c>
      <c r="AB7" s="132"/>
      <c r="AC7" s="132"/>
      <c r="AD7" s="134"/>
      <c r="AE7" s="135"/>
      <c r="AI7" s="1" t="s">
        <v>13</v>
      </c>
      <c r="AJ7" s="271" t="s">
        <v>762</v>
      </c>
      <c r="AK7" s="123" t="s">
        <v>14</v>
      </c>
      <c r="AL7" s="123">
        <v>150</v>
      </c>
      <c r="AM7" s="84">
        <f t="shared" si="7"/>
        <v>6.8944444444444439</v>
      </c>
      <c r="AN7" s="126">
        <v>1</v>
      </c>
      <c r="AO7" s="118">
        <f t="shared" si="8"/>
        <v>1034.1666666666665</v>
      </c>
      <c r="AP7" s="119">
        <f t="shared" si="9"/>
        <v>1034.1666666666665</v>
      </c>
      <c r="AQ7" s="1153">
        <f>VLOOKUP(AJ7,Marination_Ordering!$A:$J,6,FALSE)</f>
        <v>1</v>
      </c>
      <c r="AR7" s="1153">
        <f>VLOOKUP(AJ7,Marination_Ordering!$A:$J,10,FALSE)</f>
        <v>10.5</v>
      </c>
      <c r="AS7" s="174">
        <f t="shared" ref="AS7:AS13" si="10">AP7/AQ7</f>
        <v>1034.1666666666665</v>
      </c>
      <c r="AT7" s="1153">
        <f t="shared" ref="AT7:AT13" si="11">AR7*(AS7/1000)</f>
        <v>10.858749999999997</v>
      </c>
    </row>
    <row r="8" spans="1:46" ht="14.25" customHeight="1" x14ac:dyDescent="0.3">
      <c r="A8" s="269" t="s">
        <v>154</v>
      </c>
      <c r="B8" s="266" t="s">
        <v>176</v>
      </c>
      <c r="C8" s="123" t="s">
        <v>161</v>
      </c>
      <c r="D8" s="124">
        <v>1200</v>
      </c>
      <c r="E8" s="222">
        <f t="shared" si="4"/>
        <v>12.41</v>
      </c>
      <c r="F8" s="126">
        <f>F7</f>
        <v>0.95</v>
      </c>
      <c r="G8" s="120">
        <f t="shared" si="0"/>
        <v>14892</v>
      </c>
      <c r="H8" s="119">
        <f t="shared" si="1"/>
        <v>14147.4</v>
      </c>
      <c r="I8" s="80">
        <f>VLOOKUP(B8,All_Ingredients!$A$1:$F$149,6,FALSE())</f>
        <v>1</v>
      </c>
      <c r="J8" s="118">
        <f>VLOOKUP(B8,All_Ingredients!$A$1:$J$149,10,FALSE())</f>
        <v>9.8958333333333339</v>
      </c>
      <c r="K8" s="121">
        <f t="shared" si="5"/>
        <v>14.147399999999999</v>
      </c>
      <c r="L8" s="121">
        <f t="shared" si="6"/>
        <v>140.00031250000001</v>
      </c>
      <c r="AB8" s="132"/>
      <c r="AC8" s="132"/>
      <c r="AD8" s="134"/>
      <c r="AE8" s="135"/>
      <c r="AI8" s="1" t="s">
        <v>206</v>
      </c>
      <c r="AJ8" s="268" t="s">
        <v>214</v>
      </c>
      <c r="AK8" s="123" t="s">
        <v>161</v>
      </c>
      <c r="AL8" s="123">
        <v>450</v>
      </c>
      <c r="AM8" s="84">
        <f t="shared" si="7"/>
        <v>6.8944444444444439</v>
      </c>
      <c r="AN8" s="126">
        <v>1</v>
      </c>
      <c r="AO8" s="118">
        <f t="shared" si="8"/>
        <v>3102.4999999999995</v>
      </c>
      <c r="AP8" s="119">
        <f t="shared" si="9"/>
        <v>3102.4999999999995</v>
      </c>
      <c r="AQ8" s="1153">
        <f>VLOOKUP(AJ8,Marination_Ordering!$A:$J,6,FALSE)</f>
        <v>1</v>
      </c>
      <c r="AR8" s="1153">
        <f>VLOOKUP(AJ8,Marination_Ordering!$A:$J,10,FALSE)</f>
        <v>5</v>
      </c>
      <c r="AS8" s="174">
        <f t="shared" si="10"/>
        <v>3102.4999999999995</v>
      </c>
      <c r="AT8" s="1153">
        <f t="shared" si="11"/>
        <v>15.512499999999998</v>
      </c>
    </row>
    <row r="9" spans="1:46" ht="14.25" customHeight="1" x14ac:dyDescent="0.3">
      <c r="A9" s="269" t="s">
        <v>95</v>
      </c>
      <c r="B9" s="266" t="s">
        <v>102</v>
      </c>
      <c r="C9" s="123" t="s">
        <v>14</v>
      </c>
      <c r="D9" s="124">
        <v>3</v>
      </c>
      <c r="E9" s="222">
        <f t="shared" si="4"/>
        <v>12.41</v>
      </c>
      <c r="F9" s="126">
        <f>F8</f>
        <v>0.95</v>
      </c>
      <c r="G9" s="120">
        <f t="shared" si="0"/>
        <v>37.230000000000004</v>
      </c>
      <c r="H9" s="119">
        <f t="shared" si="1"/>
        <v>35.368500000000004</v>
      </c>
      <c r="I9" s="80">
        <f>VLOOKUP(B9,All_Ingredients!$A$1:$F$149,6,FALSE())</f>
        <v>1</v>
      </c>
      <c r="J9" s="118">
        <f>VLOOKUP(B9,All_Ingredients!$A$1:$J$149,10,FALSE())</f>
        <v>47</v>
      </c>
      <c r="K9" s="121">
        <f t="shared" si="5"/>
        <v>3.5368500000000004E-2</v>
      </c>
      <c r="L9" s="121">
        <f t="shared" si="6"/>
        <v>1.6623195000000002</v>
      </c>
      <c r="AB9" s="132"/>
      <c r="AC9" s="132"/>
      <c r="AD9" s="134"/>
      <c r="AE9" s="135"/>
      <c r="AI9" s="1" t="s">
        <v>206</v>
      </c>
      <c r="AJ9" s="268" t="s">
        <v>210</v>
      </c>
      <c r="AK9" s="123" t="s">
        <v>161</v>
      </c>
      <c r="AL9" s="123">
        <v>100</v>
      </c>
      <c r="AM9" s="84">
        <f t="shared" si="7"/>
        <v>6.8944444444444439</v>
      </c>
      <c r="AN9" s="126">
        <v>1</v>
      </c>
      <c r="AO9" s="118">
        <f t="shared" si="8"/>
        <v>689.44444444444434</v>
      </c>
      <c r="AP9" s="119">
        <f t="shared" si="9"/>
        <v>689.44444444444434</v>
      </c>
      <c r="AQ9" s="1153">
        <f>VLOOKUP(AJ9,Marination_Ordering!$A:$J,6,FALSE)</f>
        <v>1</v>
      </c>
      <c r="AR9" s="1153">
        <f>VLOOKUP(AJ9,Marination_Ordering!$A:$J,10,FALSE)</f>
        <v>2.1621621621621623</v>
      </c>
      <c r="AS9" s="174">
        <f t="shared" si="10"/>
        <v>689.44444444444434</v>
      </c>
      <c r="AT9" s="1153">
        <f t="shared" si="11"/>
        <v>1.4906906906906905</v>
      </c>
    </row>
    <row r="10" spans="1:46" ht="14.25" customHeight="1" x14ac:dyDescent="0.3">
      <c r="A10" s="269" t="s">
        <v>95</v>
      </c>
      <c r="B10" s="266" t="s">
        <v>94</v>
      </c>
      <c r="C10" s="123" t="s">
        <v>14</v>
      </c>
      <c r="D10" s="124">
        <v>11</v>
      </c>
      <c r="E10" s="222">
        <f t="shared" si="4"/>
        <v>12.41</v>
      </c>
      <c r="F10" s="126">
        <f>F9</f>
        <v>0.95</v>
      </c>
      <c r="G10" s="120">
        <f t="shared" si="0"/>
        <v>136.51</v>
      </c>
      <c r="H10" s="119">
        <f t="shared" si="1"/>
        <v>129.68449999999999</v>
      </c>
      <c r="I10" s="80">
        <f>VLOOKUP(B10,All_Ingredients!$A$1:$F$149,6,FALSE())</f>
        <v>1</v>
      </c>
      <c r="J10" s="118">
        <f>VLOOKUP(B10,All_Ingredients!$A$1:$J$149,10,FALSE())</f>
        <v>0.74</v>
      </c>
      <c r="K10" s="121">
        <f t="shared" si="5"/>
        <v>0.12968449999999998</v>
      </c>
      <c r="L10" s="121">
        <f t="shared" si="6"/>
        <v>9.596652999999998E-2</v>
      </c>
      <c r="AB10" s="132"/>
      <c r="AC10" s="132"/>
      <c r="AD10" s="134"/>
      <c r="AE10" s="135"/>
      <c r="AI10" s="1" t="s">
        <v>95</v>
      </c>
      <c r="AJ10" s="268" t="s">
        <v>94</v>
      </c>
      <c r="AK10" s="123" t="s">
        <v>14</v>
      </c>
      <c r="AL10" s="123">
        <v>2</v>
      </c>
      <c r="AM10" s="84">
        <f t="shared" si="7"/>
        <v>6.8944444444444439</v>
      </c>
      <c r="AN10" s="126">
        <v>1</v>
      </c>
      <c r="AO10" s="118">
        <f t="shared" si="8"/>
        <v>13.788888888888888</v>
      </c>
      <c r="AP10" s="119">
        <f t="shared" si="9"/>
        <v>13.788888888888888</v>
      </c>
      <c r="AQ10" s="1153">
        <f>VLOOKUP(AJ10,Marination_Ordering!$A:$J,6,FALSE)</f>
        <v>1</v>
      </c>
      <c r="AR10" s="1153">
        <f>VLOOKUP(AJ10,Marination_Ordering!$A:$J,10,FALSE)</f>
        <v>0.74</v>
      </c>
      <c r="AS10" s="174">
        <f t="shared" si="10"/>
        <v>13.788888888888888</v>
      </c>
      <c r="AT10" s="1153">
        <f t="shared" si="11"/>
        <v>1.0203777777777777E-2</v>
      </c>
    </row>
    <row r="11" spans="1:46" x14ac:dyDescent="0.3">
      <c r="A11" s="269" t="s">
        <v>188</v>
      </c>
      <c r="B11" s="266" t="s">
        <v>189</v>
      </c>
      <c r="C11" s="123" t="s">
        <v>14</v>
      </c>
      <c r="D11" s="124">
        <v>80</v>
      </c>
      <c r="E11" s="222">
        <f t="shared" si="4"/>
        <v>12.41</v>
      </c>
      <c r="F11" s="126">
        <v>1</v>
      </c>
      <c r="G11" s="120">
        <f t="shared" si="0"/>
        <v>992.8</v>
      </c>
      <c r="H11" s="119">
        <f t="shared" si="1"/>
        <v>992.8</v>
      </c>
      <c r="I11" s="80">
        <f>VLOOKUP(B11,All_Ingredients!$A$1:$F$149,6,FALSE())</f>
        <v>0.9</v>
      </c>
      <c r="J11" s="118">
        <f>VLOOKUP(B11,All_Ingredients!$A$1:$J$149,10,FALSE())</f>
        <v>2.3199999999999998</v>
      </c>
      <c r="K11" s="121">
        <f t="shared" si="5"/>
        <v>1.1031111111111112</v>
      </c>
      <c r="L11" s="121">
        <f t="shared" si="6"/>
        <v>2.5592177777777776</v>
      </c>
      <c r="AB11" s="132"/>
      <c r="AC11" s="132"/>
      <c r="AD11" s="134"/>
      <c r="AE11" s="135"/>
      <c r="AI11" s="1" t="s">
        <v>95</v>
      </c>
      <c r="AJ11" s="268" t="s">
        <v>100</v>
      </c>
      <c r="AK11" s="123" t="s">
        <v>14</v>
      </c>
      <c r="AL11" s="123">
        <v>4</v>
      </c>
      <c r="AM11" s="84">
        <f t="shared" si="7"/>
        <v>6.8944444444444439</v>
      </c>
      <c r="AN11" s="126">
        <v>1</v>
      </c>
      <c r="AO11" s="118">
        <f t="shared" si="8"/>
        <v>27.577777777777776</v>
      </c>
      <c r="AP11" s="119">
        <f t="shared" si="9"/>
        <v>27.577777777777776</v>
      </c>
      <c r="AQ11" s="1153">
        <f>VLOOKUP(AJ11,Marination_Ordering!$A:$J,6,FALSE)</f>
        <v>1</v>
      </c>
      <c r="AR11" s="1153">
        <f>VLOOKUP(AJ11,Marination_Ordering!$A:$J,10,FALSE)</f>
        <v>31</v>
      </c>
      <c r="AS11" s="174">
        <f t="shared" si="10"/>
        <v>27.577777777777776</v>
      </c>
      <c r="AT11" s="1153">
        <f t="shared" si="11"/>
        <v>0.85491111111111107</v>
      </c>
    </row>
    <row r="12" spans="1:46" ht="14.25" customHeight="1" x14ac:dyDescent="0.3">
      <c r="B12" s="99"/>
      <c r="E12" s="99"/>
      <c r="F12" s="99"/>
      <c r="L12" s="208"/>
      <c r="AD12" s="132"/>
      <c r="AE12" s="132"/>
      <c r="AF12" s="134"/>
      <c r="AG12" s="135"/>
      <c r="AI12" s="1" t="s">
        <v>95</v>
      </c>
      <c r="AJ12" s="268" t="s">
        <v>106</v>
      </c>
      <c r="AK12" s="123" t="s">
        <v>14</v>
      </c>
      <c r="AL12" s="123">
        <v>35</v>
      </c>
      <c r="AM12" s="84">
        <f t="shared" si="7"/>
        <v>6.8944444444444439</v>
      </c>
      <c r="AN12" s="126">
        <v>1</v>
      </c>
      <c r="AO12" s="118">
        <f t="shared" si="8"/>
        <v>241.30555555555554</v>
      </c>
      <c r="AP12" s="119">
        <f t="shared" si="9"/>
        <v>241.30555555555554</v>
      </c>
      <c r="AQ12" s="1153">
        <f>VLOOKUP(AJ12,Marination_Ordering!$A:$J,6,FALSE)</f>
        <v>1</v>
      </c>
      <c r="AR12" s="1153">
        <f>VLOOKUP(AJ12,Marination_Ordering!$A:$J,10,FALSE)</f>
        <v>15</v>
      </c>
      <c r="AS12" s="174">
        <f t="shared" si="10"/>
        <v>241.30555555555554</v>
      </c>
      <c r="AT12" s="1153">
        <f t="shared" si="11"/>
        <v>3.6195833333333334</v>
      </c>
    </row>
    <row r="13" spans="1:46" ht="14.25" customHeight="1" x14ac:dyDescent="0.3">
      <c r="B13" s="99"/>
      <c r="E13" s="99"/>
      <c r="F13" s="99"/>
      <c r="L13" s="208"/>
      <c r="AD13" s="132"/>
      <c r="AE13" s="132"/>
      <c r="AF13" s="134"/>
      <c r="AG13" s="135"/>
      <c r="AI13" s="1" t="s">
        <v>192</v>
      </c>
      <c r="AJ13" s="268" t="s">
        <v>204</v>
      </c>
      <c r="AK13" s="123" t="s">
        <v>14</v>
      </c>
      <c r="AL13" s="123">
        <v>250</v>
      </c>
      <c r="AM13" s="84">
        <f t="shared" si="7"/>
        <v>6.8944444444444439</v>
      </c>
      <c r="AN13" s="126">
        <v>1</v>
      </c>
      <c r="AO13" s="118">
        <f t="shared" si="8"/>
        <v>1723.6111111111111</v>
      </c>
      <c r="AP13" s="119">
        <f t="shared" si="9"/>
        <v>1723.6111111111111</v>
      </c>
      <c r="AQ13" s="1153">
        <f>VLOOKUP(AJ13,Marination_Ordering!$A:$J,6,FALSE)</f>
        <v>1</v>
      </c>
      <c r="AR13" s="1153">
        <f>VLOOKUP(AJ13,Marination_Ordering!$A:$J,10,FALSE)</f>
        <v>11.243386243386244</v>
      </c>
      <c r="AS13" s="174">
        <f t="shared" si="10"/>
        <v>1723.6111111111111</v>
      </c>
      <c r="AT13" s="1153">
        <f t="shared" si="11"/>
        <v>19.379225455614343</v>
      </c>
    </row>
    <row r="14" spans="1:46" ht="14.25" customHeight="1" x14ac:dyDescent="0.3">
      <c r="L14" s="208"/>
    </row>
    <row r="15" spans="1:46" ht="14.25" customHeight="1" x14ac:dyDescent="0.3">
      <c r="L15" s="208"/>
    </row>
    <row r="16" spans="1:46" ht="47.75" customHeight="1" x14ac:dyDescent="0.3">
      <c r="L16" s="208"/>
      <c r="R16" s="128" t="s">
        <v>304</v>
      </c>
    </row>
    <row r="17" spans="2:32" ht="14.25" customHeight="1" x14ac:dyDescent="0.3">
      <c r="L17" s="208"/>
      <c r="R17" s="274" t="s">
        <v>305</v>
      </c>
    </row>
    <row r="18" spans="2:32" ht="14.25" customHeight="1" x14ac:dyDescent="0.3">
      <c r="L18" s="208"/>
    </row>
    <row r="19" spans="2:32" ht="14.25" customHeight="1" x14ac:dyDescent="0.3">
      <c r="L19" s="208"/>
    </row>
    <row r="20" spans="2:32" ht="14.25" customHeight="1" x14ac:dyDescent="0.3">
      <c r="L20" s="208"/>
    </row>
    <row r="21" spans="2:32" ht="14.25" customHeight="1" x14ac:dyDescent="0.3">
      <c r="L21" s="208"/>
    </row>
    <row r="22" spans="2:32" ht="14.25" customHeight="1" x14ac:dyDescent="0.3">
      <c r="L22" s="208"/>
    </row>
    <row r="23" spans="2:32" ht="14.25" customHeight="1" x14ac:dyDescent="0.3">
      <c r="L23" s="208"/>
      <c r="Z23" s="1265"/>
    </row>
    <row r="24" spans="2:32" ht="14.25" customHeight="1" x14ac:dyDescent="0.3">
      <c r="L24" s="208"/>
      <c r="Z24" s="1265"/>
    </row>
    <row r="25" spans="2:32" ht="14.25" customHeight="1" x14ac:dyDescent="0.35">
      <c r="L25" s="208"/>
      <c r="R25" s="1440" t="s">
        <v>306</v>
      </c>
      <c r="S25" s="1444"/>
      <c r="T25" s="1444"/>
      <c r="U25" s="1444"/>
      <c r="V25" s="1132"/>
      <c r="W25" s="145"/>
      <c r="Z25" s="140" t="s">
        <v>256</v>
      </c>
      <c r="AA25" s="141">
        <v>1</v>
      </c>
      <c r="AB25" s="140" t="s">
        <v>253</v>
      </c>
      <c r="AC25" s="142">
        <f>(AA25*(4/3))*AF30+(AA30*(AB28/R1))</f>
        <v>5.2975314087936799E-2</v>
      </c>
      <c r="AD25" s="14"/>
    </row>
    <row r="26" spans="2:32" ht="14.25" customHeight="1" x14ac:dyDescent="0.3">
      <c r="L26" s="208"/>
      <c r="R26" s="1459" t="s">
        <v>301</v>
      </c>
      <c r="S26" s="1444"/>
      <c r="T26" s="1444"/>
      <c r="U26" s="1444"/>
      <c r="V26" s="1132"/>
      <c r="W26" s="145"/>
      <c r="Z26" s="14"/>
      <c r="AA26" s="14"/>
      <c r="AB26" s="14"/>
      <c r="AC26" s="14"/>
      <c r="AD26" s="14"/>
    </row>
    <row r="27" spans="2:32" ht="14.25" customHeight="1" thickBot="1" x14ac:dyDescent="0.35">
      <c r="B27" s="99"/>
      <c r="E27" s="99"/>
      <c r="F27" s="99"/>
      <c r="L27" s="208"/>
      <c r="R27" s="144" t="s">
        <v>258</v>
      </c>
      <c r="S27" s="145" t="s">
        <v>307</v>
      </c>
      <c r="T27" s="145" t="s">
        <v>260</v>
      </c>
      <c r="U27" s="145" t="s">
        <v>261</v>
      </c>
      <c r="V27" s="145" t="s">
        <v>808</v>
      </c>
      <c r="W27" s="145" t="s">
        <v>817</v>
      </c>
      <c r="Z27" s="140" t="s">
        <v>262</v>
      </c>
      <c r="AA27" s="1166" t="s">
        <v>316</v>
      </c>
      <c r="AB27" s="146" t="s">
        <v>263</v>
      </c>
      <c r="AC27" s="146" t="s">
        <v>264</v>
      </c>
      <c r="AD27" s="146" t="s">
        <v>265</v>
      </c>
      <c r="AE27" s="1167" t="s">
        <v>817</v>
      </c>
      <c r="AF27" s="146" t="s">
        <v>266</v>
      </c>
    </row>
    <row r="28" spans="2:32" ht="14.25" customHeight="1" thickBot="1" x14ac:dyDescent="0.35">
      <c r="B28" s="99"/>
      <c r="E28" s="99"/>
      <c r="F28" s="99"/>
      <c r="L28" s="208"/>
      <c r="R28" s="147" t="s">
        <v>267</v>
      </c>
      <c r="S28" s="1342">
        <f>$Z$1</f>
        <v>36230</v>
      </c>
      <c r="T28" s="1371"/>
      <c r="U28" s="1374">
        <f>S28</f>
        <v>36230</v>
      </c>
      <c r="V28" s="148">
        <f>SUM(AP5:AP13)</f>
        <v>8280.2277777777763</v>
      </c>
      <c r="W28" s="148">
        <f>H37</f>
        <v>7.29</v>
      </c>
      <c r="Z28" s="150"/>
      <c r="AA28" s="1169"/>
      <c r="AB28" s="151">
        <f>AA25*$S$40</f>
        <v>1</v>
      </c>
      <c r="AC28" s="151">
        <f>AA25-AB28</f>
        <v>0</v>
      </c>
      <c r="AD28" s="152">
        <f>AA25*(1/3)</f>
        <v>0.33333333333333331</v>
      </c>
      <c r="AE28" s="1169"/>
      <c r="AF28" s="153">
        <f>SUM(AB28:AD28)</f>
        <v>1.3333333333333333</v>
      </c>
    </row>
    <row r="29" spans="2:32" ht="14.25" customHeight="1" thickBot="1" x14ac:dyDescent="0.35">
      <c r="B29" s="99"/>
      <c r="E29" s="99"/>
      <c r="F29" s="99"/>
      <c r="L29" s="208"/>
      <c r="R29" s="147" t="s">
        <v>268</v>
      </c>
      <c r="S29" s="1374"/>
      <c r="T29" s="148">
        <f>S28*(1/3)</f>
        <v>12076.666666666666</v>
      </c>
      <c r="U29" s="1371">
        <f>T29</f>
        <v>12076.666666666666</v>
      </c>
      <c r="V29" s="148"/>
      <c r="W29" s="148"/>
      <c r="Z29" s="150"/>
      <c r="AA29" s="1173"/>
      <c r="AB29" s="155">
        <f>AB28/$AF$28</f>
        <v>0.75</v>
      </c>
      <c r="AC29" s="155">
        <f>AC28/$AF$28</f>
        <v>0</v>
      </c>
      <c r="AD29" s="1175">
        <f>AD28/AF28</f>
        <v>0.25</v>
      </c>
      <c r="AE29" s="1173"/>
      <c r="AF29" s="155">
        <f>AF28/$AF$28</f>
        <v>1</v>
      </c>
    </row>
    <row r="30" spans="2:32" ht="14.25" customHeight="1" thickBot="1" x14ac:dyDescent="0.35">
      <c r="B30" s="99"/>
      <c r="E30" s="99"/>
      <c r="F30" s="99"/>
      <c r="L30" s="208"/>
      <c r="R30" s="147" t="s">
        <v>269</v>
      </c>
      <c r="S30" s="1384">
        <f>$AB$1</f>
        <v>1000</v>
      </c>
      <c r="T30" s="1371">
        <f>S30*(1/3)</f>
        <v>333.33333333333331</v>
      </c>
      <c r="U30" s="1374">
        <f>S30</f>
        <v>1000</v>
      </c>
      <c r="V30" s="1124"/>
      <c r="W30" s="1124"/>
      <c r="Z30" s="140" t="s">
        <v>270</v>
      </c>
      <c r="AA30" s="1177">
        <f>V35/(S32/R1)</f>
        <v>8.2381749609708227E-4</v>
      </c>
      <c r="AB30" s="156">
        <f>S35/(S32)</f>
        <v>4.7281323877068564E-2</v>
      </c>
      <c r="AC30" s="153">
        <f>T35/T32</f>
        <v>1.2497518555555556E-2</v>
      </c>
      <c r="AD30" s="1172">
        <f>T35/T32</f>
        <v>1.2497518555555556E-2</v>
      </c>
      <c r="AE30" s="1180">
        <f>W35/U32</f>
        <v>1.9220524607896161E-6</v>
      </c>
      <c r="AF30" s="1183">
        <f>SUMPRODUCT(AB30:AD30,AB29:AD29)+(AE30)</f>
        <v>3.8587294599151098E-2</v>
      </c>
    </row>
    <row r="31" spans="2:32" ht="14.25" customHeight="1" thickBot="1" x14ac:dyDescent="0.35">
      <c r="B31" s="99"/>
      <c r="E31" s="99"/>
      <c r="F31" s="99"/>
      <c r="L31" s="208"/>
      <c r="R31" s="147" t="s">
        <v>271</v>
      </c>
      <c r="S31" s="154"/>
      <c r="T31" s="148"/>
      <c r="U31" s="148"/>
      <c r="V31" s="148"/>
      <c r="W31" s="148"/>
      <c r="AB31">
        <f>AB30*AB28</f>
        <v>4.7281323877068564E-2</v>
      </c>
      <c r="AD31">
        <f>AD30*AD28</f>
        <v>4.1658395185185182E-3</v>
      </c>
    </row>
    <row r="32" spans="2:32" ht="14.25" customHeight="1" thickBot="1" x14ac:dyDescent="0.35">
      <c r="B32" s="99"/>
      <c r="E32" s="99"/>
      <c r="F32" s="99"/>
      <c r="L32" s="208"/>
      <c r="R32" s="159" t="s">
        <v>261</v>
      </c>
      <c r="S32" s="148">
        <f>SUM(S28:S30)</f>
        <v>37230</v>
      </c>
      <c r="T32" s="148">
        <f>SUM(T28:T30)</f>
        <v>12410</v>
      </c>
      <c r="U32" s="148">
        <f>SUM(U28:U30)</f>
        <v>49306.666666666664</v>
      </c>
      <c r="V32" s="148"/>
      <c r="W32" s="148">
        <f>SUM(W28:W30)</f>
        <v>7.29</v>
      </c>
    </row>
    <row r="33" spans="2:23" ht="14.25" customHeight="1" thickBot="1" x14ac:dyDescent="0.35">
      <c r="B33" s="99"/>
      <c r="E33" s="99"/>
      <c r="F33" s="99"/>
      <c r="L33" s="208"/>
      <c r="R33" s="160" t="s">
        <v>272</v>
      </c>
      <c r="S33" s="154"/>
      <c r="T33" s="154"/>
      <c r="U33" s="154"/>
      <c r="V33" s="154"/>
      <c r="W33" s="154"/>
    </row>
    <row r="34" spans="2:23" ht="14.25" customHeight="1" thickBot="1" x14ac:dyDescent="0.35">
      <c r="B34" s="99"/>
      <c r="E34" s="99"/>
      <c r="F34" s="99"/>
      <c r="L34" s="208"/>
      <c r="R34" s="161" t="s">
        <v>273</v>
      </c>
      <c r="S34" s="154"/>
      <c r="T34" s="148"/>
      <c r="U34" s="154"/>
      <c r="V34" s="154"/>
      <c r="W34" s="154"/>
    </row>
    <row r="35" spans="2:23" ht="14.25" customHeight="1" thickBot="1" x14ac:dyDescent="0.35">
      <c r="B35" s="1453" t="s">
        <v>655</v>
      </c>
      <c r="C35" s="1454"/>
      <c r="D35" s="1454"/>
      <c r="E35" s="1454"/>
      <c r="F35" s="1455"/>
      <c r="G35" s="877"/>
      <c r="H35" s="877"/>
      <c r="I35" s="877"/>
      <c r="J35" s="877"/>
      <c r="K35" s="877"/>
      <c r="L35" s="877"/>
      <c r="R35" s="162" t="s">
        <v>253</v>
      </c>
      <c r="S35" s="1125">
        <f>$L$5</f>
        <v>1760.2836879432625</v>
      </c>
      <c r="T35" s="1125">
        <f>SUM(L6:L11)</f>
        <v>155.09420527444445</v>
      </c>
      <c r="U35" s="1125">
        <f>S35+T35+V35+W35</f>
        <v>1972.2703028097335</v>
      </c>
      <c r="V35" s="1125">
        <f>SUM(AT6:AT13)</f>
        <v>56.797639592026613</v>
      </c>
      <c r="W35" s="1184">
        <f>L37</f>
        <v>9.4769999999999993E-2</v>
      </c>
    </row>
    <row r="36" spans="2:23" ht="14.25" customHeight="1" x14ac:dyDescent="0.3">
      <c r="B36" s="848" t="s">
        <v>245</v>
      </c>
      <c r="C36" s="848" t="s">
        <v>321</v>
      </c>
      <c r="D36" s="850" t="s">
        <v>645</v>
      </c>
      <c r="E36" s="847" t="s">
        <v>646</v>
      </c>
      <c r="F36" s="850" t="s">
        <v>647</v>
      </c>
      <c r="G36" s="870"/>
      <c r="H36" s="850" t="s">
        <v>647</v>
      </c>
      <c r="I36" s="850" t="s">
        <v>250</v>
      </c>
      <c r="J36" s="850" t="s">
        <v>251</v>
      </c>
      <c r="K36" s="850" t="s">
        <v>252</v>
      </c>
      <c r="L36" s="850" t="s">
        <v>253</v>
      </c>
    </row>
    <row r="37" spans="2:23" ht="14.25" customHeight="1" x14ac:dyDescent="0.3">
      <c r="B37" s="843" t="s">
        <v>730</v>
      </c>
      <c r="C37" s="844" t="s">
        <v>14</v>
      </c>
      <c r="D37" s="845">
        <v>0.03</v>
      </c>
      <c r="E37" s="843">
        <f>$AD$1</f>
        <v>243</v>
      </c>
      <c r="F37" s="843">
        <f>D37*E37</f>
        <v>7.29</v>
      </c>
      <c r="G37" s="869"/>
      <c r="H37" s="843">
        <f>F37</f>
        <v>7.29</v>
      </c>
      <c r="I37" s="843">
        <f>VLOOKUP(B37,All_Ingredients!$A$1:$F$149,6,FALSE())</f>
        <v>1</v>
      </c>
      <c r="J37" s="843">
        <f>VLOOKUP(B37,All_Ingredients!$A$1:$J$149,10,FALSE())</f>
        <v>13</v>
      </c>
      <c r="K37" s="843">
        <f>(H37/I37)/1000</f>
        <v>7.2899999999999996E-3</v>
      </c>
      <c r="L37" s="843">
        <f t="shared" ref="L37" si="12">K37*J37</f>
        <v>9.4769999999999993E-2</v>
      </c>
    </row>
    <row r="38" spans="2:23" ht="14.25" customHeight="1" x14ac:dyDescent="0.3">
      <c r="B38" s="99"/>
      <c r="E38" s="99"/>
      <c r="F38" s="99"/>
      <c r="L38" s="208"/>
    </row>
    <row r="39" spans="2:23" ht="14.25" customHeight="1" x14ac:dyDescent="0.3">
      <c r="B39" s="99"/>
      <c r="E39" s="99"/>
      <c r="F39" s="99"/>
      <c r="L39" s="208"/>
    </row>
    <row r="40" spans="2:23" ht="16.25" customHeight="1" x14ac:dyDescent="0.3">
      <c r="L40" s="208"/>
      <c r="Q40" s="14"/>
      <c r="R40" s="164" t="s">
        <v>274</v>
      </c>
      <c r="S40" s="238">
        <v>1</v>
      </c>
      <c r="T40" s="164" t="s">
        <v>275</v>
      </c>
      <c r="U40" s="238">
        <v>0</v>
      </c>
      <c r="V40" s="167">
        <f>S40+U40</f>
        <v>1</v>
      </c>
      <c r="W40" s="14"/>
    </row>
    <row r="41" spans="2:23" ht="14.25" customHeight="1" x14ac:dyDescent="0.3">
      <c r="L41" s="208"/>
      <c r="Q41" s="14"/>
      <c r="R41" s="14"/>
      <c r="S41" s="14"/>
      <c r="T41" s="14"/>
      <c r="U41" s="168"/>
      <c r="V41" s="14"/>
      <c r="W41" s="14"/>
    </row>
    <row r="42" spans="2:23" ht="14.25" customHeight="1" x14ac:dyDescent="0.3">
      <c r="L42" s="208"/>
      <c r="Q42" s="14"/>
      <c r="R42" s="14"/>
      <c r="S42" s="14"/>
      <c r="T42" s="14"/>
      <c r="U42" s="14"/>
      <c r="V42" s="14"/>
      <c r="W42" s="14"/>
    </row>
    <row r="43" spans="2:23" ht="14.25" customHeight="1" x14ac:dyDescent="0.3">
      <c r="L43" s="208"/>
      <c r="Q43" s="169" t="s">
        <v>276</v>
      </c>
      <c r="R43" s="169" t="s">
        <v>277</v>
      </c>
      <c r="S43" s="169" t="s">
        <v>278</v>
      </c>
      <c r="T43" s="169" t="s">
        <v>279</v>
      </c>
      <c r="U43" s="169" t="s">
        <v>280</v>
      </c>
      <c r="V43" s="169" t="s">
        <v>281</v>
      </c>
      <c r="W43" s="257" t="s">
        <v>282</v>
      </c>
    </row>
    <row r="44" spans="2:23" ht="14.25" customHeight="1" x14ac:dyDescent="0.3">
      <c r="L44" s="208"/>
      <c r="Q44" s="171">
        <v>33334</v>
      </c>
      <c r="R44" s="172">
        <f>D51</f>
        <v>10000</v>
      </c>
      <c r="S44" s="173">
        <v>0</v>
      </c>
      <c r="T44" s="173">
        <v>1</v>
      </c>
      <c r="U44" s="241">
        <f>R44*S44</f>
        <v>0</v>
      </c>
      <c r="V44" s="175">
        <f>R44*T44</f>
        <v>10000</v>
      </c>
      <c r="W44" s="259">
        <f>Q44-U44</f>
        <v>33334</v>
      </c>
    </row>
    <row r="45" spans="2:23" ht="14.25" customHeight="1" x14ac:dyDescent="0.3">
      <c r="L45" s="208"/>
    </row>
    <row r="46" spans="2:23" ht="14.25" customHeight="1" x14ac:dyDescent="0.3">
      <c r="B46" s="99"/>
      <c r="E46" s="99"/>
      <c r="F46" s="99"/>
      <c r="L46" s="208"/>
    </row>
    <row r="47" spans="2:23" ht="14.25" customHeight="1" x14ac:dyDescent="0.3">
      <c r="B47" s="99"/>
      <c r="E47" s="99"/>
      <c r="F47" s="99"/>
      <c r="L47" s="208"/>
    </row>
    <row r="48" spans="2:23" ht="14.25" customHeight="1" x14ac:dyDescent="0.3">
      <c r="B48" s="99"/>
      <c r="E48" s="99"/>
      <c r="F48" s="99"/>
      <c r="L48" s="208"/>
    </row>
    <row r="49" spans="1:12" ht="14.25" customHeight="1" x14ac:dyDescent="0.3">
      <c r="B49" s="99"/>
      <c r="E49" s="99"/>
      <c r="F49" s="99"/>
      <c r="L49" s="208"/>
    </row>
    <row r="50" spans="1:12" ht="14.25" customHeight="1" x14ac:dyDescent="0.3">
      <c r="B50" s="275"/>
      <c r="C50" s="144" t="s">
        <v>237</v>
      </c>
      <c r="D50" s="144" t="s">
        <v>283</v>
      </c>
      <c r="F50" s="99"/>
      <c r="G50" s="144" t="s">
        <v>284</v>
      </c>
      <c r="H50" s="144" t="s">
        <v>237</v>
      </c>
      <c r="I50" s="144" t="s">
        <v>285</v>
      </c>
      <c r="J50" s="144" t="s">
        <v>286</v>
      </c>
      <c r="L50" s="208"/>
    </row>
    <row r="51" spans="1:12" ht="14.25" customHeight="1" x14ac:dyDescent="0.3">
      <c r="B51" s="179" t="s">
        <v>287</v>
      </c>
      <c r="C51" s="180">
        <f>10/$K$1</f>
        <v>10</v>
      </c>
      <c r="D51" s="181">
        <f>$C$1*10</f>
        <v>10000</v>
      </c>
      <c r="F51" s="99"/>
      <c r="G51" s="179" t="s">
        <v>287</v>
      </c>
      <c r="H51" s="276">
        <f>I51/$D$5</f>
        <v>10</v>
      </c>
      <c r="I51" s="180">
        <f>J51/$R$1</f>
        <v>61729.629629629628</v>
      </c>
      <c r="J51" s="180">
        <f>$W$44</f>
        <v>33334</v>
      </c>
      <c r="L51" s="208"/>
    </row>
    <row r="52" spans="1:12" ht="14.25" customHeight="1" x14ac:dyDescent="0.3">
      <c r="B52" s="230" t="s">
        <v>266</v>
      </c>
      <c r="C52" s="231">
        <f>$I$1</f>
        <v>12.41</v>
      </c>
      <c r="D52" s="232">
        <f>$E$1</f>
        <v>12410</v>
      </c>
      <c r="F52" s="99"/>
      <c r="G52" s="147" t="s">
        <v>266</v>
      </c>
      <c r="H52" s="209">
        <f>I52/$D$5</f>
        <v>11.16877662446751</v>
      </c>
      <c r="I52" s="175">
        <f>J52/$R$1</f>
        <v>68944.444444444438</v>
      </c>
      <c r="J52" s="183">
        <f>$S$32</f>
        <v>37230</v>
      </c>
    </row>
    <row r="53" spans="1:12" ht="14.25" customHeight="1" x14ac:dyDescent="0.3">
      <c r="B53" s="230" t="s">
        <v>288</v>
      </c>
      <c r="C53" s="233">
        <f>MIN(C52, C51)</f>
        <v>10</v>
      </c>
      <c r="D53" s="232">
        <f>(C53*$K$1)*$C$1</f>
        <v>10000</v>
      </c>
      <c r="F53" s="99"/>
      <c r="G53" s="147" t="s">
        <v>288</v>
      </c>
      <c r="H53" s="186">
        <f>MIN(H52,H51)</f>
        <v>10</v>
      </c>
      <c r="I53" s="175">
        <f>J53/$R$1</f>
        <v>61729.629629629628</v>
      </c>
      <c r="J53" s="175">
        <f>MIN(J52,J51)</f>
        <v>33334</v>
      </c>
    </row>
    <row r="54" spans="1:12" ht="14.25" customHeight="1" x14ac:dyDescent="0.3">
      <c r="B54" s="230" t="s">
        <v>289</v>
      </c>
      <c r="C54" s="233">
        <f>MIN(MAX(C52-C53,0),C51)</f>
        <v>2.41</v>
      </c>
      <c r="D54" s="232">
        <f>(C54*$K$1)*$C$1</f>
        <v>2410</v>
      </c>
      <c r="F54" s="99"/>
      <c r="G54" s="147" t="s">
        <v>289</v>
      </c>
      <c r="H54" s="186">
        <f>MIN(MAX(H52-H53),H51)</f>
        <v>1.16877662446751</v>
      </c>
      <c r="I54" s="175">
        <f>J54/$R$1</f>
        <v>7214.8148148148148</v>
      </c>
      <c r="J54" s="175">
        <f>MIN(MAX(J52-J53),J51)</f>
        <v>3896</v>
      </c>
    </row>
    <row r="55" spans="1:12" ht="14.25" customHeight="1" x14ac:dyDescent="0.3">
      <c r="B55" s="230" t="s">
        <v>290</v>
      </c>
      <c r="C55" s="233">
        <f>MIN(MAX(C52-C53-C54,0),C51)</f>
        <v>0</v>
      </c>
      <c r="D55" s="232">
        <f>(C55*$K$1)*$C$1</f>
        <v>0</v>
      </c>
      <c r="E55" s="99"/>
      <c r="F55" s="99"/>
      <c r="G55" s="144" t="s">
        <v>290</v>
      </c>
      <c r="H55" s="186">
        <f>MIN(MAX(H52-H53-H54),H51)</f>
        <v>0</v>
      </c>
      <c r="I55" s="175">
        <f>J55/$R$1</f>
        <v>0</v>
      </c>
      <c r="J55" s="175">
        <f>MIN(MAX(J52-J53-J54),J51)</f>
        <v>0</v>
      </c>
    </row>
    <row r="56" spans="1:12" ht="14.25" customHeight="1" x14ac:dyDescent="0.3">
      <c r="B56" s="99"/>
      <c r="E56" s="99"/>
      <c r="F56" s="99"/>
    </row>
    <row r="57" spans="1:12" ht="17.75" customHeight="1" x14ac:dyDescent="0.3">
      <c r="B57" s="277"/>
      <c r="C57" s="277"/>
      <c r="D57" s="277"/>
      <c r="E57" s="277"/>
      <c r="F57" s="277"/>
      <c r="G57" s="277"/>
      <c r="H57" s="277"/>
      <c r="I57" s="277"/>
      <c r="J57" s="277"/>
      <c r="K57" s="246"/>
    </row>
    <row r="58" spans="1:12" ht="17.75" customHeight="1" x14ac:dyDescent="0.3">
      <c r="B58" s="277"/>
      <c r="C58" s="277"/>
      <c r="D58" s="277"/>
      <c r="E58" s="277"/>
      <c r="F58" s="277"/>
      <c r="G58" s="277"/>
      <c r="H58" s="277"/>
      <c r="I58" s="277"/>
      <c r="J58" s="277"/>
      <c r="K58" s="246"/>
    </row>
    <row r="62" spans="1:12" ht="17.75" customHeight="1" x14ac:dyDescent="0.3">
      <c r="A62" s="923"/>
      <c r="B62" s="1447" t="str">
        <f>"بان فرايد فيش دفعة  1  / " &amp; COUNTIF($C$53:$C$55, "&gt;0")</f>
        <v>بان فرايد فيش دفعة  1  / 2</v>
      </c>
      <c r="C62" s="1456"/>
      <c r="D62" s="1456"/>
      <c r="E62" s="1456"/>
      <c r="F62" s="1456"/>
      <c r="G62" s="1456"/>
      <c r="H62" s="1456"/>
    </row>
    <row r="63" spans="1:12" ht="17.75" customHeight="1" x14ac:dyDescent="0.3">
      <c r="A63" s="923"/>
      <c r="B63" s="1438" t="str">
        <f>"Pan Fried Fish 1 / " &amp; COUNTIF($C$53:$C$55, "&gt;0")</f>
        <v>Pan Fried Fish 1 / 2</v>
      </c>
      <c r="C63" s="1439"/>
      <c r="D63" s="1439"/>
      <c r="E63" s="1439"/>
      <c r="F63" s="1439"/>
      <c r="G63" s="1439"/>
      <c r="H63" s="1439"/>
    </row>
    <row r="64" spans="1:12" ht="52.5" customHeight="1" x14ac:dyDescent="0.3">
      <c r="A64" s="90"/>
      <c r="B64" s="90" t="s">
        <v>245</v>
      </c>
      <c r="C64" s="106" t="s">
        <v>246</v>
      </c>
      <c r="D64" s="90" t="s">
        <v>235</v>
      </c>
      <c r="E64" s="107" t="s">
        <v>238</v>
      </c>
      <c r="F64" s="107" t="s">
        <v>247</v>
      </c>
      <c r="G64" s="90" t="s">
        <v>248</v>
      </c>
      <c r="H64" s="108" t="s">
        <v>249</v>
      </c>
    </row>
    <row r="65" spans="1:8" ht="14.25" customHeight="1" x14ac:dyDescent="0.3">
      <c r="A65" s="269" t="s">
        <v>225</v>
      </c>
      <c r="B65" s="122" t="str">
        <f t="shared" ref="B65:D71" si="13">B5</f>
        <v>Fillet Fish - سمك فيليه</v>
      </c>
      <c r="C65" s="122" t="str">
        <f t="shared" si="13"/>
        <v>gm</v>
      </c>
      <c r="D65" s="278">
        <f>D5</f>
        <v>6172.9629629629626</v>
      </c>
      <c r="E65" s="279">
        <f>H53</f>
        <v>10</v>
      </c>
      <c r="F65" s="126">
        <f t="shared" ref="F65:F71" si="14">F5</f>
        <v>1</v>
      </c>
      <c r="G65" s="120">
        <f t="shared" ref="G65:G71" si="15">D65*E65</f>
        <v>61729.629629629628</v>
      </c>
      <c r="H65" s="119">
        <f t="shared" ref="H65:H71" si="16">G65*F65</f>
        <v>61729.629629629628</v>
      </c>
    </row>
    <row r="66" spans="1:8" ht="14.25" customHeight="1" x14ac:dyDescent="0.3">
      <c r="A66" s="269" t="s">
        <v>13</v>
      </c>
      <c r="B66" s="122" t="str">
        <f t="shared" si="13"/>
        <v>Garlic - ثوم مقشر</v>
      </c>
      <c r="C66" s="122" t="str">
        <f t="shared" si="13"/>
        <v>gm</v>
      </c>
      <c r="D66" s="122">
        <f t="shared" si="13"/>
        <v>60</v>
      </c>
      <c r="E66" s="280">
        <f t="shared" ref="E66:E71" si="17">$C$53</f>
        <v>10</v>
      </c>
      <c r="F66" s="126">
        <f t="shared" si="14"/>
        <v>0.95</v>
      </c>
      <c r="G66" s="120">
        <f t="shared" si="15"/>
        <v>600</v>
      </c>
      <c r="H66" s="119">
        <f t="shared" si="16"/>
        <v>570</v>
      </c>
    </row>
    <row r="67" spans="1:8" ht="14.25" customHeight="1" x14ac:dyDescent="0.3">
      <c r="A67" s="269" t="s">
        <v>206</v>
      </c>
      <c r="B67" s="122" t="str">
        <f t="shared" si="13"/>
        <v>Balsamic Vinegar - خل بلسميك</v>
      </c>
      <c r="C67" s="122" t="str">
        <f t="shared" si="13"/>
        <v>ml</v>
      </c>
      <c r="D67" s="122">
        <f t="shared" si="13"/>
        <v>10</v>
      </c>
      <c r="E67" s="280">
        <f t="shared" si="17"/>
        <v>10</v>
      </c>
      <c r="F67" s="126">
        <f t="shared" si="14"/>
        <v>0.95</v>
      </c>
      <c r="G67" s="120">
        <f t="shared" si="15"/>
        <v>100</v>
      </c>
      <c r="H67" s="119">
        <f t="shared" si="16"/>
        <v>95</v>
      </c>
    </row>
    <row r="68" spans="1:8" ht="14.25" customHeight="1" x14ac:dyDescent="0.3">
      <c r="A68" s="269" t="s">
        <v>154</v>
      </c>
      <c r="B68" s="122" t="str">
        <f t="shared" si="13"/>
        <v>Coconut Milk - حليب جوز الهند</v>
      </c>
      <c r="C68" s="122" t="str">
        <f t="shared" si="13"/>
        <v>ml</v>
      </c>
      <c r="D68" s="122">
        <f t="shared" si="13"/>
        <v>1200</v>
      </c>
      <c r="E68" s="280">
        <f t="shared" si="17"/>
        <v>10</v>
      </c>
      <c r="F68" s="126">
        <f t="shared" si="14"/>
        <v>0.95</v>
      </c>
      <c r="G68" s="120">
        <f t="shared" si="15"/>
        <v>12000</v>
      </c>
      <c r="H68" s="119">
        <f t="shared" si="16"/>
        <v>11400</v>
      </c>
    </row>
    <row r="69" spans="1:8" ht="14.25" customHeight="1" x14ac:dyDescent="0.3">
      <c r="A69" s="269" t="s">
        <v>95</v>
      </c>
      <c r="B69" s="122" t="str">
        <f t="shared" si="13"/>
        <v>White Pepper - فلفل أبيض</v>
      </c>
      <c r="C69" s="122" t="str">
        <f t="shared" si="13"/>
        <v>gm</v>
      </c>
      <c r="D69" s="122">
        <f t="shared" si="13"/>
        <v>3</v>
      </c>
      <c r="E69" s="280">
        <f t="shared" si="17"/>
        <v>10</v>
      </c>
      <c r="F69" s="126">
        <f t="shared" si="14"/>
        <v>0.95</v>
      </c>
      <c r="G69" s="120">
        <f t="shared" si="15"/>
        <v>30</v>
      </c>
      <c r="H69" s="119">
        <f t="shared" si="16"/>
        <v>28.5</v>
      </c>
    </row>
    <row r="70" spans="1:8" ht="14.25" customHeight="1" x14ac:dyDescent="0.3">
      <c r="A70" s="269" t="s">
        <v>95</v>
      </c>
      <c r="B70" s="122" t="str">
        <f t="shared" si="13"/>
        <v>Salt - ملح</v>
      </c>
      <c r="C70" s="122" t="str">
        <f t="shared" si="13"/>
        <v>gm</v>
      </c>
      <c r="D70" s="122">
        <f t="shared" si="13"/>
        <v>11</v>
      </c>
      <c r="E70" s="280">
        <f t="shared" si="17"/>
        <v>10</v>
      </c>
      <c r="F70" s="126">
        <f t="shared" si="14"/>
        <v>0.95</v>
      </c>
      <c r="G70" s="120">
        <f t="shared" si="15"/>
        <v>110</v>
      </c>
      <c r="H70" s="119">
        <f t="shared" si="16"/>
        <v>104.5</v>
      </c>
    </row>
    <row r="71" spans="1:8" ht="14.25" customHeight="1" x14ac:dyDescent="0.3">
      <c r="A71" s="269" t="s">
        <v>188</v>
      </c>
      <c r="B71" s="122" t="str">
        <f t="shared" si="13"/>
        <v>Corn Starch - نشا ذرة</v>
      </c>
      <c r="C71" s="122" t="str">
        <f t="shared" si="13"/>
        <v>gm</v>
      </c>
      <c r="D71" s="122">
        <f t="shared" si="13"/>
        <v>80</v>
      </c>
      <c r="E71" s="280">
        <f t="shared" si="17"/>
        <v>10</v>
      </c>
      <c r="F71" s="126">
        <f t="shared" si="14"/>
        <v>1</v>
      </c>
      <c r="G71" s="120">
        <f t="shared" si="15"/>
        <v>800</v>
      </c>
      <c r="H71" s="119">
        <f t="shared" si="16"/>
        <v>800</v>
      </c>
    </row>
    <row r="72" spans="1:8" ht="20.25" customHeight="1" x14ac:dyDescent="0.3">
      <c r="A72" s="210"/>
      <c r="B72" s="197" t="s">
        <v>291</v>
      </c>
      <c r="C72" s="199" t="s">
        <v>277</v>
      </c>
      <c r="D72" s="14"/>
      <c r="E72" s="199" t="s">
        <v>292</v>
      </c>
      <c r="F72" s="14"/>
      <c r="G72" s="878" t="s">
        <v>268</v>
      </c>
      <c r="H72" s="878" t="s">
        <v>703</v>
      </c>
    </row>
    <row r="73" spans="1:8" ht="20" x14ac:dyDescent="0.4">
      <c r="A73" s="210"/>
      <c r="B73" s="198">
        <f>$J$53</f>
        <v>33334</v>
      </c>
      <c r="C73" s="198">
        <f>E73+G73</f>
        <v>10000</v>
      </c>
      <c r="D73" s="915"/>
      <c r="E73" s="198">
        <f>$D$53*$S$44</f>
        <v>0</v>
      </c>
      <c r="F73" s="919"/>
      <c r="G73" s="198">
        <f>$D$53*$T$44</f>
        <v>10000</v>
      </c>
      <c r="H73" s="198">
        <f>B73+E73</f>
        <v>33334</v>
      </c>
    </row>
    <row r="74" spans="1:8" ht="14.25" customHeight="1" x14ac:dyDescent="0.3">
      <c r="E74" s="99"/>
    </row>
    <row r="75" spans="1:8" x14ac:dyDescent="0.3">
      <c r="A75" s="923"/>
      <c r="B75" s="1447" t="str">
        <f>"بان فرايد فيش دفعة  2  / " &amp; COUNTIF($C$53:$C$55, "&gt;0")</f>
        <v>بان فرايد فيش دفعة  2  / 2</v>
      </c>
      <c r="C75" s="1456"/>
      <c r="D75" s="1456"/>
      <c r="E75" s="1456"/>
      <c r="F75" s="1456"/>
      <c r="G75" s="1456"/>
      <c r="H75" s="1456"/>
    </row>
    <row r="76" spans="1:8" x14ac:dyDescent="0.3">
      <c r="A76" s="923"/>
      <c r="B76" s="1438" t="str">
        <f>"Pan Fried Fish 2 / " &amp; COUNTIF($C$53:$C$55, "&gt;0")</f>
        <v>Pan Fried Fish 2 / 2</v>
      </c>
      <c r="C76" s="1439"/>
      <c r="D76" s="1439"/>
      <c r="E76" s="1439"/>
      <c r="F76" s="1439"/>
      <c r="G76" s="1439"/>
      <c r="H76" s="1439"/>
    </row>
    <row r="77" spans="1:8" ht="40.5" customHeight="1" x14ac:dyDescent="0.3">
      <c r="A77" s="90"/>
      <c r="B77" s="90" t="s">
        <v>245</v>
      </c>
      <c r="C77" s="106" t="s">
        <v>246</v>
      </c>
      <c r="D77" s="90" t="s">
        <v>235</v>
      </c>
      <c r="E77" s="107" t="s">
        <v>238</v>
      </c>
      <c r="F77" s="107" t="s">
        <v>247</v>
      </c>
      <c r="G77" s="90" t="s">
        <v>248</v>
      </c>
      <c r="H77" s="108" t="s">
        <v>249</v>
      </c>
    </row>
    <row r="78" spans="1:8" x14ac:dyDescent="0.3">
      <c r="A78" s="269" t="s">
        <v>225</v>
      </c>
      <c r="B78" s="122" t="str">
        <f t="shared" ref="B78:D84" si="18">B5</f>
        <v>Fillet Fish - سمك فيليه</v>
      </c>
      <c r="C78" s="122" t="str">
        <f t="shared" si="18"/>
        <v>gm</v>
      </c>
      <c r="D78" s="262">
        <f t="shared" si="18"/>
        <v>6172.9629629629626</v>
      </c>
      <c r="E78" s="279">
        <f>H54</f>
        <v>1.16877662446751</v>
      </c>
      <c r="F78" s="126">
        <f>F5</f>
        <v>1</v>
      </c>
      <c r="G78" s="120">
        <f t="shared" ref="G78:G84" si="19">D78*E78</f>
        <v>7214.8148148148102</v>
      </c>
      <c r="H78" s="119">
        <f t="shared" ref="H78:H84" si="20">G78*F78</f>
        <v>7214.8148148148102</v>
      </c>
    </row>
    <row r="79" spans="1:8" x14ac:dyDescent="0.3">
      <c r="A79" s="269" t="s">
        <v>13</v>
      </c>
      <c r="B79" s="122" t="str">
        <f t="shared" si="18"/>
        <v>Garlic - ثوم مقشر</v>
      </c>
      <c r="C79" s="122" t="str">
        <f t="shared" si="18"/>
        <v>gm</v>
      </c>
      <c r="D79" s="122">
        <f t="shared" si="18"/>
        <v>60</v>
      </c>
      <c r="E79" s="280">
        <f t="shared" ref="E79:E84" si="21">$C$54</f>
        <v>2.41</v>
      </c>
      <c r="F79" s="126">
        <f t="shared" ref="F79:F84" si="22">F6</f>
        <v>0.95</v>
      </c>
      <c r="G79" s="120">
        <f t="shared" si="19"/>
        <v>144.60000000000002</v>
      </c>
      <c r="H79" s="119">
        <f t="shared" si="20"/>
        <v>137.37</v>
      </c>
    </row>
    <row r="80" spans="1:8" x14ac:dyDescent="0.3">
      <c r="A80" s="269" t="s">
        <v>206</v>
      </c>
      <c r="B80" s="122" t="str">
        <f t="shared" si="18"/>
        <v>Balsamic Vinegar - خل بلسميك</v>
      </c>
      <c r="C80" s="122" t="str">
        <f t="shared" si="18"/>
        <v>ml</v>
      </c>
      <c r="D80" s="122">
        <f t="shared" si="18"/>
        <v>10</v>
      </c>
      <c r="E80" s="280">
        <f t="shared" si="21"/>
        <v>2.41</v>
      </c>
      <c r="F80" s="126">
        <f t="shared" si="22"/>
        <v>0.95</v>
      </c>
      <c r="G80" s="120">
        <f t="shared" si="19"/>
        <v>24.1</v>
      </c>
      <c r="H80" s="119">
        <f t="shared" si="20"/>
        <v>22.895</v>
      </c>
    </row>
    <row r="81" spans="1:8" x14ac:dyDescent="0.3">
      <c r="A81" s="269" t="s">
        <v>154</v>
      </c>
      <c r="B81" s="122" t="str">
        <f t="shared" si="18"/>
        <v>Coconut Milk - حليب جوز الهند</v>
      </c>
      <c r="C81" s="122" t="str">
        <f t="shared" si="18"/>
        <v>ml</v>
      </c>
      <c r="D81" s="122">
        <f t="shared" si="18"/>
        <v>1200</v>
      </c>
      <c r="E81" s="280">
        <f t="shared" si="21"/>
        <v>2.41</v>
      </c>
      <c r="F81" s="126">
        <f t="shared" si="22"/>
        <v>0.95</v>
      </c>
      <c r="G81" s="120">
        <f t="shared" si="19"/>
        <v>2892</v>
      </c>
      <c r="H81" s="119">
        <f t="shared" si="20"/>
        <v>2747.4</v>
      </c>
    </row>
    <row r="82" spans="1:8" x14ac:dyDescent="0.3">
      <c r="A82" s="269" t="s">
        <v>95</v>
      </c>
      <c r="B82" s="122" t="str">
        <f t="shared" si="18"/>
        <v>White Pepper - فلفل أبيض</v>
      </c>
      <c r="C82" s="122" t="str">
        <f t="shared" si="18"/>
        <v>gm</v>
      </c>
      <c r="D82" s="122">
        <f t="shared" si="18"/>
        <v>3</v>
      </c>
      <c r="E82" s="280">
        <f t="shared" si="21"/>
        <v>2.41</v>
      </c>
      <c r="F82" s="126">
        <f t="shared" si="22"/>
        <v>0.95</v>
      </c>
      <c r="G82" s="120">
        <f t="shared" si="19"/>
        <v>7.23</v>
      </c>
      <c r="H82" s="119">
        <f t="shared" si="20"/>
        <v>6.8685</v>
      </c>
    </row>
    <row r="83" spans="1:8" x14ac:dyDescent="0.3">
      <c r="A83" s="269" t="s">
        <v>95</v>
      </c>
      <c r="B83" s="122" t="str">
        <f t="shared" si="18"/>
        <v>Salt - ملح</v>
      </c>
      <c r="C83" s="122" t="str">
        <f t="shared" si="18"/>
        <v>gm</v>
      </c>
      <c r="D83" s="122">
        <f t="shared" si="18"/>
        <v>11</v>
      </c>
      <c r="E83" s="280">
        <f t="shared" si="21"/>
        <v>2.41</v>
      </c>
      <c r="F83" s="126">
        <f t="shared" si="22"/>
        <v>0.95</v>
      </c>
      <c r="G83" s="120">
        <f t="shared" si="19"/>
        <v>26.51</v>
      </c>
      <c r="H83" s="119">
        <f t="shared" si="20"/>
        <v>25.1845</v>
      </c>
    </row>
    <row r="84" spans="1:8" x14ac:dyDescent="0.3">
      <c r="A84" s="269" t="s">
        <v>188</v>
      </c>
      <c r="B84" s="122" t="str">
        <f t="shared" si="18"/>
        <v>Corn Starch - نشا ذرة</v>
      </c>
      <c r="C84" s="122" t="str">
        <f t="shared" si="18"/>
        <v>gm</v>
      </c>
      <c r="D84" s="122">
        <f t="shared" si="18"/>
        <v>80</v>
      </c>
      <c r="E84" s="280">
        <f t="shared" si="21"/>
        <v>2.41</v>
      </c>
      <c r="F84" s="126">
        <f t="shared" si="22"/>
        <v>1</v>
      </c>
      <c r="G84" s="120">
        <f t="shared" si="19"/>
        <v>192.8</v>
      </c>
      <c r="H84" s="119">
        <f t="shared" si="20"/>
        <v>192.8</v>
      </c>
    </row>
    <row r="85" spans="1:8" ht="18" x14ac:dyDescent="0.3">
      <c r="A85" s="210"/>
      <c r="B85" s="197" t="s">
        <v>291</v>
      </c>
      <c r="C85" s="199" t="s">
        <v>277</v>
      </c>
      <c r="D85" s="14"/>
      <c r="E85" s="199" t="s">
        <v>292</v>
      </c>
      <c r="F85" s="14"/>
      <c r="G85" s="878" t="s">
        <v>268</v>
      </c>
      <c r="H85" s="878" t="s">
        <v>703</v>
      </c>
    </row>
    <row r="86" spans="1:8" ht="20" x14ac:dyDescent="0.4">
      <c r="A86" s="210"/>
      <c r="B86" s="198">
        <f>$J$54</f>
        <v>3896</v>
      </c>
      <c r="C86" s="198">
        <f>E86+G86</f>
        <v>2410</v>
      </c>
      <c r="D86" s="915"/>
      <c r="E86" s="198">
        <f>$D$54*$S$44</f>
        <v>0</v>
      </c>
      <c r="F86" s="919"/>
      <c r="G86" s="198">
        <f>$D$54*$T$44</f>
        <v>2410</v>
      </c>
      <c r="H86" s="198">
        <f>B86+E86</f>
        <v>3896</v>
      </c>
    </row>
  </sheetData>
  <mergeCells count="10">
    <mergeCell ref="B75:H75"/>
    <mergeCell ref="B76:H76"/>
    <mergeCell ref="AK2:AM2"/>
    <mergeCell ref="B63:H63"/>
    <mergeCell ref="AE2:AG3"/>
    <mergeCell ref="R26:U26"/>
    <mergeCell ref="B62:H62"/>
    <mergeCell ref="R25:U25"/>
    <mergeCell ref="F2:F3"/>
    <mergeCell ref="B35:F35"/>
  </mergeCells>
  <printOptions horizontalCentered="1"/>
  <pageMargins left="0.5" right="0.5" top="1" bottom="0.5" header="0.3" footer="0.511811023622047"/>
  <pageSetup paperSize="9" scale="2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0B050"/>
    <pageSetUpPr fitToPage="1"/>
  </sheetPr>
  <dimension ref="A1:AG91"/>
  <sheetViews>
    <sheetView topLeftCell="A13" zoomScale="70" zoomScaleNormal="70" workbookViewId="0">
      <selection activeCell="B22" sqref="B22:L22"/>
    </sheetView>
  </sheetViews>
  <sheetFormatPr defaultColWidth="12.5" defaultRowHeight="14" x14ac:dyDescent="0.3"/>
  <cols>
    <col min="1" max="1" width="12.5" style="78" customWidth="1"/>
    <col min="2" max="2" width="32.5820312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9" width="15.9140625" style="14" customWidth="1"/>
    <col min="10" max="10" width="13.08203125" style="14" customWidth="1"/>
    <col min="11" max="11" width="12.5" style="14" customWidth="1"/>
    <col min="12" max="12" width="8.33203125" style="14" customWidth="1"/>
    <col min="13" max="14" width="4.33203125" style="14" customWidth="1"/>
    <col min="15" max="17" width="12.5" style="14" customWidth="1"/>
    <col min="18" max="18" width="30.5" style="14" customWidth="1"/>
    <col min="19" max="19" width="12.5" style="14" customWidth="1"/>
    <col min="20" max="20" width="19" style="14" customWidth="1"/>
    <col min="21" max="23" width="12.5" style="14" customWidth="1"/>
    <col min="24" max="24" width="31.5" style="14" customWidth="1"/>
    <col min="25" max="25" width="12.5" style="14" customWidth="1"/>
    <col min="26" max="26" width="11.9140625" style="14" bestFit="1" customWidth="1"/>
    <col min="27" max="27" width="13.33203125" style="14" bestFit="1" customWidth="1"/>
    <col min="28" max="28" width="10" style="14" bestFit="1" customWidth="1"/>
    <col min="29" max="31" width="10.25" style="14" customWidth="1"/>
    <col min="32" max="16384" width="12.5" style="14"/>
  </cols>
  <sheetData>
    <row r="1" spans="1:33" s="249" customFormat="1" ht="33" customHeight="1" x14ac:dyDescent="0.25">
      <c r="A1" s="247"/>
      <c r="B1" s="79" t="s">
        <v>235</v>
      </c>
      <c r="C1" s="80">
        <v>1000</v>
      </c>
      <c r="D1" s="81" t="s">
        <v>236</v>
      </c>
      <c r="E1" s="116">
        <f>T32</f>
        <v>5863.8461538461597</v>
      </c>
      <c r="F1" s="79" t="s">
        <v>237</v>
      </c>
      <c r="G1" s="248">
        <f>E1/C1</f>
        <v>5.8638461538461595</v>
      </c>
      <c r="H1" s="79" t="s">
        <v>238</v>
      </c>
      <c r="I1" s="248">
        <f>(G1/K1)</f>
        <v>5.8638461538461595</v>
      </c>
      <c r="J1" s="85" t="s">
        <v>239</v>
      </c>
      <c r="K1" s="120">
        <v>1</v>
      </c>
      <c r="L1" s="91"/>
      <c r="M1" s="214"/>
      <c r="N1" s="215"/>
      <c r="O1" s="90" t="s">
        <v>240</v>
      </c>
      <c r="P1" s="91" t="s">
        <v>293</v>
      </c>
      <c r="Q1" s="92" t="s">
        <v>242</v>
      </c>
      <c r="R1" s="91">
        <v>0.51</v>
      </c>
      <c r="S1" s="91"/>
      <c r="T1" s="91"/>
      <c r="Y1" s="90" t="s">
        <v>463</v>
      </c>
      <c r="Z1" s="835">
        <v>25410</v>
      </c>
      <c r="AA1" s="90" t="s">
        <v>578</v>
      </c>
      <c r="AB1" s="835">
        <v>0</v>
      </c>
      <c r="AC1" s="90" t="s">
        <v>567</v>
      </c>
      <c r="AD1" s="835">
        <v>170</v>
      </c>
      <c r="AF1" s="251"/>
      <c r="AG1" s="91"/>
    </row>
    <row r="2" spans="1:33" ht="12.75" customHeight="1" x14ac:dyDescent="0.3">
      <c r="A2" s="96"/>
      <c r="B2" s="1450" t="s">
        <v>299</v>
      </c>
      <c r="C2" s="1460"/>
      <c r="D2" s="1460"/>
      <c r="E2" s="1460"/>
      <c r="F2" s="1460"/>
      <c r="G2" s="1460"/>
      <c r="H2" s="1460"/>
      <c r="I2" s="1460"/>
      <c r="J2" s="1460"/>
      <c r="K2" s="1450"/>
      <c r="L2" s="97"/>
      <c r="M2" s="98"/>
      <c r="N2" s="98"/>
      <c r="O2" s="99"/>
      <c r="P2" s="99"/>
      <c r="Q2" s="99"/>
      <c r="R2" s="99"/>
      <c r="S2" s="99"/>
      <c r="T2" s="99"/>
      <c r="U2" s="99"/>
      <c r="AE2" s="1457"/>
      <c r="AF2" s="1460"/>
      <c r="AG2" s="1460"/>
    </row>
    <row r="3" spans="1:33" ht="12.75" customHeight="1" x14ac:dyDescent="0.3">
      <c r="A3" s="96"/>
      <c r="B3" s="1444"/>
      <c r="C3" s="1444"/>
      <c r="D3" s="1444"/>
      <c r="E3" s="1444"/>
      <c r="F3" s="1444"/>
      <c r="G3" s="1444"/>
      <c r="H3" s="1444"/>
      <c r="I3" s="1444"/>
      <c r="J3" s="1444"/>
      <c r="K3" s="1444"/>
      <c r="L3" s="102"/>
      <c r="M3" s="98"/>
      <c r="N3" s="98"/>
      <c r="O3" s="99"/>
      <c r="P3" s="99"/>
      <c r="Q3" s="99"/>
      <c r="R3" s="99"/>
      <c r="S3" s="99"/>
      <c r="T3" s="99"/>
      <c r="U3" s="99"/>
      <c r="AE3" s="1460"/>
      <c r="AF3" s="1460"/>
      <c r="AG3" s="1460"/>
    </row>
    <row r="4" spans="1:33" ht="70.25" customHeight="1" x14ac:dyDescent="0.25">
      <c r="A4" s="90" t="s">
        <v>1</v>
      </c>
      <c r="B4" s="90" t="s">
        <v>245</v>
      </c>
      <c r="C4" s="106" t="s">
        <v>246</v>
      </c>
      <c r="D4" s="90" t="s">
        <v>235</v>
      </c>
      <c r="E4" s="107" t="s">
        <v>238</v>
      </c>
      <c r="F4" s="107" t="s">
        <v>247</v>
      </c>
      <c r="G4" s="90" t="s">
        <v>248</v>
      </c>
      <c r="H4" s="108" t="s">
        <v>249</v>
      </c>
      <c r="I4" s="90" t="s">
        <v>250</v>
      </c>
      <c r="J4" s="90" t="s">
        <v>251</v>
      </c>
      <c r="K4" s="90" t="s">
        <v>252</v>
      </c>
      <c r="L4" s="90" t="s">
        <v>253</v>
      </c>
      <c r="M4" s="99"/>
      <c r="N4" s="99"/>
      <c r="O4" s="99"/>
      <c r="P4" s="99"/>
      <c r="Q4" s="99"/>
      <c r="R4" s="99"/>
      <c r="S4" s="99"/>
      <c r="AA4" s="250"/>
      <c r="AB4" s="252"/>
      <c r="AE4" s="250"/>
    </row>
    <row r="5" spans="1:33" ht="14.25" customHeight="1" x14ac:dyDescent="0.25">
      <c r="A5" s="112" t="s">
        <v>225</v>
      </c>
      <c r="B5" s="22" t="s">
        <v>227</v>
      </c>
      <c r="C5" s="123" t="s">
        <v>14</v>
      </c>
      <c r="D5" s="120">
        <f>I51/10</f>
        <v>6536.0784313725489</v>
      </c>
      <c r="E5" s="222">
        <f>H52</f>
        <v>5.8637288792685665</v>
      </c>
      <c r="F5" s="126">
        <v>1</v>
      </c>
      <c r="G5" s="120">
        <f t="shared" ref="G5:G27" si="0">D5*E5</f>
        <v>38325.791855203606</v>
      </c>
      <c r="H5" s="119">
        <f t="shared" ref="H5:H27" si="1">G5*F5</f>
        <v>38325.791855203606</v>
      </c>
      <c r="I5" s="80">
        <f>VLOOKUP(B5,All_Ingredients!$A$1:$F$149,6,FALSE())</f>
        <v>0.55000000000000004</v>
      </c>
      <c r="J5" s="118">
        <f>VLOOKUP(B5,All_Ingredients!$A$1:$J$149,10,FALSE())</f>
        <v>14.361111111111111</v>
      </c>
      <c r="K5" s="121">
        <f t="shared" ref="K5" si="2">(H5/I5)/1000</f>
        <v>69.683257918552002</v>
      </c>
      <c r="L5" s="121">
        <f t="shared" ref="L5" si="3">K5*J5</f>
        <v>1000.7290095525384</v>
      </c>
      <c r="M5" s="99"/>
      <c r="N5" s="99"/>
      <c r="O5" s="99"/>
      <c r="P5" s="99"/>
      <c r="Q5" s="99"/>
      <c r="R5" s="99"/>
      <c r="S5" s="99"/>
      <c r="AA5" s="91"/>
      <c r="AB5" s="132"/>
      <c r="AE5" s="135"/>
    </row>
    <row r="6" spans="1:33" ht="14.25" customHeight="1" x14ac:dyDescent="0.3">
      <c r="A6" s="254" t="s">
        <v>13</v>
      </c>
      <c r="B6" s="255" t="s">
        <v>12</v>
      </c>
      <c r="C6" s="123" t="s">
        <v>14</v>
      </c>
      <c r="D6" s="124">
        <v>150</v>
      </c>
      <c r="E6" s="222">
        <f t="shared" ref="E6:E28" si="4">$I$1</f>
        <v>5.8638461538461595</v>
      </c>
      <c r="F6" s="126">
        <v>0.95</v>
      </c>
      <c r="G6" s="120">
        <f t="shared" si="0"/>
        <v>879.57692307692389</v>
      </c>
      <c r="H6" s="119">
        <f t="shared" si="1"/>
        <v>835.59807692307766</v>
      </c>
      <c r="I6" s="80">
        <f>VLOOKUP(B6,All_Ingredients!$A$1:$F$149,6,FALSE())</f>
        <v>0.9</v>
      </c>
      <c r="J6" s="118">
        <f>VLOOKUP(B6,All_Ingredients!$A$1:$J$149,10,FALSE())</f>
        <v>3</v>
      </c>
      <c r="K6" s="121">
        <f t="shared" ref="K6:K27" si="5">(H6/I6)/1000</f>
        <v>0.92844230769230851</v>
      </c>
      <c r="L6" s="121">
        <f t="shared" ref="L6:L27" si="6">K6*J6</f>
        <v>2.7853269230769255</v>
      </c>
    </row>
    <row r="7" spans="1:33" ht="14.25" customHeight="1" x14ac:dyDescent="0.3">
      <c r="A7" s="127" t="s">
        <v>13</v>
      </c>
      <c r="B7" s="255" t="s">
        <v>32</v>
      </c>
      <c r="C7" s="123" t="s">
        <v>14</v>
      </c>
      <c r="D7" s="124">
        <v>300</v>
      </c>
      <c r="E7" s="222">
        <f t="shared" si="4"/>
        <v>5.8638461538461595</v>
      </c>
      <c r="F7" s="126">
        <v>0.95</v>
      </c>
      <c r="G7" s="120">
        <f t="shared" si="0"/>
        <v>1759.1538461538478</v>
      </c>
      <c r="H7" s="119">
        <f t="shared" si="1"/>
        <v>1671.1961538461553</v>
      </c>
      <c r="I7" s="80">
        <f>VLOOKUP(B7,All_Ingredients!$A$1:$F$149,6,FALSE())</f>
        <v>0.69</v>
      </c>
      <c r="J7" s="118">
        <f>VLOOKUP(B7,All_Ingredients!$A$1:$J$149,10,FALSE())</f>
        <v>4</v>
      </c>
      <c r="K7" s="121">
        <f t="shared" si="5"/>
        <v>2.42202341137124</v>
      </c>
      <c r="L7" s="121">
        <f t="shared" si="6"/>
        <v>9.68809364548496</v>
      </c>
    </row>
    <row r="8" spans="1:33" ht="14.25" customHeight="1" x14ac:dyDescent="0.3">
      <c r="A8" s="127" t="s">
        <v>56</v>
      </c>
      <c r="B8" s="255" t="s">
        <v>55</v>
      </c>
      <c r="C8" s="123" t="s">
        <v>14</v>
      </c>
      <c r="D8" s="124">
        <v>50</v>
      </c>
      <c r="E8" s="222">
        <f t="shared" si="4"/>
        <v>5.8638461538461595</v>
      </c>
      <c r="F8" s="126">
        <v>1</v>
      </c>
      <c r="G8" s="120">
        <f t="shared" si="0"/>
        <v>293.19230769230796</v>
      </c>
      <c r="H8" s="119">
        <f t="shared" si="1"/>
        <v>293.19230769230796</v>
      </c>
      <c r="I8" s="80">
        <f>VLOOKUP(B8,All_Ingredients!$A$1:$F$149,6,FALSE())</f>
        <v>0.87</v>
      </c>
      <c r="J8" s="118">
        <f>VLOOKUP(B8,All_Ingredients!$A$1:$J$149,10,FALSE())</f>
        <v>7</v>
      </c>
      <c r="K8" s="121">
        <f t="shared" si="5"/>
        <v>0.33700265251989425</v>
      </c>
      <c r="L8" s="121">
        <f t="shared" si="6"/>
        <v>2.3590185676392599</v>
      </c>
    </row>
    <row r="9" spans="1:33" ht="14.25" customHeight="1" x14ac:dyDescent="0.3">
      <c r="A9" s="127" t="s">
        <v>13</v>
      </c>
      <c r="B9" s="255" t="s">
        <v>762</v>
      </c>
      <c r="C9" s="123" t="s">
        <v>14</v>
      </c>
      <c r="D9" s="124">
        <v>50</v>
      </c>
      <c r="E9" s="222">
        <f t="shared" si="4"/>
        <v>5.8638461538461595</v>
      </c>
      <c r="F9" s="126">
        <v>1</v>
      </c>
      <c r="G9" s="120">
        <f t="shared" si="0"/>
        <v>293.19230769230796</v>
      </c>
      <c r="H9" s="119">
        <f t="shared" si="1"/>
        <v>293.19230769230796</v>
      </c>
      <c r="I9" s="80">
        <f>VLOOKUP(B9,All_Ingredients!$A$1:$F$149,6,FALSE())</f>
        <v>1</v>
      </c>
      <c r="J9" s="118">
        <f>VLOOKUP(B9,All_Ingredients!$A$1:$J$149,10,FALSE())</f>
        <v>10.5</v>
      </c>
      <c r="K9" s="121">
        <f t="shared" si="5"/>
        <v>0.29319230769230797</v>
      </c>
      <c r="L9" s="121">
        <f t="shared" si="6"/>
        <v>3.0785192307692339</v>
      </c>
    </row>
    <row r="10" spans="1:33" ht="14.25" customHeight="1" x14ac:dyDescent="0.3">
      <c r="A10" s="127" t="s">
        <v>192</v>
      </c>
      <c r="B10" s="255" t="s">
        <v>194</v>
      </c>
      <c r="C10" s="123" t="s">
        <v>161</v>
      </c>
      <c r="D10" s="124">
        <v>50</v>
      </c>
      <c r="E10" s="222">
        <f t="shared" si="4"/>
        <v>5.8638461538461595</v>
      </c>
      <c r="F10" s="126">
        <v>0.75</v>
      </c>
      <c r="G10" s="120">
        <f t="shared" si="0"/>
        <v>293.19230769230796</v>
      </c>
      <c r="H10" s="119">
        <f t="shared" si="1"/>
        <v>219.89423076923097</v>
      </c>
      <c r="I10" s="80">
        <f>VLOOKUP(B10,All_Ingredients!$A$1:$F$149,6,FALSE())</f>
        <v>1</v>
      </c>
      <c r="J10" s="118">
        <f>VLOOKUP(B10,All_Ingredients!$A$1:$J$149,10,FALSE())</f>
        <v>58.685446009389672</v>
      </c>
      <c r="K10" s="121">
        <f t="shared" si="5"/>
        <v>0.21989423076923098</v>
      </c>
      <c r="L10" s="121">
        <f t="shared" si="6"/>
        <v>12.904591007583978</v>
      </c>
    </row>
    <row r="11" spans="1:33" ht="14.25" customHeight="1" x14ac:dyDescent="0.3">
      <c r="A11" s="127" t="s">
        <v>192</v>
      </c>
      <c r="B11" s="255" t="s">
        <v>195</v>
      </c>
      <c r="C11" s="123" t="s">
        <v>161</v>
      </c>
      <c r="D11" s="124">
        <v>40</v>
      </c>
      <c r="E11" s="222">
        <f t="shared" si="4"/>
        <v>5.8638461538461595</v>
      </c>
      <c r="F11" s="126">
        <v>0.75</v>
      </c>
      <c r="G11" s="120">
        <f t="shared" si="0"/>
        <v>234.55384615384639</v>
      </c>
      <c r="H11" s="119">
        <f t="shared" si="1"/>
        <v>175.9153846153848</v>
      </c>
      <c r="I11" s="80">
        <f>VLOOKUP(B11,All_Ingredients!$A$1:$F$149,6,FALSE())</f>
        <v>1</v>
      </c>
      <c r="J11" s="118">
        <f>VLOOKUP(B11,All_Ingredients!$A$1:$J$149,10,FALSE())</f>
        <v>37.001287001286997</v>
      </c>
      <c r="K11" s="121">
        <f t="shared" si="5"/>
        <v>0.17591538461538481</v>
      </c>
      <c r="L11" s="121">
        <f t="shared" si="6"/>
        <v>6.5090956340956403</v>
      </c>
    </row>
    <row r="12" spans="1:33" ht="14.25" customHeight="1" x14ac:dyDescent="0.3">
      <c r="A12" s="127" t="s">
        <v>192</v>
      </c>
      <c r="B12" s="255" t="s">
        <v>198</v>
      </c>
      <c r="C12" s="123" t="s">
        <v>161</v>
      </c>
      <c r="D12" s="124">
        <v>200</v>
      </c>
      <c r="E12" s="222">
        <f t="shared" si="4"/>
        <v>5.8638461538461595</v>
      </c>
      <c r="F12" s="126">
        <v>0.95</v>
      </c>
      <c r="G12" s="120">
        <f t="shared" si="0"/>
        <v>1172.7692307692319</v>
      </c>
      <c r="H12" s="119">
        <f t="shared" si="1"/>
        <v>1114.1307692307703</v>
      </c>
      <c r="I12" s="80">
        <f>VLOOKUP(B12,All_Ingredients!$A$1:$F$149,6,FALSE())</f>
        <v>1</v>
      </c>
      <c r="J12" s="118">
        <f>VLOOKUP(B12,All_Ingredients!$A$1:$J$149,10,FALSE())</f>
        <v>14.861111111111111</v>
      </c>
      <c r="K12" s="121">
        <f t="shared" si="5"/>
        <v>1.1141307692307703</v>
      </c>
      <c r="L12" s="121">
        <f t="shared" si="6"/>
        <v>16.557221153846168</v>
      </c>
    </row>
    <row r="13" spans="1:33" ht="14.25" customHeight="1" x14ac:dyDescent="0.3">
      <c r="A13" s="127" t="s">
        <v>192</v>
      </c>
      <c r="B13" s="255" t="s">
        <v>196</v>
      </c>
      <c r="C13" s="123" t="s">
        <v>161</v>
      </c>
      <c r="D13" s="124">
        <v>50</v>
      </c>
      <c r="E13" s="222">
        <f t="shared" si="4"/>
        <v>5.8638461538461595</v>
      </c>
      <c r="F13" s="126">
        <v>0.95</v>
      </c>
      <c r="G13" s="120">
        <f t="shared" si="0"/>
        <v>293.19230769230796</v>
      </c>
      <c r="H13" s="119">
        <f t="shared" si="1"/>
        <v>278.53269230769257</v>
      </c>
      <c r="I13" s="80">
        <f>VLOOKUP(B13,All_Ingredients!$A$1:$F$149,6,FALSE())</f>
        <v>1</v>
      </c>
      <c r="J13" s="118">
        <f>VLOOKUP(B13,All_Ingredients!$A$1:$J$149,10,FALSE())</f>
        <v>22.666666666666668</v>
      </c>
      <c r="K13" s="121">
        <f t="shared" si="5"/>
        <v>0.27853269230769256</v>
      </c>
      <c r="L13" s="121">
        <f t="shared" si="6"/>
        <v>6.313407692307698</v>
      </c>
    </row>
    <row r="14" spans="1:33" ht="14.25" customHeight="1" x14ac:dyDescent="0.3">
      <c r="A14" s="127" t="s">
        <v>206</v>
      </c>
      <c r="B14" s="255" t="s">
        <v>205</v>
      </c>
      <c r="C14" s="123" t="s">
        <v>161</v>
      </c>
      <c r="D14" s="124">
        <v>15</v>
      </c>
      <c r="E14" s="222">
        <f t="shared" si="4"/>
        <v>5.8638461538461595</v>
      </c>
      <c r="F14" s="126">
        <v>1</v>
      </c>
      <c r="G14" s="120">
        <f t="shared" si="0"/>
        <v>87.957692307692398</v>
      </c>
      <c r="H14" s="119">
        <f t="shared" si="1"/>
        <v>87.957692307692398</v>
      </c>
      <c r="I14" s="80">
        <f>VLOOKUP(B14,All_Ingredients!$A$1:$F$149,6,FALSE())</f>
        <v>1</v>
      </c>
      <c r="J14" s="118">
        <f>VLOOKUP(B14,All_Ingredients!$A$1:$J$149,10,FALSE())</f>
        <v>0</v>
      </c>
      <c r="K14" s="121">
        <f t="shared" si="5"/>
        <v>8.7957692307692403E-2</v>
      </c>
      <c r="L14" s="121">
        <f t="shared" si="6"/>
        <v>0</v>
      </c>
    </row>
    <row r="15" spans="1:33" ht="14.25" customHeight="1" x14ac:dyDescent="0.3">
      <c r="A15" s="127" t="s">
        <v>95</v>
      </c>
      <c r="B15" s="255" t="s">
        <v>100</v>
      </c>
      <c r="C15" s="123" t="s">
        <v>14</v>
      </c>
      <c r="D15" s="124">
        <v>2</v>
      </c>
      <c r="E15" s="222">
        <f t="shared" si="4"/>
        <v>5.8638461538461595</v>
      </c>
      <c r="F15" s="126">
        <v>1</v>
      </c>
      <c r="G15" s="120">
        <f t="shared" si="0"/>
        <v>11.727692307692319</v>
      </c>
      <c r="H15" s="119">
        <f t="shared" si="1"/>
        <v>11.727692307692319</v>
      </c>
      <c r="I15" s="80">
        <f>VLOOKUP(B15,All_Ingredients!$A$1:$F$149,6,FALSE())</f>
        <v>1</v>
      </c>
      <c r="J15" s="118">
        <f>VLOOKUP(B15,All_Ingredients!$A$1:$J$149,10,FALSE())</f>
        <v>31</v>
      </c>
      <c r="K15" s="121">
        <f t="shared" si="5"/>
        <v>1.1727692307692319E-2</v>
      </c>
      <c r="L15" s="121">
        <f t="shared" si="6"/>
        <v>0.36355846153846189</v>
      </c>
    </row>
    <row r="16" spans="1:33" ht="14.25" customHeight="1" x14ac:dyDescent="0.3">
      <c r="A16" s="127" t="s">
        <v>188</v>
      </c>
      <c r="B16" s="255" t="s">
        <v>189</v>
      </c>
      <c r="C16" s="123" t="s">
        <v>14</v>
      </c>
      <c r="D16" s="124">
        <v>25</v>
      </c>
      <c r="E16" s="222">
        <f t="shared" si="4"/>
        <v>5.8638461538461595</v>
      </c>
      <c r="F16" s="126">
        <v>0.75</v>
      </c>
      <c r="G16" s="120">
        <f t="shared" si="0"/>
        <v>146.59615384615398</v>
      </c>
      <c r="H16" s="119">
        <f t="shared" si="1"/>
        <v>109.94711538461549</v>
      </c>
      <c r="I16" s="80">
        <f>VLOOKUP(B16,All_Ingredients!$A$1:$F$149,6,FALSE())</f>
        <v>0.9</v>
      </c>
      <c r="J16" s="118">
        <f>VLOOKUP(B16,All_Ingredients!$A$1:$J$149,10,FALSE())</f>
        <v>2.3199999999999998</v>
      </c>
      <c r="K16" s="121">
        <f t="shared" si="5"/>
        <v>0.12216346153846165</v>
      </c>
      <c r="L16" s="121">
        <f t="shared" si="6"/>
        <v>0.28341923076923103</v>
      </c>
    </row>
    <row r="17" spans="1:31" ht="14.25" customHeight="1" x14ac:dyDescent="0.3">
      <c r="A17" s="127" t="s">
        <v>182</v>
      </c>
      <c r="B17" s="255" t="s">
        <v>181</v>
      </c>
      <c r="C17" s="123" t="s">
        <v>14</v>
      </c>
      <c r="D17" s="124">
        <v>15</v>
      </c>
      <c r="E17" s="222">
        <f t="shared" si="4"/>
        <v>5.8638461538461595</v>
      </c>
      <c r="F17" s="126">
        <v>1</v>
      </c>
      <c r="G17" s="120">
        <f t="shared" si="0"/>
        <v>87.957692307692398</v>
      </c>
      <c r="H17" s="119">
        <f t="shared" si="1"/>
        <v>87.957692307692398</v>
      </c>
      <c r="I17" s="80">
        <f>VLOOKUP(B17,All_Ingredients!$A$1:$F$149,6,FALSE())</f>
        <v>1</v>
      </c>
      <c r="J17" s="118">
        <f>VLOOKUP(B17,All_Ingredients!$A$1:$J$149,10,FALSE())</f>
        <v>2.7</v>
      </c>
      <c r="K17" s="121">
        <f t="shared" si="5"/>
        <v>8.7957692307692403E-2</v>
      </c>
      <c r="L17" s="121">
        <f t="shared" si="6"/>
        <v>0.2374857692307695</v>
      </c>
    </row>
    <row r="18" spans="1:31" ht="14.25" customHeight="1" x14ac:dyDescent="0.3">
      <c r="A18" s="127" t="s">
        <v>95</v>
      </c>
      <c r="B18" s="255" t="s">
        <v>94</v>
      </c>
      <c r="C18" s="123" t="s">
        <v>14</v>
      </c>
      <c r="D18" s="124">
        <v>3</v>
      </c>
      <c r="E18" s="222">
        <f t="shared" si="4"/>
        <v>5.8638461538461595</v>
      </c>
      <c r="F18" s="126">
        <v>1</v>
      </c>
      <c r="G18" s="120">
        <f t="shared" si="0"/>
        <v>17.591538461538477</v>
      </c>
      <c r="H18" s="119">
        <f t="shared" si="1"/>
        <v>17.591538461538477</v>
      </c>
      <c r="I18" s="80">
        <f>VLOOKUP(B18,All_Ingredients!$A$1:$F$149,6,FALSE())</f>
        <v>1</v>
      </c>
      <c r="J18" s="118">
        <f>VLOOKUP(B18,All_Ingredients!$A$1:$J$149,10,FALSE())</f>
        <v>0.74</v>
      </c>
      <c r="K18" s="121">
        <f t="shared" si="5"/>
        <v>1.7591538461538478E-2</v>
      </c>
      <c r="L18" s="121">
        <f t="shared" si="6"/>
        <v>1.3017738461538473E-2</v>
      </c>
    </row>
    <row r="19" spans="1:31" ht="14.25" customHeight="1" x14ac:dyDescent="0.3">
      <c r="A19" s="127" t="s">
        <v>154</v>
      </c>
      <c r="B19" s="255" t="s">
        <v>153</v>
      </c>
      <c r="C19" s="123" t="s">
        <v>14</v>
      </c>
      <c r="D19" s="124">
        <v>30</v>
      </c>
      <c r="E19" s="222">
        <f t="shared" si="4"/>
        <v>5.8638461538461595</v>
      </c>
      <c r="F19" s="126">
        <v>1</v>
      </c>
      <c r="G19" s="120">
        <f t="shared" si="0"/>
        <v>175.9153846153848</v>
      </c>
      <c r="H19" s="119">
        <f t="shared" si="1"/>
        <v>175.9153846153848</v>
      </c>
      <c r="I19" s="80">
        <f>VLOOKUP(B19,All_Ingredients!$A$1:$F$149,6,FALSE())</f>
        <v>1</v>
      </c>
      <c r="J19" s="118">
        <f>VLOOKUP(B19,All_Ingredients!$A$1:$J$149,10,FALSE())</f>
        <v>30</v>
      </c>
      <c r="K19" s="121">
        <f t="shared" si="5"/>
        <v>0.17591538461538481</v>
      </c>
      <c r="L19" s="121">
        <f t="shared" si="6"/>
        <v>5.2774615384615444</v>
      </c>
    </row>
    <row r="20" spans="1:31" ht="14.25" customHeight="1" x14ac:dyDescent="0.3">
      <c r="A20" s="127" t="s">
        <v>95</v>
      </c>
      <c r="B20" s="255" t="s">
        <v>98</v>
      </c>
      <c r="C20" s="123" t="s">
        <v>14</v>
      </c>
      <c r="D20" s="124">
        <v>2</v>
      </c>
      <c r="E20" s="222">
        <f t="shared" si="4"/>
        <v>5.8638461538461595</v>
      </c>
      <c r="F20" s="126">
        <v>1</v>
      </c>
      <c r="G20" s="120">
        <f t="shared" si="0"/>
        <v>11.727692307692319</v>
      </c>
      <c r="H20" s="119">
        <f t="shared" si="1"/>
        <v>11.727692307692319</v>
      </c>
      <c r="I20" s="80">
        <f>VLOOKUP(B20,All_Ingredients!$A$1:$F$149,6,FALSE())</f>
        <v>1</v>
      </c>
      <c r="J20" s="118">
        <f>VLOOKUP(B20,All_Ingredients!$A$1:$J$149,10,FALSE())</f>
        <v>38</v>
      </c>
      <c r="K20" s="121">
        <f t="shared" si="5"/>
        <v>1.1727692307692319E-2</v>
      </c>
      <c r="L20" s="121">
        <f t="shared" si="6"/>
        <v>0.44565230769230813</v>
      </c>
    </row>
    <row r="21" spans="1:31" ht="14.25" customHeight="1" x14ac:dyDescent="0.3">
      <c r="A21" s="127" t="s">
        <v>95</v>
      </c>
      <c r="B21" s="255" t="s">
        <v>104</v>
      </c>
      <c r="C21" s="123" t="s">
        <v>14</v>
      </c>
      <c r="D21" s="124">
        <v>2</v>
      </c>
      <c r="E21" s="222">
        <f t="shared" si="4"/>
        <v>5.8638461538461595</v>
      </c>
      <c r="F21" s="126">
        <v>1</v>
      </c>
      <c r="G21" s="120">
        <f t="shared" si="0"/>
        <v>11.727692307692319</v>
      </c>
      <c r="H21" s="119">
        <f t="shared" si="1"/>
        <v>11.727692307692319</v>
      </c>
      <c r="I21" s="80">
        <f>VLOOKUP(B21,All_Ingredients!$A$1:$F$149,6,FALSE())</f>
        <v>1</v>
      </c>
      <c r="J21" s="118">
        <f>VLOOKUP(B21,All_Ingredients!$A$1:$J$149,10,FALSE())</f>
        <v>19</v>
      </c>
      <c r="K21" s="121">
        <f t="shared" si="5"/>
        <v>1.1727692307692319E-2</v>
      </c>
      <c r="L21" s="121">
        <f t="shared" si="6"/>
        <v>0.22282615384615406</v>
      </c>
    </row>
    <row r="22" spans="1:31" ht="14.25" customHeight="1" x14ac:dyDescent="0.3">
      <c r="A22" s="127" t="s">
        <v>95</v>
      </c>
      <c r="B22" s="255" t="s">
        <v>125</v>
      </c>
      <c r="C22" s="123" t="s">
        <v>14</v>
      </c>
      <c r="D22" s="124">
        <v>2</v>
      </c>
      <c r="E22" s="222">
        <f t="shared" si="4"/>
        <v>5.8638461538461595</v>
      </c>
      <c r="F22" s="126">
        <v>1</v>
      </c>
      <c r="G22" s="120">
        <f t="shared" si="0"/>
        <v>11.727692307692319</v>
      </c>
      <c r="H22" s="119">
        <f t="shared" si="1"/>
        <v>11.727692307692319</v>
      </c>
      <c r="I22" s="80">
        <f>VLOOKUP(B22,All_Ingredients!$A$1:$F$149,6,FALSE())</f>
        <v>1</v>
      </c>
      <c r="J22" s="118">
        <f>VLOOKUP(B22,All_Ingredients!$A$1:$J$149,10,FALSE())</f>
        <v>37</v>
      </c>
      <c r="K22" s="121">
        <f t="shared" si="5"/>
        <v>1.1727692307692319E-2</v>
      </c>
      <c r="L22" s="121">
        <f t="shared" si="6"/>
        <v>0.4339246153846158</v>
      </c>
      <c r="U22"/>
    </row>
    <row r="23" spans="1:31" ht="14.25" customHeight="1" x14ac:dyDescent="0.3">
      <c r="A23" s="127" t="s">
        <v>95</v>
      </c>
      <c r="B23" s="255" t="s">
        <v>121</v>
      </c>
      <c r="C23" s="123" t="s">
        <v>14</v>
      </c>
      <c r="D23" s="124">
        <v>2</v>
      </c>
      <c r="E23" s="222">
        <f t="shared" si="4"/>
        <v>5.8638461538461595</v>
      </c>
      <c r="F23" s="126">
        <v>1</v>
      </c>
      <c r="G23" s="120">
        <f t="shared" si="0"/>
        <v>11.727692307692319</v>
      </c>
      <c r="H23" s="119">
        <f t="shared" si="1"/>
        <v>11.727692307692319</v>
      </c>
      <c r="I23" s="80">
        <f>VLOOKUP(B23,All_Ingredients!$A$1:$F$149,6,FALSE())</f>
        <v>1</v>
      </c>
      <c r="J23" s="118">
        <f>VLOOKUP(B23,All_Ingredients!$A$1:$J$149,10,FALSE())</f>
        <v>15</v>
      </c>
      <c r="K23" s="121">
        <f t="shared" si="5"/>
        <v>1.1727692307692319E-2</v>
      </c>
      <c r="L23" s="121">
        <f t="shared" si="6"/>
        <v>0.17591538461538478</v>
      </c>
    </row>
    <row r="24" spans="1:31" ht="14.25" customHeight="1" x14ac:dyDescent="0.3">
      <c r="A24" s="127" t="s">
        <v>95</v>
      </c>
      <c r="B24" s="255" t="s">
        <v>127</v>
      </c>
      <c r="C24" s="123" t="s">
        <v>14</v>
      </c>
      <c r="D24" s="124">
        <v>2</v>
      </c>
      <c r="E24" s="222">
        <f t="shared" si="4"/>
        <v>5.8638461538461595</v>
      </c>
      <c r="F24" s="126">
        <v>1</v>
      </c>
      <c r="G24" s="120">
        <f t="shared" si="0"/>
        <v>11.727692307692319</v>
      </c>
      <c r="H24" s="119">
        <f t="shared" si="1"/>
        <v>11.727692307692319</v>
      </c>
      <c r="I24" s="80">
        <f>VLOOKUP(B24,All_Ingredients!$A$1:$F$149,6,FALSE())</f>
        <v>1</v>
      </c>
      <c r="J24" s="118">
        <f>VLOOKUP(B24,All_Ingredients!$A$1:$J$149,10,FALSE())</f>
        <v>125</v>
      </c>
      <c r="K24" s="121">
        <f t="shared" si="5"/>
        <v>1.1727692307692319E-2</v>
      </c>
      <c r="L24" s="121">
        <f t="shared" si="6"/>
        <v>1.4659615384615399</v>
      </c>
      <c r="Z24" s="1208"/>
    </row>
    <row r="25" spans="1:31" ht="14.25" customHeight="1" x14ac:dyDescent="0.35">
      <c r="A25" s="127" t="s">
        <v>95</v>
      </c>
      <c r="B25" s="255" t="s">
        <v>130</v>
      </c>
      <c r="C25" s="123" t="s">
        <v>14</v>
      </c>
      <c r="D25" s="124">
        <v>1</v>
      </c>
      <c r="E25" s="222">
        <f t="shared" si="4"/>
        <v>5.8638461538461595</v>
      </c>
      <c r="F25" s="126">
        <v>1</v>
      </c>
      <c r="G25" s="120">
        <f t="shared" si="0"/>
        <v>5.8638461538461595</v>
      </c>
      <c r="H25" s="119">
        <f t="shared" si="1"/>
        <v>5.8638461538461595</v>
      </c>
      <c r="I25" s="80">
        <f>VLOOKUP(B25,All_Ingredients!$A$1:$F$149,6,FALSE())</f>
        <v>1</v>
      </c>
      <c r="J25" s="118">
        <f>VLOOKUP(B25,All_Ingredients!$A$1:$J$149,10,FALSE())</f>
        <v>31.5</v>
      </c>
      <c r="K25" s="121">
        <f t="shared" si="5"/>
        <v>5.8638461538461596E-3</v>
      </c>
      <c r="L25" s="121">
        <f t="shared" si="6"/>
        <v>0.18471115384615402</v>
      </c>
      <c r="R25" s="1440" t="s">
        <v>300</v>
      </c>
      <c r="S25" s="1444"/>
      <c r="T25" s="1444"/>
      <c r="U25" s="1444"/>
      <c r="Z25" s="140" t="s">
        <v>256</v>
      </c>
      <c r="AA25" s="1207">
        <v>1</v>
      </c>
      <c r="AB25" s="140" t="s">
        <v>253</v>
      </c>
      <c r="AC25" s="1210">
        <f>AE30*AA25</f>
        <v>4.2110516225881543E-2</v>
      </c>
    </row>
    <row r="26" spans="1:31" ht="14.25" customHeight="1" x14ac:dyDescent="0.3">
      <c r="A26" s="127" t="s">
        <v>95</v>
      </c>
      <c r="B26" s="255" t="s">
        <v>94</v>
      </c>
      <c r="C26" s="123" t="s">
        <v>14</v>
      </c>
      <c r="D26" s="124">
        <v>5</v>
      </c>
      <c r="E26" s="222">
        <f t="shared" si="4"/>
        <v>5.8638461538461595</v>
      </c>
      <c r="F26" s="126">
        <v>1</v>
      </c>
      <c r="G26" s="120">
        <f t="shared" si="0"/>
        <v>29.319230769230799</v>
      </c>
      <c r="H26" s="119">
        <f t="shared" si="1"/>
        <v>29.319230769230799</v>
      </c>
      <c r="I26" s="80">
        <f>VLOOKUP(B26,All_Ingredients!$A$1:$F$149,6,FALSE())</f>
        <v>1</v>
      </c>
      <c r="J26" s="118">
        <f>VLOOKUP(B26,All_Ingredients!$A$1:$J$149,10,FALSE())</f>
        <v>0.74</v>
      </c>
      <c r="K26" s="121">
        <f t="shared" si="5"/>
        <v>2.9319230769230799E-2</v>
      </c>
      <c r="L26" s="121">
        <f t="shared" si="6"/>
        <v>2.1696230769230791E-2</v>
      </c>
      <c r="R26" s="1445" t="s">
        <v>301</v>
      </c>
      <c r="S26" s="1446"/>
      <c r="T26" s="1446"/>
      <c r="U26" s="1446"/>
      <c r="V26"/>
    </row>
    <row r="27" spans="1:31" ht="14.25" customHeight="1" thickBot="1" x14ac:dyDescent="0.35">
      <c r="A27" s="127" t="s">
        <v>13</v>
      </c>
      <c r="B27" s="255" t="s">
        <v>762</v>
      </c>
      <c r="C27" s="123" t="s">
        <v>14</v>
      </c>
      <c r="D27" s="124">
        <v>5</v>
      </c>
      <c r="E27" s="222">
        <f t="shared" si="4"/>
        <v>5.8638461538461595</v>
      </c>
      <c r="F27" s="126">
        <v>1</v>
      </c>
      <c r="G27" s="120">
        <f t="shared" si="0"/>
        <v>29.319230769230799</v>
      </c>
      <c r="H27" s="119">
        <f t="shared" si="1"/>
        <v>29.319230769230799</v>
      </c>
      <c r="I27" s="80">
        <f>VLOOKUP(B27,All_Ingredients!$A$1:$F$149,6,FALSE())</f>
        <v>1</v>
      </c>
      <c r="J27" s="118">
        <f>VLOOKUP(B27,All_Ingredients!$A$1:$J$149,10,FALSE())</f>
        <v>10.5</v>
      </c>
      <c r="K27" s="121">
        <f t="shared" si="5"/>
        <v>2.9319230769230799E-2</v>
      </c>
      <c r="L27" s="121">
        <f t="shared" si="6"/>
        <v>0.30785192307692338</v>
      </c>
      <c r="R27" s="144" t="s">
        <v>258</v>
      </c>
      <c r="S27" s="145" t="s">
        <v>302</v>
      </c>
      <c r="T27" s="145" t="s">
        <v>260</v>
      </c>
      <c r="U27" s="145" t="s">
        <v>261</v>
      </c>
      <c r="V27" s="145" t="s">
        <v>817</v>
      </c>
      <c r="Z27" s="140" t="s">
        <v>262</v>
      </c>
      <c r="AA27" s="146" t="s">
        <v>263</v>
      </c>
      <c r="AB27" s="146" t="s">
        <v>264</v>
      </c>
      <c r="AC27" s="146" t="s">
        <v>265</v>
      </c>
      <c r="AD27" s="1167" t="s">
        <v>817</v>
      </c>
      <c r="AE27" s="146" t="s">
        <v>266</v>
      </c>
    </row>
    <row r="28" spans="1:31" ht="14.25" customHeight="1" thickBot="1" x14ac:dyDescent="0.35">
      <c r="B28" s="219" t="s">
        <v>209</v>
      </c>
      <c r="C28" s="123" t="s">
        <v>161</v>
      </c>
      <c r="D28" s="1130">
        <v>300</v>
      </c>
      <c r="E28" s="222">
        <f t="shared" si="4"/>
        <v>5.8638461538461595</v>
      </c>
      <c r="F28" s="126">
        <v>1</v>
      </c>
      <c r="G28" s="120">
        <f t="shared" ref="G28" si="7">D28*E28</f>
        <v>1759.1538461538478</v>
      </c>
      <c r="H28" s="119">
        <f t="shared" ref="H28" si="8">G28*F28</f>
        <v>1759.1538461538478</v>
      </c>
      <c r="I28" s="80">
        <f>VLOOKUP(B28,All_Ingredients!$A$1:$F$149,6,FALSE())</f>
        <v>1</v>
      </c>
      <c r="J28" s="118">
        <f>VLOOKUP(B28,All_Ingredients!$A$1:$J$149,10,FALSE())</f>
        <v>0</v>
      </c>
      <c r="K28" s="121">
        <f t="shared" ref="K28" si="9">(H28/I28)/1000</f>
        <v>1.7591538461538478</v>
      </c>
      <c r="L28" s="121">
        <f t="shared" ref="L28" si="10">K28*J28</f>
        <v>0</v>
      </c>
      <c r="R28" s="147" t="s">
        <v>267</v>
      </c>
      <c r="S28" s="1371">
        <f>U28*S40</f>
        <v>19546.15384615384</v>
      </c>
      <c r="T28" s="1371">
        <f>U28*U40</f>
        <v>5863.8461538461597</v>
      </c>
      <c r="U28" s="1342">
        <f>$Z$1</f>
        <v>25410</v>
      </c>
      <c r="V28" s="148">
        <f>G37</f>
        <v>0</v>
      </c>
      <c r="Z28" s="150"/>
      <c r="AA28" s="151">
        <f>AA25*$S$40</f>
        <v>0.76923076923076905</v>
      </c>
      <c r="AB28" s="151">
        <f>AA25*U40</f>
        <v>0.230769230769231</v>
      </c>
      <c r="AC28" s="152"/>
      <c r="AD28" s="1169"/>
      <c r="AE28" s="153">
        <f>SUM(AA28:AC28)</f>
        <v>1</v>
      </c>
    </row>
    <row r="29" spans="1:31" ht="14.25" customHeight="1" thickBot="1" x14ac:dyDescent="0.35">
      <c r="R29" s="147" t="s">
        <v>268</v>
      </c>
      <c r="S29" s="1374"/>
      <c r="T29" s="754"/>
      <c r="U29" s="1371">
        <f>T29</f>
        <v>0</v>
      </c>
      <c r="V29" s="148"/>
      <c r="Z29" s="150"/>
      <c r="AA29" s="1202">
        <f>AA28/$AE$28</f>
        <v>0.76923076923076905</v>
      </c>
      <c r="AB29" s="1202">
        <f>AB28/$AE$28</f>
        <v>0.230769230769231</v>
      </c>
      <c r="AC29" s="155"/>
      <c r="AD29" s="1173"/>
      <c r="AE29" s="155">
        <f>AE28/$AE$28</f>
        <v>1</v>
      </c>
    </row>
    <row r="30" spans="1:31" ht="14.25" customHeight="1" thickBot="1" x14ac:dyDescent="0.35">
      <c r="R30" s="147" t="s">
        <v>269</v>
      </c>
      <c r="S30" s="1370">
        <f>U30*S40</f>
        <v>0</v>
      </c>
      <c r="T30" s="1371">
        <f>U30*U40</f>
        <v>0</v>
      </c>
      <c r="U30" s="1384">
        <f>$AB$1</f>
        <v>0</v>
      </c>
      <c r="V30" s="1124"/>
      <c r="Z30" s="140" t="s">
        <v>270</v>
      </c>
      <c r="AA30" s="156">
        <f>S35/(S32)</f>
        <v>5.1198257080610009E-2</v>
      </c>
      <c r="AB30" s="157">
        <f>T35/T32</f>
        <v>1.1818046710120024E-2</v>
      </c>
      <c r="AC30" s="157"/>
      <c r="AD30" s="1179">
        <f>V35/U32</f>
        <v>3.2422123331214235E-5</v>
      </c>
      <c r="AE30" s="1129">
        <f>SUMPRODUCT(AA30:AC30,AA29:AC29)</f>
        <v>4.2110516225881543E-2</v>
      </c>
    </row>
    <row r="31" spans="1:31" ht="14.25" customHeight="1" thickBot="1" x14ac:dyDescent="0.35">
      <c r="R31" s="147" t="s">
        <v>271</v>
      </c>
      <c r="S31" s="154"/>
      <c r="T31" s="148"/>
      <c r="U31" s="148"/>
      <c r="V31" s="148"/>
    </row>
    <row r="32" spans="1:31" ht="14.25" customHeight="1" thickBot="1" x14ac:dyDescent="0.35">
      <c r="R32" s="159" t="s">
        <v>261</v>
      </c>
      <c r="S32" s="148">
        <f>SUM(S28:S30)</f>
        <v>19546.15384615384</v>
      </c>
      <c r="T32" s="148">
        <f>SUM(T28:T30)</f>
        <v>5863.8461538461597</v>
      </c>
      <c r="U32" s="148">
        <f>SUM(U28:U30)</f>
        <v>25410</v>
      </c>
      <c r="V32" s="148">
        <f>SUM(V28:V30)</f>
        <v>0</v>
      </c>
    </row>
    <row r="33" spans="2:24" ht="14.25" customHeight="1" thickBot="1" x14ac:dyDescent="0.35">
      <c r="R33" s="160" t="s">
        <v>272</v>
      </c>
      <c r="S33" s="154"/>
      <c r="T33" s="154"/>
      <c r="U33" s="154"/>
      <c r="V33" s="154"/>
    </row>
    <row r="34" spans="2:24" ht="14.25" customHeight="1" thickBot="1" x14ac:dyDescent="0.35">
      <c r="R34" s="161" t="s">
        <v>273</v>
      </c>
      <c r="S34" s="154"/>
      <c r="T34" s="148"/>
      <c r="U34" s="154"/>
      <c r="V34" s="154"/>
    </row>
    <row r="35" spans="2:24" ht="20.25" customHeight="1" thickBot="1" x14ac:dyDescent="0.35">
      <c r="B35" s="1453" t="s">
        <v>656</v>
      </c>
      <c r="C35" s="1454"/>
      <c r="D35" s="1454"/>
      <c r="E35" s="1454"/>
      <c r="F35" s="1455"/>
      <c r="G35" s="877"/>
      <c r="H35" s="877"/>
      <c r="I35" s="877"/>
      <c r="J35" s="877"/>
      <c r="K35" s="877"/>
      <c r="L35" s="877"/>
      <c r="R35" s="162" t="s">
        <v>253</v>
      </c>
      <c r="S35" s="163">
        <f>$L$5</f>
        <v>1000.7290095525384</v>
      </c>
      <c r="T35" s="163">
        <f>SUM(L6:L25)</f>
        <v>69.299207747111566</v>
      </c>
      <c r="U35" s="1212">
        <f>S35+T35</f>
        <v>1070.0282172996499</v>
      </c>
      <c r="V35" s="1184">
        <f>SUM(L37)</f>
        <v>0.82384615384615378</v>
      </c>
    </row>
    <row r="36" spans="2:24" ht="24" customHeight="1" x14ac:dyDescent="0.3">
      <c r="B36" s="848" t="s">
        <v>245</v>
      </c>
      <c r="C36" s="848" t="s">
        <v>321</v>
      </c>
      <c r="D36" s="850" t="s">
        <v>645</v>
      </c>
      <c r="E36" s="847" t="s">
        <v>646</v>
      </c>
      <c r="F36" s="850" t="s">
        <v>647</v>
      </c>
      <c r="G36" s="870"/>
      <c r="H36" s="850" t="s">
        <v>647</v>
      </c>
      <c r="I36" s="850" t="s">
        <v>250</v>
      </c>
      <c r="J36" s="850" t="s">
        <v>251</v>
      </c>
      <c r="K36" s="850" t="s">
        <v>252</v>
      </c>
      <c r="L36" s="850" t="s">
        <v>253</v>
      </c>
    </row>
    <row r="37" spans="2:24" x14ac:dyDescent="0.3">
      <c r="B37" s="843" t="s">
        <v>716</v>
      </c>
      <c r="C37" s="844" t="s">
        <v>14</v>
      </c>
      <c r="D37" s="845">
        <v>7.0000000000000007E-2</v>
      </c>
      <c r="E37" s="843">
        <f>$AD$1</f>
        <v>170</v>
      </c>
      <c r="F37" s="843">
        <f>D37*E37</f>
        <v>11.9</v>
      </c>
      <c r="G37" s="869"/>
      <c r="H37" s="843">
        <f>F37</f>
        <v>11.9</v>
      </c>
      <c r="I37" s="843">
        <f>VLOOKUP(B37,All_Ingredients!$A$1:$F$149,6,FALSE())</f>
        <v>0.65</v>
      </c>
      <c r="J37" s="843">
        <f>VLOOKUP(B37,All_Ingredients!$A$1:$J$149,10,FALSE())</f>
        <v>45</v>
      </c>
      <c r="K37" s="843">
        <f>(H37/I37)/1000</f>
        <v>1.8307692307692306E-2</v>
      </c>
      <c r="L37" s="843">
        <f t="shared" ref="L37" si="11">K37*J37</f>
        <v>0.82384615384615378</v>
      </c>
      <c r="S37" s="256"/>
    </row>
    <row r="38" spans="2:24" x14ac:dyDescent="0.3">
      <c r="B38" s="843" t="s">
        <v>111</v>
      </c>
      <c r="C38" s="844" t="s">
        <v>14</v>
      </c>
      <c r="D38" s="845">
        <v>0.05</v>
      </c>
      <c r="E38" s="843">
        <f>$AD$1</f>
        <v>170</v>
      </c>
      <c r="F38" s="843">
        <f>D38*E38</f>
        <v>8.5</v>
      </c>
      <c r="G38" s="869"/>
      <c r="H38" s="843">
        <f>F38</f>
        <v>8.5</v>
      </c>
      <c r="I38" s="843">
        <f>VLOOKUP(B38,All_Ingredients!$A$1:$F$149,6,FALSE())</f>
        <v>1</v>
      </c>
      <c r="J38" s="843">
        <f>VLOOKUP(B38,All_Ingredients!$A$1:$J$149,10,FALSE())</f>
        <v>64.243759177679877</v>
      </c>
      <c r="K38" s="843">
        <f>(H38/I38)/1000</f>
        <v>8.5000000000000006E-3</v>
      </c>
      <c r="L38" s="843">
        <f t="shared" ref="L38" si="12">K38*J38</f>
        <v>0.546071953010279</v>
      </c>
    </row>
    <row r="40" spans="2:24" ht="16.5" customHeight="1" x14ac:dyDescent="0.3">
      <c r="B40" s="370"/>
      <c r="C40" s="347"/>
      <c r="D40" s="263"/>
      <c r="E40" s="370"/>
      <c r="F40" s="370"/>
      <c r="G40" s="263"/>
      <c r="H40" s="55"/>
      <c r="R40" s="164" t="s">
        <v>274</v>
      </c>
      <c r="S40" s="165">
        <v>0.76923076923076905</v>
      </c>
      <c r="T40" s="164" t="s">
        <v>275</v>
      </c>
      <c r="U40" s="166">
        <v>0.230769230769231</v>
      </c>
      <c r="V40" s="167">
        <f>S40+U40</f>
        <v>1</v>
      </c>
    </row>
    <row r="41" spans="2:24" ht="14.25" customHeight="1" x14ac:dyDescent="0.3">
      <c r="U41" s="168"/>
    </row>
    <row r="43" spans="2:24" ht="14.25" customHeight="1" x14ac:dyDescent="0.3">
      <c r="Q43" s="169" t="s">
        <v>276</v>
      </c>
      <c r="R43" s="169" t="s">
        <v>277</v>
      </c>
      <c r="S43" s="169" t="s">
        <v>278</v>
      </c>
      <c r="T43" s="169" t="s">
        <v>279</v>
      </c>
      <c r="U43" s="169" t="s">
        <v>280</v>
      </c>
      <c r="V43" s="169" t="s">
        <v>281</v>
      </c>
      <c r="W43" s="257" t="s">
        <v>282</v>
      </c>
      <c r="X43" s="258"/>
    </row>
    <row r="44" spans="2:24" ht="14.25" customHeight="1" x14ac:dyDescent="0.3">
      <c r="Q44" s="171">
        <v>43334</v>
      </c>
      <c r="R44" s="172">
        <f>D51</f>
        <v>10000</v>
      </c>
      <c r="S44" s="173">
        <v>1</v>
      </c>
      <c r="T44" s="173">
        <v>0</v>
      </c>
      <c r="U44" s="241">
        <f>R44*S44</f>
        <v>10000</v>
      </c>
      <c r="V44" s="175">
        <f>R44*T44</f>
        <v>0</v>
      </c>
      <c r="W44" s="259">
        <f>Q44-U44</f>
        <v>33334</v>
      </c>
      <c r="X44" s="260"/>
    </row>
    <row r="50" spans="1:10" x14ac:dyDescent="0.3">
      <c r="B50" s="144"/>
      <c r="C50" s="144" t="s">
        <v>237</v>
      </c>
      <c r="D50" s="144" t="s">
        <v>283</v>
      </c>
      <c r="E50" s="99"/>
      <c r="F50" s="99"/>
      <c r="G50" s="144" t="s">
        <v>284</v>
      </c>
      <c r="H50" s="144" t="s">
        <v>237</v>
      </c>
      <c r="I50" s="144" t="s">
        <v>285</v>
      </c>
      <c r="J50" s="144" t="s">
        <v>286</v>
      </c>
    </row>
    <row r="51" spans="1:10" x14ac:dyDescent="0.3">
      <c r="B51" s="179" t="s">
        <v>287</v>
      </c>
      <c r="C51" s="180">
        <f>10/$K$1</f>
        <v>10</v>
      </c>
      <c r="D51" s="181">
        <f>$C$1*10</f>
        <v>10000</v>
      </c>
      <c r="E51" s="182"/>
      <c r="F51" s="99"/>
      <c r="G51" s="179" t="s">
        <v>287</v>
      </c>
      <c r="H51" s="180">
        <f>I51/$D$5</f>
        <v>10</v>
      </c>
      <c r="I51" s="180">
        <f>J51/$R$1</f>
        <v>65360.784313725489</v>
      </c>
      <c r="J51" s="180">
        <f>$W$44</f>
        <v>33334</v>
      </c>
    </row>
    <row r="52" spans="1:10" x14ac:dyDescent="0.3">
      <c r="B52" s="230" t="s">
        <v>266</v>
      </c>
      <c r="C52" s="231">
        <f>$I$1</f>
        <v>5.8638461538461595</v>
      </c>
      <c r="D52" s="232">
        <f>$E$1</f>
        <v>5863.8461538461597</v>
      </c>
      <c r="E52" s="182"/>
      <c r="F52" s="99"/>
      <c r="G52" s="147" t="s">
        <v>266</v>
      </c>
      <c r="H52" s="175">
        <f>I52/$D$5</f>
        <v>5.8637288792685665</v>
      </c>
      <c r="I52" s="175">
        <f>J52/$R$1</f>
        <v>38325.791855203606</v>
      </c>
      <c r="J52" s="183">
        <f>$S$32</f>
        <v>19546.15384615384</v>
      </c>
    </row>
    <row r="53" spans="1:10" x14ac:dyDescent="0.3">
      <c r="B53" s="230" t="s">
        <v>288</v>
      </c>
      <c r="C53" s="233">
        <f>MIN($C$52, $C$51)</f>
        <v>5.8638461538461595</v>
      </c>
      <c r="D53" s="232">
        <f>(C53*$K$1)*$C$1</f>
        <v>5863.8461538461597</v>
      </c>
      <c r="E53" s="99"/>
      <c r="F53" s="99"/>
      <c r="G53" s="147" t="s">
        <v>288</v>
      </c>
      <c r="H53" s="186">
        <f>MIN(H52,H51)</f>
        <v>5.8637288792685665</v>
      </c>
      <c r="I53" s="175">
        <f>J53/$R$1</f>
        <v>38325.791855203606</v>
      </c>
      <c r="J53" s="175">
        <f>MIN(J52,J51)</f>
        <v>19546.15384615384</v>
      </c>
    </row>
    <row r="54" spans="1:10" x14ac:dyDescent="0.3">
      <c r="B54" s="230" t="s">
        <v>289</v>
      </c>
      <c r="C54" s="233">
        <f>MIN(MAX($C$53-C52-C53,0),C51)</f>
        <v>0</v>
      </c>
      <c r="D54" s="232">
        <f>(C54*$K$1)*$C$1</f>
        <v>0</v>
      </c>
      <c r="E54" s="99"/>
      <c r="F54" s="99"/>
      <c r="G54" s="147" t="s">
        <v>289</v>
      </c>
      <c r="H54" s="186">
        <f>MIN(MAX(H52-H53),H51)</f>
        <v>0</v>
      </c>
      <c r="I54" s="175">
        <f>J54/$R$1</f>
        <v>0</v>
      </c>
      <c r="J54" s="175">
        <f>MIN(MAX(J52-J53),J51)</f>
        <v>0</v>
      </c>
    </row>
    <row r="55" spans="1:10" x14ac:dyDescent="0.3">
      <c r="B55" s="230" t="s">
        <v>290</v>
      </c>
      <c r="C55" s="233">
        <f>MIN(MAX($C$52-C53-C54,0),C51)</f>
        <v>0</v>
      </c>
      <c r="D55" s="232">
        <f>(C55*$K$1)*$C$1</f>
        <v>0</v>
      </c>
      <c r="E55" s="99"/>
      <c r="F55" s="99"/>
      <c r="G55" s="144" t="s">
        <v>290</v>
      </c>
      <c r="H55" s="186">
        <f>MIN(MAX(H52-H53-H54),H51)</f>
        <v>0</v>
      </c>
      <c r="I55" s="175">
        <f>J55/$R$1</f>
        <v>0</v>
      </c>
      <c r="J55" s="175">
        <f>MIN(MAX(J52-J53-J54),J51)</f>
        <v>0</v>
      </c>
    </row>
    <row r="61" spans="1:10" ht="14.25" customHeight="1" x14ac:dyDescent="0.3"/>
    <row r="62" spans="1:10" ht="18" customHeight="1" x14ac:dyDescent="0.3">
      <c r="A62" s="922"/>
      <c r="B62" s="1447" t="str">
        <f>"بيف شيلي دراي الدفعة 1  / " &amp; COUNTIF($C$53:$C$55, "&gt;0")</f>
        <v>بيف شيلي دراي الدفعة 1  / 1</v>
      </c>
      <c r="C62" s="1447"/>
      <c r="D62" s="1447"/>
      <c r="E62" s="1447"/>
      <c r="F62" s="1447"/>
      <c r="G62" s="1447"/>
      <c r="H62" s="1447"/>
    </row>
    <row r="63" spans="1:10" ht="17.75" customHeight="1" x14ac:dyDescent="0.3">
      <c r="A63" s="922"/>
      <c r="B63" s="1438" t="str">
        <f>"Beef Chili Dry 1 / " &amp; COUNTIF($C$53:$C$55, "&gt;0")</f>
        <v>Beef Chili Dry 1 / 1</v>
      </c>
      <c r="C63" s="1438"/>
      <c r="D63" s="1438"/>
      <c r="E63" s="1438"/>
      <c r="F63" s="1438"/>
      <c r="G63" s="1438"/>
      <c r="H63" s="1438"/>
    </row>
    <row r="64" spans="1:10" ht="47.75" customHeight="1" x14ac:dyDescent="0.25">
      <c r="A64" s="105"/>
      <c r="B64" s="90" t="s">
        <v>245</v>
      </c>
      <c r="C64" s="106" t="s">
        <v>246</v>
      </c>
      <c r="D64" s="90" t="s">
        <v>235</v>
      </c>
      <c r="E64" s="107" t="s">
        <v>238</v>
      </c>
      <c r="F64" s="107" t="s">
        <v>247</v>
      </c>
      <c r="G64" s="90" t="s">
        <v>248</v>
      </c>
      <c r="H64" s="108" t="s">
        <v>249</v>
      </c>
    </row>
    <row r="65" spans="1:8" ht="17.75" customHeight="1" x14ac:dyDescent="0.3">
      <c r="A65" s="127" t="s">
        <v>225</v>
      </c>
      <c r="B65" s="122" t="str">
        <f t="shared" ref="B65:D88" si="13">B5</f>
        <v>Indian Meat Alana  - لحم هندى ألانا</v>
      </c>
      <c r="C65" s="122" t="str">
        <f t="shared" si="13"/>
        <v>gm</v>
      </c>
      <c r="D65" s="262">
        <f t="shared" si="13"/>
        <v>6536.0784313725489</v>
      </c>
      <c r="E65" s="125">
        <f>H53</f>
        <v>5.8637288792685665</v>
      </c>
      <c r="F65" s="126">
        <f t="shared" ref="F65:F88" si="14">F5</f>
        <v>1</v>
      </c>
      <c r="G65" s="116">
        <f t="shared" ref="G65:G87" si="15">D65*E65</f>
        <v>38325.791855203606</v>
      </c>
      <c r="H65" s="119">
        <f t="shared" ref="H65:H87" si="16">G65*F65</f>
        <v>38325.791855203606</v>
      </c>
    </row>
    <row r="66" spans="1:8" x14ac:dyDescent="0.3">
      <c r="A66" s="127" t="s">
        <v>13</v>
      </c>
      <c r="B66" s="122" t="str">
        <f t="shared" si="13"/>
        <v>Onion - بصل</v>
      </c>
      <c r="C66" s="122" t="str">
        <f t="shared" si="13"/>
        <v>gm</v>
      </c>
      <c r="D66" s="122">
        <f t="shared" si="13"/>
        <v>150</v>
      </c>
      <c r="E66" s="125">
        <f t="shared" ref="E66:E88" si="17">$C$53</f>
        <v>5.8638461538461595</v>
      </c>
      <c r="F66" s="126">
        <f t="shared" si="14"/>
        <v>0.95</v>
      </c>
      <c r="G66" s="116">
        <f t="shared" si="15"/>
        <v>879.57692307692389</v>
      </c>
      <c r="H66" s="119">
        <f t="shared" si="16"/>
        <v>835.59807692307766</v>
      </c>
    </row>
    <row r="67" spans="1:8" ht="14.25" customHeight="1" x14ac:dyDescent="0.3">
      <c r="A67" s="127" t="s">
        <v>13</v>
      </c>
      <c r="B67" s="122" t="str">
        <f t="shared" si="13"/>
        <v>Green Bell Pepper - فلفل أخضر رومى</v>
      </c>
      <c r="C67" s="122" t="str">
        <f t="shared" si="13"/>
        <v>gm</v>
      </c>
      <c r="D67" s="122">
        <f t="shared" si="13"/>
        <v>300</v>
      </c>
      <c r="E67" s="125">
        <f t="shared" si="17"/>
        <v>5.8638461538461595</v>
      </c>
      <c r="F67" s="126">
        <f t="shared" si="14"/>
        <v>0.95</v>
      </c>
      <c r="G67" s="116">
        <f t="shared" si="15"/>
        <v>1759.1538461538478</v>
      </c>
      <c r="H67" s="119">
        <f t="shared" si="16"/>
        <v>1671.1961538461553</v>
      </c>
    </row>
    <row r="68" spans="1:8" ht="14.25" customHeight="1" x14ac:dyDescent="0.3">
      <c r="A68" s="127" t="s">
        <v>56</v>
      </c>
      <c r="B68" s="122" t="str">
        <f t="shared" si="13"/>
        <v>Ginger - زنجبيل</v>
      </c>
      <c r="C68" s="122" t="str">
        <f t="shared" si="13"/>
        <v>gm</v>
      </c>
      <c r="D68" s="122">
        <f t="shared" si="13"/>
        <v>50</v>
      </c>
      <c r="E68" s="125">
        <f t="shared" si="17"/>
        <v>5.8638461538461595</v>
      </c>
      <c r="F68" s="126">
        <f t="shared" si="14"/>
        <v>1</v>
      </c>
      <c r="G68" s="116">
        <f t="shared" si="15"/>
        <v>293.19230769230796</v>
      </c>
      <c r="H68" s="119">
        <f t="shared" si="16"/>
        <v>293.19230769230796</v>
      </c>
    </row>
    <row r="69" spans="1:8" ht="14.25" customHeight="1" x14ac:dyDescent="0.3">
      <c r="A69" s="127" t="s">
        <v>13</v>
      </c>
      <c r="B69" s="122" t="str">
        <f t="shared" si="13"/>
        <v>Garlic - ثوم مقشر</v>
      </c>
      <c r="C69" s="122" t="str">
        <f t="shared" si="13"/>
        <v>gm</v>
      </c>
      <c r="D69" s="122">
        <f t="shared" si="13"/>
        <v>50</v>
      </c>
      <c r="E69" s="125">
        <f t="shared" si="17"/>
        <v>5.8638461538461595</v>
      </c>
      <c r="F69" s="126">
        <f t="shared" si="14"/>
        <v>1</v>
      </c>
      <c r="G69" s="116">
        <f t="shared" si="15"/>
        <v>293.19230769230796</v>
      </c>
      <c r="H69" s="119">
        <f t="shared" si="16"/>
        <v>293.19230769230796</v>
      </c>
    </row>
    <row r="70" spans="1:8" ht="14.25" customHeight="1" x14ac:dyDescent="0.3">
      <c r="A70" s="127" t="s">
        <v>192</v>
      </c>
      <c r="B70" s="122" t="str">
        <f t="shared" si="13"/>
        <v>Sriracha Sauce - صوص سريراتشا</v>
      </c>
      <c r="C70" s="122" t="str">
        <f t="shared" si="13"/>
        <v>ml</v>
      </c>
      <c r="D70" s="122">
        <f t="shared" si="13"/>
        <v>50</v>
      </c>
      <c r="E70" s="125">
        <f t="shared" si="17"/>
        <v>5.8638461538461595</v>
      </c>
      <c r="F70" s="126">
        <f t="shared" si="14"/>
        <v>0.75</v>
      </c>
      <c r="G70" s="116">
        <f t="shared" si="15"/>
        <v>293.19230769230796</v>
      </c>
      <c r="H70" s="119">
        <f t="shared" si="16"/>
        <v>219.89423076923097</v>
      </c>
    </row>
    <row r="71" spans="1:8" ht="14.25" customHeight="1" x14ac:dyDescent="0.3">
      <c r="A71" s="127" t="s">
        <v>192</v>
      </c>
      <c r="B71" s="122" t="str">
        <f t="shared" si="13"/>
        <v>Light Soy Sauce - صويا صوص خفيف</v>
      </c>
      <c r="C71" s="122" t="str">
        <f t="shared" si="13"/>
        <v>ml</v>
      </c>
      <c r="D71" s="122">
        <f t="shared" si="13"/>
        <v>40</v>
      </c>
      <c r="E71" s="125">
        <f t="shared" si="17"/>
        <v>5.8638461538461595</v>
      </c>
      <c r="F71" s="126">
        <f t="shared" si="14"/>
        <v>0.75</v>
      </c>
      <c r="G71" s="116">
        <f t="shared" si="15"/>
        <v>234.55384615384639</v>
      </c>
      <c r="H71" s="119">
        <f t="shared" si="16"/>
        <v>175.9153846153848</v>
      </c>
    </row>
    <row r="72" spans="1:8" ht="14.25" customHeight="1" x14ac:dyDescent="0.3">
      <c r="A72" s="127" t="s">
        <v>192</v>
      </c>
      <c r="B72" s="122" t="str">
        <f t="shared" si="13"/>
        <v>Oyster Sauce - صوص محار</v>
      </c>
      <c r="C72" s="122" t="str">
        <f t="shared" si="13"/>
        <v>ml</v>
      </c>
      <c r="D72" s="122">
        <f t="shared" si="13"/>
        <v>200</v>
      </c>
      <c r="E72" s="125">
        <f t="shared" si="17"/>
        <v>5.8638461538461595</v>
      </c>
      <c r="F72" s="126">
        <f t="shared" si="14"/>
        <v>0.95</v>
      </c>
      <c r="G72" s="116">
        <f t="shared" si="15"/>
        <v>1172.7692307692319</v>
      </c>
      <c r="H72" s="119">
        <f t="shared" si="16"/>
        <v>1114.1307692307703</v>
      </c>
    </row>
    <row r="73" spans="1:8" ht="14.25" customHeight="1" x14ac:dyDescent="0.3">
      <c r="A73" s="127" t="s">
        <v>192</v>
      </c>
      <c r="B73" s="122" t="str">
        <f t="shared" si="13"/>
        <v>Sweet Soy Sauce - صويا صوص حلو</v>
      </c>
      <c r="C73" s="122" t="str">
        <f t="shared" si="13"/>
        <v>ml</v>
      </c>
      <c r="D73" s="122">
        <f t="shared" si="13"/>
        <v>50</v>
      </c>
      <c r="E73" s="125">
        <f t="shared" si="17"/>
        <v>5.8638461538461595</v>
      </c>
      <c r="F73" s="126">
        <f t="shared" si="14"/>
        <v>0.95</v>
      </c>
      <c r="G73" s="116">
        <f t="shared" si="15"/>
        <v>293.19230769230796</v>
      </c>
      <c r="H73" s="119">
        <f t="shared" si="16"/>
        <v>278.53269230769257</v>
      </c>
    </row>
    <row r="74" spans="1:8" ht="14.25" customHeight="1" x14ac:dyDescent="0.3">
      <c r="A74" s="127" t="s">
        <v>206</v>
      </c>
      <c r="B74" s="122" t="str">
        <f t="shared" si="13"/>
        <v>Water - ماء</v>
      </c>
      <c r="C74" s="122" t="str">
        <f t="shared" si="13"/>
        <v>ml</v>
      </c>
      <c r="D74" s="122">
        <f t="shared" si="13"/>
        <v>15</v>
      </c>
      <c r="E74" s="125">
        <f t="shared" si="17"/>
        <v>5.8638461538461595</v>
      </c>
      <c r="F74" s="126">
        <f t="shared" si="14"/>
        <v>1</v>
      </c>
      <c r="G74" s="116">
        <f t="shared" si="15"/>
        <v>87.957692307692398</v>
      </c>
      <c r="H74" s="119">
        <f t="shared" si="16"/>
        <v>87.957692307692398</v>
      </c>
    </row>
    <row r="75" spans="1:8" ht="14.25" customHeight="1" x14ac:dyDescent="0.3">
      <c r="A75" s="127" t="s">
        <v>95</v>
      </c>
      <c r="B75" s="122" t="str">
        <f t="shared" si="13"/>
        <v>Black Pepper Powder - فلفل أسود مطحون</v>
      </c>
      <c r="C75" s="122" t="str">
        <f t="shared" si="13"/>
        <v>gm</v>
      </c>
      <c r="D75" s="122">
        <f t="shared" si="13"/>
        <v>2</v>
      </c>
      <c r="E75" s="125">
        <f t="shared" si="17"/>
        <v>5.8638461538461595</v>
      </c>
      <c r="F75" s="126">
        <f t="shared" si="14"/>
        <v>1</v>
      </c>
      <c r="G75" s="116">
        <f t="shared" si="15"/>
        <v>11.727692307692319</v>
      </c>
      <c r="H75" s="119">
        <f t="shared" si="16"/>
        <v>11.727692307692319</v>
      </c>
    </row>
    <row r="76" spans="1:8" ht="14.25" customHeight="1" x14ac:dyDescent="0.3">
      <c r="A76" s="127" t="s">
        <v>188</v>
      </c>
      <c r="B76" s="122" t="str">
        <f t="shared" si="13"/>
        <v>Corn Starch - نشا ذرة</v>
      </c>
      <c r="C76" s="122" t="str">
        <f t="shared" si="13"/>
        <v>gm</v>
      </c>
      <c r="D76" s="122">
        <f t="shared" si="13"/>
        <v>25</v>
      </c>
      <c r="E76" s="125">
        <f t="shared" si="17"/>
        <v>5.8638461538461595</v>
      </c>
      <c r="F76" s="126">
        <f t="shared" si="14"/>
        <v>0.75</v>
      </c>
      <c r="G76" s="116">
        <f t="shared" si="15"/>
        <v>146.59615384615398</v>
      </c>
      <c r="H76" s="119">
        <f t="shared" si="16"/>
        <v>109.94711538461549</v>
      </c>
    </row>
    <row r="77" spans="1:8" ht="14.25" customHeight="1" x14ac:dyDescent="0.3">
      <c r="A77" s="127" t="s">
        <v>182</v>
      </c>
      <c r="B77" s="122" t="str">
        <f t="shared" si="13"/>
        <v>Sugar - سكر</v>
      </c>
      <c r="C77" s="122" t="str">
        <f t="shared" si="13"/>
        <v>gm</v>
      </c>
      <c r="D77" s="122">
        <f t="shared" si="13"/>
        <v>15</v>
      </c>
      <c r="E77" s="125">
        <f t="shared" si="17"/>
        <v>5.8638461538461595</v>
      </c>
      <c r="F77" s="126">
        <f t="shared" si="14"/>
        <v>1</v>
      </c>
      <c r="G77" s="116">
        <f t="shared" si="15"/>
        <v>87.957692307692398</v>
      </c>
      <c r="H77" s="119">
        <f t="shared" si="16"/>
        <v>87.957692307692398</v>
      </c>
    </row>
    <row r="78" spans="1:8" ht="14.25" customHeight="1" x14ac:dyDescent="0.3">
      <c r="A78" s="127" t="s">
        <v>95</v>
      </c>
      <c r="B78" s="122" t="str">
        <f t="shared" si="13"/>
        <v>Salt - ملح</v>
      </c>
      <c r="C78" s="122" t="str">
        <f t="shared" si="13"/>
        <v>gm</v>
      </c>
      <c r="D78" s="122">
        <f t="shared" si="13"/>
        <v>3</v>
      </c>
      <c r="E78" s="125">
        <f t="shared" si="17"/>
        <v>5.8638461538461595</v>
      </c>
      <c r="F78" s="126">
        <f t="shared" si="14"/>
        <v>1</v>
      </c>
      <c r="G78" s="116">
        <f t="shared" si="15"/>
        <v>17.591538461538477</v>
      </c>
      <c r="H78" s="119">
        <f t="shared" si="16"/>
        <v>17.591538461538477</v>
      </c>
    </row>
    <row r="79" spans="1:8" ht="14.25" customHeight="1" x14ac:dyDescent="0.3">
      <c r="A79" s="127" t="s">
        <v>154</v>
      </c>
      <c r="B79" s="122" t="str">
        <f t="shared" si="13"/>
        <v>Butter - زبدة</v>
      </c>
      <c r="C79" s="122" t="str">
        <f t="shared" si="13"/>
        <v>gm</v>
      </c>
      <c r="D79" s="122">
        <f t="shared" si="13"/>
        <v>30</v>
      </c>
      <c r="E79" s="125">
        <f t="shared" si="17"/>
        <v>5.8638461538461595</v>
      </c>
      <c r="F79" s="126">
        <f t="shared" si="14"/>
        <v>1</v>
      </c>
      <c r="G79" s="116">
        <f t="shared" si="15"/>
        <v>175.9153846153848</v>
      </c>
      <c r="H79" s="119">
        <f t="shared" si="16"/>
        <v>175.9153846153848</v>
      </c>
    </row>
    <row r="80" spans="1:8" ht="14.25" customHeight="1" x14ac:dyDescent="0.3">
      <c r="A80" s="127" t="s">
        <v>95</v>
      </c>
      <c r="B80" s="122" t="str">
        <f t="shared" si="13"/>
        <v>Black Pepper Whole - فلفل أسود حب</v>
      </c>
      <c r="C80" s="122" t="str">
        <f t="shared" si="13"/>
        <v>gm</v>
      </c>
      <c r="D80" s="122">
        <f t="shared" si="13"/>
        <v>2</v>
      </c>
      <c r="E80" s="125">
        <f t="shared" si="17"/>
        <v>5.8638461538461595</v>
      </c>
      <c r="F80" s="126">
        <f t="shared" si="14"/>
        <v>1</v>
      </c>
      <c r="G80" s="116">
        <f t="shared" si="15"/>
        <v>11.727692307692319</v>
      </c>
      <c r="H80" s="119">
        <f t="shared" si="16"/>
        <v>11.727692307692319</v>
      </c>
    </row>
    <row r="81" spans="1:10" ht="14.25" customHeight="1" x14ac:dyDescent="0.3">
      <c r="A81" s="127" t="s">
        <v>95</v>
      </c>
      <c r="B81" s="122" t="str">
        <f t="shared" si="13"/>
        <v>Cumin Whole - كمون حب</v>
      </c>
      <c r="C81" s="122" t="str">
        <f t="shared" si="13"/>
        <v>gm</v>
      </c>
      <c r="D81" s="122">
        <f t="shared" si="13"/>
        <v>2</v>
      </c>
      <c r="E81" s="125">
        <f t="shared" si="17"/>
        <v>5.8638461538461595</v>
      </c>
      <c r="F81" s="126">
        <f t="shared" si="14"/>
        <v>1</v>
      </c>
      <c r="G81" s="116">
        <f t="shared" si="15"/>
        <v>11.727692307692319</v>
      </c>
      <c r="H81" s="119">
        <f t="shared" si="16"/>
        <v>11.727692307692319</v>
      </c>
    </row>
    <row r="82" spans="1:10" ht="14.25" customHeight="1" x14ac:dyDescent="0.3">
      <c r="A82" s="127" t="s">
        <v>95</v>
      </c>
      <c r="B82" s="122" t="str">
        <f t="shared" si="13"/>
        <v>Cloves Whole - قرنفل حب</v>
      </c>
      <c r="C82" s="122" t="str">
        <f t="shared" si="13"/>
        <v>gm</v>
      </c>
      <c r="D82" s="122">
        <f t="shared" si="13"/>
        <v>2</v>
      </c>
      <c r="E82" s="125">
        <f t="shared" si="17"/>
        <v>5.8638461538461595</v>
      </c>
      <c r="F82" s="126">
        <f t="shared" si="14"/>
        <v>1</v>
      </c>
      <c r="G82" s="116">
        <f t="shared" si="15"/>
        <v>11.727692307692319</v>
      </c>
      <c r="H82" s="119">
        <f t="shared" si="16"/>
        <v>11.727692307692319</v>
      </c>
    </row>
    <row r="83" spans="1:10" ht="14.25" customHeight="1" x14ac:dyDescent="0.3">
      <c r="A83" s="127" t="s">
        <v>95</v>
      </c>
      <c r="B83" s="122" t="str">
        <f t="shared" si="13"/>
        <v>Cinnamon Whole - قرفة أعواد</v>
      </c>
      <c r="C83" s="122" t="str">
        <f t="shared" si="13"/>
        <v>gm</v>
      </c>
      <c r="D83" s="122">
        <f t="shared" si="13"/>
        <v>2</v>
      </c>
      <c r="E83" s="125">
        <f t="shared" si="17"/>
        <v>5.8638461538461595</v>
      </c>
      <c r="F83" s="126">
        <f t="shared" si="14"/>
        <v>1</v>
      </c>
      <c r="G83" s="116">
        <f t="shared" si="15"/>
        <v>11.727692307692319</v>
      </c>
      <c r="H83" s="119">
        <f t="shared" si="16"/>
        <v>11.727692307692319</v>
      </c>
    </row>
    <row r="84" spans="1:10" ht="14.25" customHeight="1" x14ac:dyDescent="0.3">
      <c r="A84" s="127" t="s">
        <v>95</v>
      </c>
      <c r="B84" s="122" t="str">
        <f t="shared" si="13"/>
        <v>Cardamom Whole - هيل حب</v>
      </c>
      <c r="C84" s="122" t="str">
        <f t="shared" si="13"/>
        <v>gm</v>
      </c>
      <c r="D84" s="122">
        <f t="shared" si="13"/>
        <v>2</v>
      </c>
      <c r="E84" s="125">
        <f t="shared" si="17"/>
        <v>5.8638461538461595</v>
      </c>
      <c r="F84" s="126">
        <f t="shared" si="14"/>
        <v>1</v>
      </c>
      <c r="G84" s="116">
        <f t="shared" si="15"/>
        <v>11.727692307692319</v>
      </c>
      <c r="H84" s="119">
        <f t="shared" si="16"/>
        <v>11.727692307692319</v>
      </c>
    </row>
    <row r="85" spans="1:10" ht="14.25" customHeight="1" x14ac:dyDescent="0.3">
      <c r="A85" s="127" t="s">
        <v>95</v>
      </c>
      <c r="B85" s="122" t="str">
        <f t="shared" si="13"/>
        <v>Star Anise - ينسون نجمي</v>
      </c>
      <c r="C85" s="122" t="str">
        <f t="shared" si="13"/>
        <v>gm</v>
      </c>
      <c r="D85" s="122">
        <f t="shared" si="13"/>
        <v>1</v>
      </c>
      <c r="E85" s="125">
        <f t="shared" si="17"/>
        <v>5.8638461538461595</v>
      </c>
      <c r="F85" s="126">
        <f t="shared" si="14"/>
        <v>1</v>
      </c>
      <c r="G85" s="116">
        <f t="shared" si="15"/>
        <v>5.8638461538461595</v>
      </c>
      <c r="H85" s="119">
        <f t="shared" si="16"/>
        <v>5.8638461538461595</v>
      </c>
    </row>
    <row r="86" spans="1:10" ht="14.25" customHeight="1" x14ac:dyDescent="0.3">
      <c r="A86" s="127" t="s">
        <v>95</v>
      </c>
      <c r="B86" s="122" t="str">
        <f t="shared" si="13"/>
        <v>Salt - ملح</v>
      </c>
      <c r="C86" s="122" t="str">
        <f t="shared" si="13"/>
        <v>gm</v>
      </c>
      <c r="D86" s="122">
        <f t="shared" si="13"/>
        <v>5</v>
      </c>
      <c r="E86" s="125">
        <f t="shared" si="17"/>
        <v>5.8638461538461595</v>
      </c>
      <c r="F86" s="126">
        <f t="shared" si="14"/>
        <v>1</v>
      </c>
      <c r="G86" s="116">
        <f t="shared" si="15"/>
        <v>29.319230769230799</v>
      </c>
      <c r="H86" s="119">
        <f t="shared" si="16"/>
        <v>29.319230769230799</v>
      </c>
    </row>
    <row r="87" spans="1:10" ht="14.25" customHeight="1" x14ac:dyDescent="0.3">
      <c r="A87" s="127" t="s">
        <v>95</v>
      </c>
      <c r="B87" s="122" t="str">
        <f t="shared" si="13"/>
        <v>Garlic - ثوم مقشر</v>
      </c>
      <c r="C87" s="122" t="str">
        <f t="shared" si="13"/>
        <v>gm</v>
      </c>
      <c r="D87" s="122">
        <f t="shared" si="13"/>
        <v>5</v>
      </c>
      <c r="E87" s="125">
        <f t="shared" si="17"/>
        <v>5.8638461538461595</v>
      </c>
      <c r="F87" s="126">
        <f t="shared" si="14"/>
        <v>1</v>
      </c>
      <c r="G87" s="116">
        <f t="shared" si="15"/>
        <v>29.319230769230799</v>
      </c>
      <c r="H87" s="119">
        <f t="shared" si="16"/>
        <v>29.319230769230799</v>
      </c>
    </row>
    <row r="88" spans="1:10" ht="14.25" customHeight="1" x14ac:dyDescent="0.3">
      <c r="A88" s="127" t="s">
        <v>95</v>
      </c>
      <c r="B88" s="122" t="str">
        <f t="shared" si="13"/>
        <v>Beef Stock - مرق لحم بقري</v>
      </c>
      <c r="C88" s="122" t="str">
        <f t="shared" si="13"/>
        <v>ml</v>
      </c>
      <c r="D88" s="122">
        <f t="shared" si="13"/>
        <v>300</v>
      </c>
      <c r="E88" s="125">
        <f t="shared" si="17"/>
        <v>5.8638461538461595</v>
      </c>
      <c r="F88" s="126">
        <f t="shared" si="14"/>
        <v>1</v>
      </c>
      <c r="G88" s="116">
        <f t="shared" ref="G88" si="18">D88*E88</f>
        <v>1759.1538461538478</v>
      </c>
      <c r="H88" s="119">
        <f t="shared" ref="H88" si="19">G88*F88</f>
        <v>1759.1538461538478</v>
      </c>
    </row>
    <row r="89" spans="1:10" ht="20.25" customHeight="1" x14ac:dyDescent="0.4">
      <c r="A89" s="210"/>
      <c r="B89" s="197" t="s">
        <v>291</v>
      </c>
      <c r="C89" s="199" t="s">
        <v>277</v>
      </c>
      <c r="E89" s="199" t="s">
        <v>292</v>
      </c>
      <c r="G89" s="878" t="s">
        <v>268</v>
      </c>
      <c r="H89" s="878" t="s">
        <v>703</v>
      </c>
      <c r="I89" s="203"/>
      <c r="J89" s="202"/>
    </row>
    <row r="90" spans="1:10" ht="24" customHeight="1" x14ac:dyDescent="0.4">
      <c r="A90" s="210"/>
      <c r="B90" s="198">
        <f>$J$53</f>
        <v>19546.15384615384</v>
      </c>
      <c r="C90" s="198">
        <f>E90+G90</f>
        <v>5863.8461538461597</v>
      </c>
      <c r="D90" s="915"/>
      <c r="E90" s="198">
        <f>$D$53*$S$44</f>
        <v>5863.8461538461597</v>
      </c>
      <c r="F90" s="919"/>
      <c r="G90" s="198">
        <f>$D$53*$T$44</f>
        <v>0</v>
      </c>
      <c r="H90" s="198">
        <f>B90+E90</f>
        <v>25410</v>
      </c>
    </row>
    <row r="91" spans="1:10" ht="20.25" customHeight="1" x14ac:dyDescent="0.3"/>
  </sheetData>
  <mergeCells count="8">
    <mergeCell ref="B62:H62"/>
    <mergeCell ref="B63:H63"/>
    <mergeCell ref="B2:J3"/>
    <mergeCell ref="AE2:AG3"/>
    <mergeCell ref="R26:U26"/>
    <mergeCell ref="R25:U25"/>
    <mergeCell ref="K2:K3"/>
    <mergeCell ref="B35:F35"/>
  </mergeCells>
  <printOptions horizontalCentered="1"/>
  <pageMargins left="0.5" right="0.5" top="1" bottom="0.5" header="0.3" footer="0.511811023622047"/>
  <pageSetup paperSize="9" scale="31"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00B050"/>
    <pageSetUpPr fitToPage="1"/>
  </sheetPr>
  <dimension ref="A1:AE148"/>
  <sheetViews>
    <sheetView topLeftCell="M31" zoomScaleNormal="100" workbookViewId="0">
      <selection activeCell="B22" sqref="B22:L22"/>
    </sheetView>
  </sheetViews>
  <sheetFormatPr defaultColWidth="12.5" defaultRowHeight="14" x14ac:dyDescent="0.3"/>
  <cols>
    <col min="1" max="1" width="12.5" style="1" customWidth="1"/>
    <col min="2" max="2" width="33.75" customWidth="1"/>
    <col min="3" max="3" width="23.9140625" customWidth="1"/>
    <col min="4" max="4" width="19" customWidth="1"/>
    <col min="5" max="5" width="16.1640625" customWidth="1"/>
    <col min="6" max="6" width="23.08203125" customWidth="1"/>
    <col min="7" max="7" width="25.1640625" customWidth="1"/>
    <col min="8" max="8" width="36.1640625" customWidth="1"/>
    <col min="12" max="12" width="8.33203125" customWidth="1"/>
    <col min="13" max="14" width="4.5" customWidth="1"/>
    <col min="18" max="18" width="30.5" customWidth="1"/>
    <col min="27" max="27" width="13.25" bestFit="1" customWidth="1"/>
    <col min="28" max="28" width="10.33203125" bestFit="1" customWidth="1"/>
  </cols>
  <sheetData>
    <row r="1" spans="1:30" ht="35.25" customHeight="1" x14ac:dyDescent="0.3">
      <c r="B1" s="79" t="s">
        <v>235</v>
      </c>
      <c r="C1" s="80">
        <v>1000</v>
      </c>
      <c r="D1" s="81" t="s">
        <v>236</v>
      </c>
      <c r="E1" s="116">
        <f>T32</f>
        <v>28509.461538461546</v>
      </c>
      <c r="F1" s="79" t="s">
        <v>237</v>
      </c>
      <c r="G1" s="120">
        <f>E1/C1</f>
        <v>28.509461538461547</v>
      </c>
      <c r="H1" s="79" t="s">
        <v>238</v>
      </c>
      <c r="I1" s="281">
        <f>(G1/K1)</f>
        <v>30.009959514170053</v>
      </c>
      <c r="J1" s="85" t="s">
        <v>239</v>
      </c>
      <c r="K1" s="282">
        <f>9.5/10</f>
        <v>0.95</v>
      </c>
      <c r="L1" s="99"/>
      <c r="M1" s="88"/>
      <c r="N1" s="89"/>
      <c r="O1" s="90" t="s">
        <v>240</v>
      </c>
      <c r="P1" s="91" t="s">
        <v>293</v>
      </c>
      <c r="Q1" s="92" t="s">
        <v>242</v>
      </c>
      <c r="R1" s="91">
        <v>0.51</v>
      </c>
      <c r="Y1" s="90" t="s">
        <v>463</v>
      </c>
      <c r="Z1" s="835">
        <v>30630</v>
      </c>
      <c r="AA1" s="90" t="s">
        <v>578</v>
      </c>
      <c r="AB1" s="835">
        <v>1000</v>
      </c>
      <c r="AC1" s="90" t="s">
        <v>567</v>
      </c>
      <c r="AD1" s="835">
        <v>217</v>
      </c>
    </row>
    <row r="2" spans="1:30" ht="12.75" customHeight="1" x14ac:dyDescent="0.3">
      <c r="A2" s="264"/>
      <c r="B2" s="1450" t="s">
        <v>308</v>
      </c>
      <c r="C2" s="1458"/>
      <c r="D2" s="1458"/>
      <c r="E2" s="1458"/>
      <c r="F2" s="1458"/>
      <c r="G2" s="1458"/>
      <c r="H2" s="1458"/>
      <c r="I2" s="1458"/>
      <c r="J2" s="1458"/>
      <c r="K2" s="1458"/>
      <c r="L2" s="97"/>
      <c r="Q2" s="99"/>
      <c r="R2" s="99"/>
    </row>
    <row r="3" spans="1:30" ht="12.75" customHeight="1" x14ac:dyDescent="0.3">
      <c r="A3" s="264"/>
      <c r="B3" s="1444"/>
      <c r="C3" s="1444"/>
      <c r="D3" s="1444"/>
      <c r="E3" s="1444"/>
      <c r="F3" s="1444"/>
      <c r="G3" s="1444"/>
      <c r="H3" s="1444"/>
      <c r="I3" s="1444"/>
      <c r="J3" s="1444"/>
      <c r="K3" s="1444"/>
      <c r="L3" s="102"/>
      <c r="Q3" s="99"/>
      <c r="R3" s="99"/>
    </row>
    <row r="4" spans="1:30" ht="35.25" customHeight="1" x14ac:dyDescent="0.3">
      <c r="A4" s="90" t="s">
        <v>1</v>
      </c>
      <c r="B4" s="90" t="s">
        <v>245</v>
      </c>
      <c r="C4" s="106" t="s">
        <v>246</v>
      </c>
      <c r="D4" s="90" t="s">
        <v>235</v>
      </c>
      <c r="E4" s="107" t="s">
        <v>238</v>
      </c>
      <c r="F4" s="107" t="s">
        <v>247</v>
      </c>
      <c r="G4" s="90" t="s">
        <v>248</v>
      </c>
      <c r="H4" s="108" t="s">
        <v>249</v>
      </c>
      <c r="I4" s="90" t="s">
        <v>250</v>
      </c>
      <c r="J4" s="90" t="s">
        <v>251</v>
      </c>
      <c r="K4" s="90" t="s">
        <v>252</v>
      </c>
      <c r="L4" s="90" t="s">
        <v>253</v>
      </c>
      <c r="AA4" s="250"/>
      <c r="AB4" s="252"/>
    </row>
    <row r="5" spans="1:30" ht="14.25" customHeight="1" x14ac:dyDescent="0.3">
      <c r="A5" s="265" t="s">
        <v>225</v>
      </c>
      <c r="B5" s="219" t="s">
        <v>227</v>
      </c>
      <c r="C5" s="123" t="s">
        <v>14</v>
      </c>
      <c r="D5" s="120">
        <f>I51/10</f>
        <v>1620.7843137254902</v>
      </c>
      <c r="E5" s="222">
        <f>H52</f>
        <v>28.504159764745289</v>
      </c>
      <c r="F5" s="126">
        <v>1</v>
      </c>
      <c r="G5" s="118">
        <f t="shared" ref="G5:G19" si="0">D5*E5</f>
        <v>46199.095022624424</v>
      </c>
      <c r="H5" s="119">
        <f t="shared" ref="H5:H19" si="1">G5*F5</f>
        <v>46199.095022624424</v>
      </c>
      <c r="I5" s="80">
        <f>VLOOKUP(B5,All_Ingredients!$A$1:$F$149,6,FALSE())</f>
        <v>0.55000000000000004</v>
      </c>
      <c r="J5" s="118">
        <f>VLOOKUP(B5,All_Ingredients!$A$1:$J$149,10,FALSE())</f>
        <v>14.361111111111111</v>
      </c>
      <c r="K5" s="121">
        <f t="shared" ref="K5" si="2">(H5/I5)/1000</f>
        <v>83.998354586589855</v>
      </c>
      <c r="L5" s="121">
        <f t="shared" ref="L5" si="3">K5*J5</f>
        <v>1206.3097033685265</v>
      </c>
      <c r="AA5" s="91"/>
      <c r="AB5" s="132"/>
    </row>
    <row r="6" spans="1:30" ht="14.25" customHeight="1" x14ac:dyDescent="0.3">
      <c r="A6" s="269" t="s">
        <v>13</v>
      </c>
      <c r="B6" s="219" t="s">
        <v>12</v>
      </c>
      <c r="C6" s="123" t="s">
        <v>14</v>
      </c>
      <c r="D6" s="124">
        <v>150</v>
      </c>
      <c r="E6" s="222">
        <f t="shared" ref="E6:E19" si="4">$I$1</f>
        <v>30.009959514170053</v>
      </c>
      <c r="F6" s="126">
        <v>1</v>
      </c>
      <c r="G6" s="118">
        <f t="shared" si="0"/>
        <v>4501.493927125508</v>
      </c>
      <c r="H6" s="119">
        <f t="shared" si="1"/>
        <v>4501.493927125508</v>
      </c>
      <c r="I6" s="80">
        <f>VLOOKUP(B6,All_Ingredients!$A$1:$F$149,6,FALSE())</f>
        <v>0.9</v>
      </c>
      <c r="J6" s="118">
        <f>VLOOKUP(B6,All_Ingredients!$A$1:$J$149,10,FALSE())</f>
        <v>3</v>
      </c>
      <c r="K6" s="121">
        <f t="shared" ref="K6:K19" si="5">(H6/I6)/1000</f>
        <v>5.0016599190283424</v>
      </c>
      <c r="L6" s="121">
        <f t="shared" ref="L6:L19" si="6">K6*J6</f>
        <v>15.004979757085028</v>
      </c>
    </row>
    <row r="7" spans="1:30" ht="14.25" customHeight="1" x14ac:dyDescent="0.3">
      <c r="A7" s="269" t="s">
        <v>13</v>
      </c>
      <c r="B7" s="219" t="s">
        <v>17</v>
      </c>
      <c r="C7" s="123" t="s">
        <v>14</v>
      </c>
      <c r="D7" s="124">
        <v>400</v>
      </c>
      <c r="E7" s="222">
        <f t="shared" si="4"/>
        <v>30.009959514170053</v>
      </c>
      <c r="F7" s="126">
        <v>1</v>
      </c>
      <c r="G7" s="118">
        <f t="shared" si="0"/>
        <v>12003.983805668022</v>
      </c>
      <c r="H7" s="119">
        <f t="shared" si="1"/>
        <v>12003.983805668022</v>
      </c>
      <c r="I7" s="80">
        <f>VLOOKUP(B7,All_Ingredients!$A$1:$F$149,6,FALSE())</f>
        <v>0.98</v>
      </c>
      <c r="J7" s="118">
        <f>VLOOKUP(B7,All_Ingredients!$A$1:$J$149,10,FALSE())</f>
        <v>3.5</v>
      </c>
      <c r="K7" s="121">
        <f t="shared" si="5"/>
        <v>12.248963067008185</v>
      </c>
      <c r="L7" s="121">
        <f t="shared" si="6"/>
        <v>42.871370734528647</v>
      </c>
    </row>
    <row r="8" spans="1:30" ht="14.25" customHeight="1" x14ac:dyDescent="0.3">
      <c r="A8" s="269" t="s">
        <v>13</v>
      </c>
      <c r="B8" s="219" t="s">
        <v>762</v>
      </c>
      <c r="C8" s="123" t="s">
        <v>14</v>
      </c>
      <c r="D8" s="124">
        <v>35</v>
      </c>
      <c r="E8" s="222">
        <f t="shared" si="4"/>
        <v>30.009959514170053</v>
      </c>
      <c r="F8" s="126">
        <v>1</v>
      </c>
      <c r="G8" s="118">
        <f t="shared" si="0"/>
        <v>1050.3485829959518</v>
      </c>
      <c r="H8" s="119">
        <f t="shared" si="1"/>
        <v>1050.3485829959518</v>
      </c>
      <c r="I8" s="80">
        <f>VLOOKUP(B8,All_Ingredients!$A$1:$F$149,6,FALSE())</f>
        <v>1</v>
      </c>
      <c r="J8" s="118">
        <f>VLOOKUP(B8,All_Ingredients!$A$1:$J$149,10,FALSE())</f>
        <v>10.5</v>
      </c>
      <c r="K8" s="121">
        <f t="shared" si="5"/>
        <v>1.0503485829959518</v>
      </c>
      <c r="L8" s="121">
        <f t="shared" si="6"/>
        <v>11.028660121457493</v>
      </c>
    </row>
    <row r="9" spans="1:30" ht="14.25" customHeight="1" x14ac:dyDescent="0.3">
      <c r="A9" s="269" t="s">
        <v>95</v>
      </c>
      <c r="B9" s="219" t="s">
        <v>100</v>
      </c>
      <c r="C9" s="123" t="s">
        <v>14</v>
      </c>
      <c r="D9" s="124">
        <v>3</v>
      </c>
      <c r="E9" s="222">
        <f t="shared" si="4"/>
        <v>30.009959514170053</v>
      </c>
      <c r="F9" s="126">
        <v>1</v>
      </c>
      <c r="G9" s="118">
        <f t="shared" si="0"/>
        <v>90.029878542510161</v>
      </c>
      <c r="H9" s="119">
        <f t="shared" si="1"/>
        <v>90.029878542510161</v>
      </c>
      <c r="I9" s="80">
        <f>VLOOKUP(B9,All_Ingredients!$A$1:$F$149,6,FALSE())</f>
        <v>1</v>
      </c>
      <c r="J9" s="118">
        <f>VLOOKUP(B9,All_Ingredients!$A$1:$J$149,10,FALSE())</f>
        <v>31</v>
      </c>
      <c r="K9" s="121">
        <f t="shared" si="5"/>
        <v>9.0029878542510156E-2</v>
      </c>
      <c r="L9" s="121">
        <f t="shared" si="6"/>
        <v>2.7909262348178148</v>
      </c>
    </row>
    <row r="10" spans="1:30" ht="14.25" customHeight="1" x14ac:dyDescent="0.3">
      <c r="A10" s="269" t="s">
        <v>95</v>
      </c>
      <c r="B10" s="219" t="s">
        <v>106</v>
      </c>
      <c r="C10" s="123" t="s">
        <v>14</v>
      </c>
      <c r="D10" s="124">
        <v>5</v>
      </c>
      <c r="E10" s="222">
        <f t="shared" si="4"/>
        <v>30.009959514170053</v>
      </c>
      <c r="F10" s="126">
        <v>0.75</v>
      </c>
      <c r="G10" s="118">
        <f t="shared" si="0"/>
        <v>150.04979757085027</v>
      </c>
      <c r="H10" s="119">
        <f t="shared" si="1"/>
        <v>112.53734817813771</v>
      </c>
      <c r="I10" s="80">
        <f>VLOOKUP(B10,All_Ingredients!$A$1:$F$149,6,FALSE())</f>
        <v>1</v>
      </c>
      <c r="J10" s="118">
        <f>VLOOKUP(B10,All_Ingredients!$A$1:$J$149,10,FALSE())</f>
        <v>15</v>
      </c>
      <c r="K10" s="121">
        <f t="shared" si="5"/>
        <v>0.11253734817813771</v>
      </c>
      <c r="L10" s="121">
        <f t="shared" si="6"/>
        <v>1.6880602226720656</v>
      </c>
    </row>
    <row r="11" spans="1:30" ht="14.25" customHeight="1" x14ac:dyDescent="0.3">
      <c r="A11" s="269" t="s">
        <v>95</v>
      </c>
      <c r="B11" s="219" t="s">
        <v>108</v>
      </c>
      <c r="C11" s="123" t="s">
        <v>14</v>
      </c>
      <c r="D11" s="124">
        <v>5</v>
      </c>
      <c r="E11" s="222">
        <f t="shared" si="4"/>
        <v>30.009959514170053</v>
      </c>
      <c r="F11" s="126">
        <v>0.75</v>
      </c>
      <c r="G11" s="118">
        <f t="shared" si="0"/>
        <v>150.04979757085027</v>
      </c>
      <c r="H11" s="119">
        <f t="shared" si="1"/>
        <v>112.53734817813771</v>
      </c>
      <c r="I11" s="80">
        <f>VLOOKUP(B11,All_Ingredients!$A$1:$F$149,6,FALSE())</f>
        <v>1</v>
      </c>
      <c r="J11" s="118">
        <f>VLOOKUP(B11,All_Ingredients!$A$1:$J$149,10,FALSE())</f>
        <v>8</v>
      </c>
      <c r="K11" s="121">
        <f t="shared" si="5"/>
        <v>0.11253734817813771</v>
      </c>
      <c r="L11" s="121">
        <f t="shared" si="6"/>
        <v>0.90029878542510167</v>
      </c>
    </row>
    <row r="12" spans="1:30" ht="14.25" customHeight="1" x14ac:dyDescent="0.3">
      <c r="A12" s="269" t="s">
        <v>95</v>
      </c>
      <c r="B12" s="219" t="s">
        <v>123</v>
      </c>
      <c r="C12" s="123" t="s">
        <v>14</v>
      </c>
      <c r="D12" s="124">
        <v>2</v>
      </c>
      <c r="E12" s="222">
        <f t="shared" si="4"/>
        <v>30.009959514170053</v>
      </c>
      <c r="F12" s="126">
        <v>0.75</v>
      </c>
      <c r="G12" s="118">
        <f t="shared" si="0"/>
        <v>60.019919028340105</v>
      </c>
      <c r="H12" s="119">
        <f t="shared" si="1"/>
        <v>45.014939271255081</v>
      </c>
      <c r="I12" s="80">
        <f>VLOOKUP(B12,All_Ingredients!$A$1:$F$149,6,FALSE())</f>
        <v>1</v>
      </c>
      <c r="J12" s="118">
        <f>VLOOKUP(B12,All_Ingredients!$A$1:$J$149,10,FALSE())</f>
        <v>14</v>
      </c>
      <c r="K12" s="121">
        <f t="shared" si="5"/>
        <v>4.5014939271255078E-2</v>
      </c>
      <c r="L12" s="121">
        <f t="shared" si="6"/>
        <v>0.63020914979757103</v>
      </c>
    </row>
    <row r="13" spans="1:30" ht="14.25" customHeight="1" x14ac:dyDescent="0.3">
      <c r="A13" s="269" t="s">
        <v>95</v>
      </c>
      <c r="B13" s="219" t="s">
        <v>94</v>
      </c>
      <c r="C13" s="123" t="s">
        <v>14</v>
      </c>
      <c r="D13" s="124">
        <v>11</v>
      </c>
      <c r="E13" s="222">
        <f t="shared" si="4"/>
        <v>30.009959514170053</v>
      </c>
      <c r="F13" s="126">
        <v>0.75</v>
      </c>
      <c r="G13" s="118">
        <f t="shared" si="0"/>
        <v>330.10955465587057</v>
      </c>
      <c r="H13" s="119">
        <f t="shared" si="1"/>
        <v>247.58216599190291</v>
      </c>
      <c r="I13" s="80">
        <f>VLOOKUP(B13,All_Ingredients!$A$1:$F$149,6,FALSE())</f>
        <v>1</v>
      </c>
      <c r="J13" s="118">
        <f>VLOOKUP(B13,All_Ingredients!$A$1:$J$149,10,FALSE())</f>
        <v>0.74</v>
      </c>
      <c r="K13" s="121">
        <f t="shared" si="5"/>
        <v>0.24758216599190291</v>
      </c>
      <c r="L13" s="121">
        <f t="shared" si="6"/>
        <v>0.18321080283400815</v>
      </c>
    </row>
    <row r="14" spans="1:30" ht="14.25" customHeight="1" x14ac:dyDescent="0.3">
      <c r="A14" s="269" t="s">
        <v>192</v>
      </c>
      <c r="B14" s="219" t="s">
        <v>731</v>
      </c>
      <c r="C14" s="123" t="s">
        <v>14</v>
      </c>
      <c r="D14" s="124">
        <v>250</v>
      </c>
      <c r="E14" s="222">
        <f t="shared" si="4"/>
        <v>30.009959514170053</v>
      </c>
      <c r="F14" s="126">
        <v>1</v>
      </c>
      <c r="G14" s="118">
        <f t="shared" si="0"/>
        <v>7502.489878542513</v>
      </c>
      <c r="H14" s="119">
        <f t="shared" si="1"/>
        <v>7502.489878542513</v>
      </c>
      <c r="I14" s="80">
        <f>VLOOKUP(B14,All_Ingredients!$A$1:$F$149,6,FALSE())</f>
        <v>1</v>
      </c>
      <c r="J14" s="118">
        <f>VLOOKUP(B14,All_Ingredients!$A$1:$J$149,10,FALSE())</f>
        <v>8.1520833333333336</v>
      </c>
      <c r="K14" s="121">
        <f t="shared" si="5"/>
        <v>7.5024898785425131</v>
      </c>
      <c r="L14" s="121">
        <f t="shared" si="6"/>
        <v>61.160922697368449</v>
      </c>
    </row>
    <row r="15" spans="1:30" ht="14.25" customHeight="1" x14ac:dyDescent="0.3">
      <c r="A15" s="269" t="s">
        <v>13</v>
      </c>
      <c r="B15" s="219" t="s">
        <v>733</v>
      </c>
      <c r="C15" s="123" t="s">
        <v>14</v>
      </c>
      <c r="D15" s="124">
        <v>400</v>
      </c>
      <c r="E15" s="222">
        <f t="shared" si="4"/>
        <v>30.009959514170053</v>
      </c>
      <c r="F15" s="126">
        <v>1</v>
      </c>
      <c r="G15" s="118">
        <f t="shared" si="0"/>
        <v>12003.983805668022</v>
      </c>
      <c r="H15" s="119">
        <f t="shared" si="1"/>
        <v>12003.983805668022</v>
      </c>
      <c r="I15" s="80">
        <f>VLOOKUP(B15,All_Ingredients!$A$1:$F$149,6,FALSE())</f>
        <v>1</v>
      </c>
      <c r="J15" s="118">
        <f>VLOOKUP(B15,All_Ingredients!$A$1:$J$149,10,FALSE())</f>
        <v>16.25</v>
      </c>
      <c r="K15" s="121">
        <f t="shared" si="5"/>
        <v>12.003983805668021</v>
      </c>
      <c r="L15" s="121">
        <f t="shared" si="6"/>
        <v>195.06473684210533</v>
      </c>
    </row>
    <row r="16" spans="1:30" ht="14.25" customHeight="1" x14ac:dyDescent="0.3">
      <c r="A16" s="269" t="s">
        <v>206</v>
      </c>
      <c r="B16" s="219" t="s">
        <v>209</v>
      </c>
      <c r="C16" s="123" t="s">
        <v>161</v>
      </c>
      <c r="D16" s="124">
        <v>500</v>
      </c>
      <c r="E16" s="222">
        <f t="shared" si="4"/>
        <v>30.009959514170053</v>
      </c>
      <c r="F16" s="126">
        <v>1</v>
      </c>
      <c r="G16" s="118">
        <f t="shared" si="0"/>
        <v>15004.979757085026</v>
      </c>
      <c r="H16" s="119">
        <f t="shared" si="1"/>
        <v>15004.979757085026</v>
      </c>
      <c r="I16" s="80">
        <f>VLOOKUP(B16,All_Ingredients!$A$1:$F$149,6,FALSE())</f>
        <v>1</v>
      </c>
      <c r="J16" s="118">
        <f>VLOOKUP(B16,All_Ingredients!$A$1:$J$149,10,FALSE())</f>
        <v>0</v>
      </c>
      <c r="K16" s="121">
        <f t="shared" si="5"/>
        <v>15.004979757085026</v>
      </c>
      <c r="L16" s="121">
        <f t="shared" si="6"/>
        <v>0</v>
      </c>
    </row>
    <row r="17" spans="1:31" ht="14.25" customHeight="1" x14ac:dyDescent="0.3">
      <c r="A17" s="269" t="s">
        <v>154</v>
      </c>
      <c r="B17" s="219" t="s">
        <v>153</v>
      </c>
      <c r="C17" s="123" t="s">
        <v>14</v>
      </c>
      <c r="D17" s="124">
        <v>15</v>
      </c>
      <c r="E17" s="222">
        <f t="shared" si="4"/>
        <v>30.009959514170053</v>
      </c>
      <c r="F17" s="126">
        <v>1</v>
      </c>
      <c r="G17" s="118">
        <f t="shared" si="0"/>
        <v>450.14939271255076</v>
      </c>
      <c r="H17" s="119">
        <f t="shared" si="1"/>
        <v>450.14939271255076</v>
      </c>
      <c r="I17" s="80">
        <f>VLOOKUP(B17,All_Ingredients!$A$1:$F$149,6,FALSE())</f>
        <v>1</v>
      </c>
      <c r="J17" s="118">
        <f>VLOOKUP(B17,All_Ingredients!$A$1:$J$149,10,FALSE())</f>
        <v>30</v>
      </c>
      <c r="K17" s="121">
        <f t="shared" si="5"/>
        <v>0.45014939271255078</v>
      </c>
      <c r="L17" s="121">
        <f t="shared" si="6"/>
        <v>13.504481781376523</v>
      </c>
    </row>
    <row r="18" spans="1:31" ht="14.25" customHeight="1" x14ac:dyDescent="0.3">
      <c r="A18" s="269" t="s">
        <v>95</v>
      </c>
      <c r="B18" s="219" t="s">
        <v>140</v>
      </c>
      <c r="C18" s="123" t="s">
        <v>14</v>
      </c>
      <c r="D18" s="124">
        <v>10</v>
      </c>
      <c r="E18" s="222">
        <f t="shared" si="4"/>
        <v>30.009959514170053</v>
      </c>
      <c r="F18" s="126">
        <v>0.75</v>
      </c>
      <c r="G18" s="118">
        <f t="shared" si="0"/>
        <v>300.09959514170055</v>
      </c>
      <c r="H18" s="119">
        <f t="shared" si="1"/>
        <v>225.07469635627541</v>
      </c>
      <c r="I18" s="80">
        <f>VLOOKUP(B18,All_Ingredients!$A$1:$F$149,6,FALSE())</f>
        <v>1</v>
      </c>
      <c r="J18" s="118">
        <f>VLOOKUP(B18,All_Ingredients!$A$1:$J$149,10,FALSE())</f>
        <v>15.277777777777779</v>
      </c>
      <c r="K18" s="121">
        <f t="shared" si="5"/>
        <v>0.22507469635627542</v>
      </c>
      <c r="L18" s="121">
        <f t="shared" si="6"/>
        <v>3.4386411943319857</v>
      </c>
    </row>
    <row r="19" spans="1:31" ht="14.25" customHeight="1" x14ac:dyDescent="0.3">
      <c r="A19" s="269" t="s">
        <v>95</v>
      </c>
      <c r="B19" s="219" t="s">
        <v>94</v>
      </c>
      <c r="C19" s="123" t="s">
        <v>14</v>
      </c>
      <c r="D19" s="124">
        <v>5</v>
      </c>
      <c r="E19" s="222">
        <f t="shared" si="4"/>
        <v>30.009959514170053</v>
      </c>
      <c r="F19" s="126">
        <v>1</v>
      </c>
      <c r="G19" s="118">
        <f t="shared" si="0"/>
        <v>150.04979757085027</v>
      </c>
      <c r="H19" s="119">
        <f t="shared" si="1"/>
        <v>150.04979757085027</v>
      </c>
      <c r="I19" s="80">
        <f>VLOOKUP(B19,All_Ingredients!$A$1:$F$149,6,FALSE())</f>
        <v>1</v>
      </c>
      <c r="J19" s="118">
        <f>VLOOKUP(B19,All_Ingredients!$A$1:$J$149,10,FALSE())</f>
        <v>0.74</v>
      </c>
      <c r="K19" s="121">
        <f t="shared" si="5"/>
        <v>0.15004979757085027</v>
      </c>
      <c r="L19" s="121">
        <f t="shared" si="6"/>
        <v>0.11103685020242919</v>
      </c>
    </row>
    <row r="20" spans="1:31" ht="14.25" customHeight="1" x14ac:dyDescent="0.3">
      <c r="B20" s="99"/>
      <c r="E20" s="99"/>
      <c r="F20" s="99"/>
      <c r="L20" s="208"/>
    </row>
    <row r="21" spans="1:31" ht="14.25" customHeight="1" x14ac:dyDescent="0.3">
      <c r="B21" s="99"/>
      <c r="E21" s="99"/>
      <c r="F21" s="99"/>
      <c r="L21" s="208"/>
    </row>
    <row r="22" spans="1:31" ht="14.25" customHeight="1" x14ac:dyDescent="0.3">
      <c r="L22" s="208"/>
    </row>
    <row r="23" spans="1:31" ht="14.25" customHeight="1" x14ac:dyDescent="0.3">
      <c r="L23" s="208"/>
    </row>
    <row r="24" spans="1:31" ht="14.25" customHeight="1" x14ac:dyDescent="0.3">
      <c r="L24" s="208"/>
      <c r="R24" s="5"/>
      <c r="Z24" s="1265"/>
    </row>
    <row r="25" spans="1:31" ht="14.25" customHeight="1" x14ac:dyDescent="0.35">
      <c r="L25" s="208"/>
      <c r="R25" s="1440" t="s">
        <v>658</v>
      </c>
      <c r="S25" s="1444"/>
      <c r="T25" s="1444"/>
      <c r="U25" s="1444"/>
      <c r="Z25" s="140" t="s">
        <v>256</v>
      </c>
      <c r="AA25" s="141">
        <v>1</v>
      </c>
      <c r="AB25" s="140" t="s">
        <v>253</v>
      </c>
      <c r="AC25" s="1356">
        <f>(AA25*(17/10))*AE30</f>
        <v>5.0791343582342288E-2</v>
      </c>
      <c r="AD25" s="14"/>
    </row>
    <row r="26" spans="1:31" ht="14.25" customHeight="1" x14ac:dyDescent="0.3">
      <c r="L26" s="208"/>
      <c r="R26" s="1459" t="s">
        <v>309</v>
      </c>
      <c r="S26" s="1444"/>
      <c r="T26" s="1444"/>
      <c r="U26" s="1444"/>
      <c r="Z26" s="14"/>
      <c r="AA26" s="14"/>
      <c r="AB26" s="14"/>
      <c r="AC26" s="14"/>
      <c r="AD26" s="14"/>
    </row>
    <row r="27" spans="1:31" ht="14.25" customHeight="1" thickBot="1" x14ac:dyDescent="0.35">
      <c r="R27" s="144" t="s">
        <v>258</v>
      </c>
      <c r="S27" s="145" t="s">
        <v>310</v>
      </c>
      <c r="T27" s="145" t="s">
        <v>260</v>
      </c>
      <c r="U27" s="145" t="s">
        <v>261</v>
      </c>
      <c r="V27" s="145" t="s">
        <v>817</v>
      </c>
      <c r="Z27" s="140" t="s">
        <v>262</v>
      </c>
      <c r="AA27" s="146" t="s">
        <v>263</v>
      </c>
      <c r="AB27" s="146" t="s">
        <v>264</v>
      </c>
      <c r="AC27" s="146" t="s">
        <v>265</v>
      </c>
      <c r="AD27" s="1167" t="s">
        <v>817</v>
      </c>
      <c r="AE27" s="146" t="s">
        <v>266</v>
      </c>
    </row>
    <row r="28" spans="1:31" ht="14.25" customHeight="1" thickBot="1" x14ac:dyDescent="0.35">
      <c r="B28" s="99"/>
      <c r="E28" s="99"/>
      <c r="F28" s="99"/>
      <c r="R28" s="147" t="s">
        <v>267</v>
      </c>
      <c r="S28" s="1371">
        <f>U28*S40</f>
        <v>23561.538461538457</v>
      </c>
      <c r="T28" s="1371">
        <f>U28*U40</f>
        <v>7068.4615384615454</v>
      </c>
      <c r="U28" s="1342">
        <f>$Z$1</f>
        <v>30630</v>
      </c>
      <c r="V28" s="148">
        <f>H37</f>
        <v>15.190000000000001</v>
      </c>
      <c r="Z28" s="150"/>
      <c r="AA28" s="151">
        <f>AA25*$S$40</f>
        <v>0.76923076923076905</v>
      </c>
      <c r="AB28" s="151">
        <f>AA25-AA28</f>
        <v>0.23076923076923095</v>
      </c>
      <c r="AC28" s="152">
        <f>AA25*0.7</f>
        <v>0.7</v>
      </c>
      <c r="AD28" s="1169"/>
      <c r="AE28" s="153">
        <f>SUM(AA28:AC28)</f>
        <v>1.7</v>
      </c>
    </row>
    <row r="29" spans="1:31" ht="14.25" customHeight="1" thickBot="1" x14ac:dyDescent="0.35">
      <c r="B29" s="99"/>
      <c r="E29" s="99"/>
      <c r="F29" s="99"/>
      <c r="R29" s="147" t="s">
        <v>268</v>
      </c>
      <c r="S29" s="1374"/>
      <c r="T29" s="148">
        <f>U28*0.7</f>
        <v>21441</v>
      </c>
      <c r="U29" s="1371">
        <f>T29</f>
        <v>21441</v>
      </c>
      <c r="V29" s="148"/>
      <c r="Z29" s="150"/>
      <c r="AA29" s="155">
        <f>AA28/$AE$28</f>
        <v>0.45248868778280532</v>
      </c>
      <c r="AB29" s="155">
        <f>AB28/$AE$28</f>
        <v>0.13574660633484173</v>
      </c>
      <c r="AC29" s="155">
        <f>AC28/$AE$28</f>
        <v>0.41176470588235292</v>
      </c>
      <c r="AD29" s="1173"/>
      <c r="AE29" s="155">
        <f>AE28/$AE$28</f>
        <v>1</v>
      </c>
    </row>
    <row r="30" spans="1:31" ht="14.75" customHeight="1" thickBot="1" x14ac:dyDescent="0.35">
      <c r="R30" s="147" t="s">
        <v>269</v>
      </c>
      <c r="S30" s="1370">
        <f>U30*S40</f>
        <v>0</v>
      </c>
      <c r="T30" s="1370">
        <f>U30*U40</f>
        <v>0</v>
      </c>
      <c r="U30" s="1384"/>
      <c r="V30" s="1124"/>
      <c r="Z30" s="140" t="s">
        <v>270</v>
      </c>
      <c r="AA30" s="156">
        <f>S35/(S32)</f>
        <v>5.1198257080610016E-2</v>
      </c>
      <c r="AB30" s="157">
        <f>T35/T32</f>
        <v>1.2219716416040102E-2</v>
      </c>
      <c r="AC30" s="157">
        <f>T35/T32</f>
        <v>1.2219716416040102E-2</v>
      </c>
      <c r="AD30" s="1180">
        <f>V35/U32</f>
        <v>2.0195797749522473E-5</v>
      </c>
      <c r="AE30" s="1182">
        <f>SUMPRODUCT(AA30:AC30,AA29:AC29)+(AD30)</f>
        <v>2.987726093078958E-2</v>
      </c>
    </row>
    <row r="31" spans="1:31" ht="42.5" customHeight="1" thickBot="1" x14ac:dyDescent="0.35">
      <c r="K31" s="283"/>
      <c r="R31" s="147" t="s">
        <v>271</v>
      </c>
      <c r="S31" s="154"/>
      <c r="T31" s="148"/>
      <c r="U31" s="148"/>
      <c r="V31" s="148"/>
    </row>
    <row r="32" spans="1:31" ht="25.25" customHeight="1" thickBot="1" x14ac:dyDescent="0.35">
      <c r="K32" s="261"/>
      <c r="R32" s="159" t="s">
        <v>261</v>
      </c>
      <c r="S32" s="148">
        <f>SUM(S28:S30)</f>
        <v>23561.538461538457</v>
      </c>
      <c r="T32" s="148">
        <f>SUM(T28:T30)</f>
        <v>28509.461538461546</v>
      </c>
      <c r="U32" s="148">
        <f>SUM(U28:U30)</f>
        <v>52071</v>
      </c>
      <c r="V32" s="148">
        <f>SUM(V28:V30)</f>
        <v>15.190000000000001</v>
      </c>
    </row>
    <row r="33" spans="2:24" ht="14.25" customHeight="1" thickBot="1" x14ac:dyDescent="0.35">
      <c r="B33" s="99"/>
      <c r="E33" s="99"/>
      <c r="F33" s="99"/>
      <c r="R33" s="160" t="s">
        <v>272</v>
      </c>
      <c r="S33" s="154"/>
      <c r="T33" s="154"/>
      <c r="U33" s="154"/>
      <c r="V33" s="154"/>
    </row>
    <row r="34" spans="2:24" ht="14.25" customHeight="1" thickBot="1" x14ac:dyDescent="0.35">
      <c r="R34" s="284" t="s">
        <v>273</v>
      </c>
      <c r="S34" s="154"/>
      <c r="T34" s="148"/>
      <c r="U34" s="154"/>
      <c r="V34" s="154"/>
    </row>
    <row r="35" spans="2:24" ht="14.25" customHeight="1" thickBot="1" x14ac:dyDescent="0.35">
      <c r="B35" s="1453" t="s">
        <v>657</v>
      </c>
      <c r="C35" s="1454"/>
      <c r="D35" s="1454"/>
      <c r="E35" s="1454"/>
      <c r="F35" s="1455"/>
      <c r="G35" s="877"/>
      <c r="H35" s="877"/>
      <c r="I35" s="877"/>
      <c r="J35" s="877"/>
      <c r="K35" s="877"/>
      <c r="L35" s="877"/>
      <c r="R35" s="162" t="s">
        <v>253</v>
      </c>
      <c r="S35" s="1125">
        <f>$L$5</f>
        <v>1206.3097033685265</v>
      </c>
      <c r="T35" s="1125">
        <f>SUM(L6:L19)</f>
        <v>348.37753517400245</v>
      </c>
      <c r="U35" s="1184">
        <f>S35+T35+V35</f>
        <v>1555.7388539271444</v>
      </c>
      <c r="V35" s="1184">
        <f>SUM(L37)</f>
        <v>1.0516153846153846</v>
      </c>
    </row>
    <row r="36" spans="2:24" ht="46.5" x14ac:dyDescent="0.3">
      <c r="B36" s="848" t="s">
        <v>245</v>
      </c>
      <c r="C36" s="848" t="s">
        <v>321</v>
      </c>
      <c r="D36" s="850" t="s">
        <v>645</v>
      </c>
      <c r="E36" s="847" t="s">
        <v>646</v>
      </c>
      <c r="F36" s="850" t="s">
        <v>647</v>
      </c>
      <c r="G36" s="870"/>
      <c r="H36" s="850" t="s">
        <v>647</v>
      </c>
      <c r="I36" s="850" t="s">
        <v>250</v>
      </c>
      <c r="J36" s="850" t="s">
        <v>251</v>
      </c>
      <c r="K36" s="850" t="s">
        <v>252</v>
      </c>
      <c r="L36" s="850" t="s">
        <v>253</v>
      </c>
    </row>
    <row r="37" spans="2:24" x14ac:dyDescent="0.3">
      <c r="B37" s="843" t="s">
        <v>716</v>
      </c>
      <c r="C37" s="844" t="s">
        <v>14</v>
      </c>
      <c r="D37" s="845">
        <v>7.0000000000000007E-2</v>
      </c>
      <c r="E37" s="843">
        <f>$AD$1</f>
        <v>217</v>
      </c>
      <c r="F37" s="843">
        <f>D37*E37</f>
        <v>15.190000000000001</v>
      </c>
      <c r="H37" s="843">
        <f>F37</f>
        <v>15.190000000000001</v>
      </c>
      <c r="I37" s="843">
        <f>VLOOKUP(B37,All_Ingredients!$A$1:$F$149,6,FALSE())</f>
        <v>0.65</v>
      </c>
      <c r="J37" s="843">
        <f>VLOOKUP(B37,All_Ingredients!$A$1:$J$149,10,FALSE())</f>
        <v>45</v>
      </c>
      <c r="K37" s="843">
        <f>(H37/I37)/1000</f>
        <v>2.3369230769230771E-2</v>
      </c>
      <c r="L37" s="843">
        <f t="shared" ref="L37" si="7">K37*J37</f>
        <v>1.0516153846153846</v>
      </c>
    </row>
    <row r="40" spans="2:24" ht="13.25" customHeight="1" x14ac:dyDescent="0.3">
      <c r="Q40" s="14"/>
      <c r="R40" s="164" t="s">
        <v>274</v>
      </c>
      <c r="S40" s="165">
        <v>0.76923076923076905</v>
      </c>
      <c r="T40" s="164" t="s">
        <v>275</v>
      </c>
      <c r="U40" s="166">
        <v>0.230769230769231</v>
      </c>
      <c r="V40" s="167">
        <f>S40+U40</f>
        <v>1</v>
      </c>
      <c r="W40" s="14"/>
      <c r="X40" s="14"/>
    </row>
    <row r="41" spans="2:24" ht="14.25" customHeight="1" x14ac:dyDescent="0.3">
      <c r="Q41" s="14"/>
      <c r="R41" s="14"/>
      <c r="S41" s="14"/>
      <c r="T41" s="14"/>
      <c r="U41" s="168"/>
      <c r="V41" s="14"/>
      <c r="W41" s="14"/>
      <c r="X41" s="14"/>
    </row>
    <row r="42" spans="2:24" ht="14.25" customHeight="1" x14ac:dyDescent="0.3">
      <c r="Q42" s="14"/>
      <c r="R42" s="14"/>
      <c r="S42" s="14"/>
      <c r="T42" s="14"/>
      <c r="U42" s="14"/>
      <c r="V42" s="14"/>
      <c r="W42" s="14"/>
      <c r="X42" s="14"/>
    </row>
    <row r="43" spans="2:24" ht="14.25" customHeight="1" x14ac:dyDescent="0.3">
      <c r="Q43" s="169" t="s">
        <v>276</v>
      </c>
      <c r="R43" s="169" t="s">
        <v>277</v>
      </c>
      <c r="S43" s="169" t="s">
        <v>278</v>
      </c>
      <c r="T43" s="169" t="s">
        <v>279</v>
      </c>
      <c r="U43" s="169" t="s">
        <v>280</v>
      </c>
      <c r="V43" s="169" t="s">
        <v>281</v>
      </c>
      <c r="W43" s="257" t="s">
        <v>282</v>
      </c>
      <c r="X43" s="320"/>
    </row>
    <row r="44" spans="2:24" ht="14.25" customHeight="1" x14ac:dyDescent="0.3">
      <c r="Q44" s="171">
        <v>10745</v>
      </c>
      <c r="R44" s="172">
        <f>D51</f>
        <v>10000</v>
      </c>
      <c r="S44" s="173">
        <v>0.24790000000000001</v>
      </c>
      <c r="T44" s="173">
        <v>0.75209999999999999</v>
      </c>
      <c r="U44" s="241">
        <f>R44*S44</f>
        <v>2479</v>
      </c>
      <c r="V44" s="175">
        <f>R44*T44</f>
        <v>7521</v>
      </c>
      <c r="W44" s="259">
        <f>Q44-U44</f>
        <v>8266</v>
      </c>
      <c r="X44" s="297"/>
    </row>
    <row r="50" spans="1:10" x14ac:dyDescent="0.3">
      <c r="B50" s="144"/>
      <c r="C50" s="144" t="s">
        <v>237</v>
      </c>
      <c r="D50" s="144" t="s">
        <v>283</v>
      </c>
      <c r="E50" s="182"/>
      <c r="F50" s="99"/>
      <c r="G50" s="144" t="s">
        <v>284</v>
      </c>
      <c r="H50" s="144" t="s">
        <v>237</v>
      </c>
      <c r="I50" s="144" t="s">
        <v>285</v>
      </c>
      <c r="J50" s="144" t="s">
        <v>286</v>
      </c>
    </row>
    <row r="51" spans="1:10" x14ac:dyDescent="0.3">
      <c r="B51" s="179" t="s">
        <v>287</v>
      </c>
      <c r="C51" s="180">
        <f>10/$K$1</f>
        <v>10.526315789473685</v>
      </c>
      <c r="D51" s="181">
        <f>$C$1*10</f>
        <v>10000</v>
      </c>
      <c r="E51" s="99"/>
      <c r="F51" s="99"/>
      <c r="G51" s="179" t="s">
        <v>287</v>
      </c>
      <c r="H51" s="276">
        <f>I51/$D$5</f>
        <v>10</v>
      </c>
      <c r="I51" s="180">
        <f t="shared" ref="I51:I56" si="8">J51/$R$1</f>
        <v>16207.843137254902</v>
      </c>
      <c r="J51" s="180">
        <f>$W$44</f>
        <v>8266</v>
      </c>
    </row>
    <row r="52" spans="1:10" ht="17.25" customHeight="1" x14ac:dyDescent="0.3">
      <c r="B52" s="230" t="s">
        <v>266</v>
      </c>
      <c r="C52" s="231">
        <f>$I$1</f>
        <v>30.009959514170053</v>
      </c>
      <c r="D52" s="232">
        <f>$E$1</f>
        <v>28509.461538461546</v>
      </c>
      <c r="E52" s="99"/>
      <c r="F52" s="99"/>
      <c r="G52" s="147" t="s">
        <v>266</v>
      </c>
      <c r="H52" s="209">
        <f>I52/$D$5</f>
        <v>28.504159764745289</v>
      </c>
      <c r="I52" s="175">
        <f t="shared" si="8"/>
        <v>46199.095022624424</v>
      </c>
      <c r="J52" s="183">
        <f>$S$32</f>
        <v>23561.538461538457</v>
      </c>
    </row>
    <row r="53" spans="1:10" ht="22.25" customHeight="1" x14ac:dyDescent="0.3">
      <c r="B53" s="230" t="s">
        <v>288</v>
      </c>
      <c r="C53" s="233">
        <f>MIN(C52, C51)</f>
        <v>10.526315789473685</v>
      </c>
      <c r="D53" s="232">
        <f>(C53*$K$1)*$C$1</f>
        <v>10000</v>
      </c>
      <c r="E53" s="99"/>
      <c r="F53" s="99"/>
      <c r="G53" s="147" t="s">
        <v>288</v>
      </c>
      <c r="H53" s="186">
        <f>MIN(H52,H51)</f>
        <v>10</v>
      </c>
      <c r="I53" s="175">
        <f t="shared" si="8"/>
        <v>16207.843137254902</v>
      </c>
      <c r="J53" s="175">
        <f>MIN(J52,J51)</f>
        <v>8266</v>
      </c>
    </row>
    <row r="54" spans="1:10" x14ac:dyDescent="0.3">
      <c r="B54" s="230" t="s">
        <v>289</v>
      </c>
      <c r="C54" s="233">
        <f>MIN(MAX(C52-C53,0),C51)</f>
        <v>10.526315789473685</v>
      </c>
      <c r="D54" s="232">
        <f>(C54*$K$1)*$C$1</f>
        <v>10000</v>
      </c>
      <c r="E54" s="99"/>
      <c r="F54" s="99"/>
      <c r="G54" s="147" t="s">
        <v>289</v>
      </c>
      <c r="H54" s="186">
        <f>MIN(MAX(H52-H53),H51)</f>
        <v>10</v>
      </c>
      <c r="I54" s="175">
        <f t="shared" si="8"/>
        <v>16207.843137254902</v>
      </c>
      <c r="J54" s="175">
        <f>MIN(MAX(J52-J53),J51)</f>
        <v>8266</v>
      </c>
    </row>
    <row r="55" spans="1:10" x14ac:dyDescent="0.3">
      <c r="B55" s="230" t="s">
        <v>290</v>
      </c>
      <c r="C55" s="233">
        <f>MIN(MAX(C52-C53-C54,0),C51)</f>
        <v>8.9573279352226827</v>
      </c>
      <c r="D55" s="232">
        <f>(C55*$K$1)*$C$1</f>
        <v>8509.4615384615481</v>
      </c>
      <c r="E55" s="99"/>
      <c r="F55" s="99"/>
      <c r="G55" s="144" t="s">
        <v>290</v>
      </c>
      <c r="H55" s="186">
        <f>MIN(MAX(H52-H53-H54),H51)</f>
        <v>8.5041597647452889</v>
      </c>
      <c r="I55" s="175">
        <f t="shared" si="8"/>
        <v>13783.408748114622</v>
      </c>
      <c r="J55" s="175">
        <f>MIN(MAX(J52-J53-J54),J51)</f>
        <v>7029.5384615384573</v>
      </c>
    </row>
    <row r="56" spans="1:10" x14ac:dyDescent="0.3">
      <c r="B56" s="230" t="s">
        <v>297</v>
      </c>
      <c r="C56" s="233">
        <f>MIN(MAX(C52-C53-C54-C55,0),C51)</f>
        <v>0</v>
      </c>
      <c r="D56" s="232">
        <f>(C56*$K$1)*$C$1</f>
        <v>0</v>
      </c>
      <c r="G56" s="144" t="s">
        <v>297</v>
      </c>
      <c r="H56" s="186">
        <f>MIN(MAX(H52-H53-H54-H55),H51)</f>
        <v>0</v>
      </c>
      <c r="I56" s="175">
        <f t="shared" si="8"/>
        <v>0</v>
      </c>
      <c r="J56" s="175">
        <f>MIN(MAX(J52-J53-J54-J55),J51)</f>
        <v>0</v>
      </c>
    </row>
    <row r="62" spans="1:10" ht="17.75" customHeight="1" x14ac:dyDescent="0.3">
      <c r="A62" s="923"/>
      <c r="B62" s="1447" t="str">
        <f>"بامية لحم 1 / " &amp; COUNTIF($C$53:$C$56, "&gt;0")</f>
        <v>بامية لحم 1 / 3</v>
      </c>
      <c r="C62" s="1456"/>
      <c r="D62" s="1456"/>
      <c r="E62" s="1456"/>
      <c r="F62" s="1456"/>
      <c r="G62" s="1456"/>
      <c r="H62" s="1456"/>
    </row>
    <row r="63" spans="1:10" ht="17.75" customHeight="1" x14ac:dyDescent="0.3">
      <c r="A63" s="923"/>
      <c r="B63" s="1438" t="str">
        <f>"Meat with Bamiya 1 / " &amp; COUNTIF($C$53:$C$56, "&gt;0")</f>
        <v>Meat with Bamiya 1 / 3</v>
      </c>
      <c r="C63" s="1439"/>
      <c r="D63" s="1439"/>
      <c r="E63" s="1439"/>
      <c r="F63" s="1439"/>
      <c r="G63" s="1439"/>
      <c r="H63" s="1439"/>
    </row>
    <row r="64" spans="1:10" ht="52.5" customHeight="1" x14ac:dyDescent="0.3">
      <c r="A64" s="90"/>
      <c r="B64" s="90" t="s">
        <v>245</v>
      </c>
      <c r="C64" s="106" t="s">
        <v>246</v>
      </c>
      <c r="D64" s="90" t="s">
        <v>235</v>
      </c>
      <c r="E64" s="107" t="s">
        <v>238</v>
      </c>
      <c r="F64" s="107" t="s">
        <v>247</v>
      </c>
      <c r="G64" s="90" t="s">
        <v>248</v>
      </c>
      <c r="H64" s="108" t="s">
        <v>249</v>
      </c>
    </row>
    <row r="65" spans="1:10" ht="14.25" customHeight="1" x14ac:dyDescent="0.3">
      <c r="A65" s="218" t="s">
        <v>225</v>
      </c>
      <c r="B65" s="285" t="str">
        <f t="shared" ref="B65:C79" si="9">B5</f>
        <v>Indian Meat Alana  - لحم هندى ألانا</v>
      </c>
      <c r="C65" s="285" t="str">
        <f t="shared" si="9"/>
        <v>gm</v>
      </c>
      <c r="D65" s="286">
        <f>H53</f>
        <v>10</v>
      </c>
      <c r="E65" s="115">
        <f>H53</f>
        <v>10</v>
      </c>
      <c r="F65" s="126">
        <f t="shared" ref="F65:F79" si="10">F5</f>
        <v>1</v>
      </c>
      <c r="G65" s="118">
        <f t="shared" ref="G65:G79" si="11">D65*E65</f>
        <v>100</v>
      </c>
      <c r="H65" s="119">
        <f t="shared" ref="H65:H79" si="12">G65*F65</f>
        <v>100</v>
      </c>
    </row>
    <row r="66" spans="1:10" ht="14.25" customHeight="1" x14ac:dyDescent="0.3">
      <c r="A66" s="269" t="s">
        <v>13</v>
      </c>
      <c r="B66" s="285" t="str">
        <f t="shared" si="9"/>
        <v>Onion - بصل</v>
      </c>
      <c r="C66" s="285" t="str">
        <f t="shared" si="9"/>
        <v>gm</v>
      </c>
      <c r="D66" s="285">
        <f t="shared" ref="D66:D79" si="13">D6</f>
        <v>150</v>
      </c>
      <c r="E66" s="115">
        <f t="shared" ref="E66:E79" si="14">$C$53</f>
        <v>10.526315789473685</v>
      </c>
      <c r="F66" s="126">
        <f t="shared" si="10"/>
        <v>1</v>
      </c>
      <c r="G66" s="118">
        <f t="shared" si="11"/>
        <v>1578.9473684210527</v>
      </c>
      <c r="H66" s="119">
        <f t="shared" si="12"/>
        <v>1578.9473684210527</v>
      </c>
    </row>
    <row r="67" spans="1:10" ht="14.25" customHeight="1" x14ac:dyDescent="0.3">
      <c r="A67" s="269" t="s">
        <v>13</v>
      </c>
      <c r="B67" s="285" t="str">
        <f t="shared" si="9"/>
        <v>Tomato - طماطم</v>
      </c>
      <c r="C67" s="285" t="str">
        <f t="shared" si="9"/>
        <v>gm</v>
      </c>
      <c r="D67" s="285">
        <f t="shared" si="13"/>
        <v>400</v>
      </c>
      <c r="E67" s="115">
        <f t="shared" si="14"/>
        <v>10.526315789473685</v>
      </c>
      <c r="F67" s="126">
        <f t="shared" si="10"/>
        <v>1</v>
      </c>
      <c r="G67" s="118">
        <f t="shared" si="11"/>
        <v>4210.5263157894742</v>
      </c>
      <c r="H67" s="119">
        <f t="shared" si="12"/>
        <v>4210.5263157894742</v>
      </c>
    </row>
    <row r="68" spans="1:10" ht="14.25" customHeight="1" x14ac:dyDescent="0.3">
      <c r="A68" s="269" t="s">
        <v>13</v>
      </c>
      <c r="B68" s="285" t="str">
        <f t="shared" si="9"/>
        <v>Garlic - ثوم مقشر</v>
      </c>
      <c r="C68" s="285" t="str">
        <f t="shared" si="9"/>
        <v>gm</v>
      </c>
      <c r="D68" s="285">
        <f t="shared" si="13"/>
        <v>35</v>
      </c>
      <c r="E68" s="115">
        <f t="shared" si="14"/>
        <v>10.526315789473685</v>
      </c>
      <c r="F68" s="126">
        <f t="shared" si="10"/>
        <v>1</v>
      </c>
      <c r="G68" s="118">
        <f t="shared" si="11"/>
        <v>368.42105263157896</v>
      </c>
      <c r="H68" s="119">
        <f t="shared" si="12"/>
        <v>368.42105263157896</v>
      </c>
    </row>
    <row r="69" spans="1:10" ht="14.25" customHeight="1" x14ac:dyDescent="0.3">
      <c r="A69" s="269" t="s">
        <v>95</v>
      </c>
      <c r="B69" s="285" t="str">
        <f t="shared" si="9"/>
        <v>Black Pepper Powder - فلفل أسود مطحون</v>
      </c>
      <c r="C69" s="285" t="str">
        <f t="shared" si="9"/>
        <v>gm</v>
      </c>
      <c r="D69" s="285">
        <f t="shared" si="13"/>
        <v>3</v>
      </c>
      <c r="E69" s="115">
        <f t="shared" si="14"/>
        <v>10.526315789473685</v>
      </c>
      <c r="F69" s="126">
        <f t="shared" si="10"/>
        <v>1</v>
      </c>
      <c r="G69" s="118">
        <f t="shared" si="11"/>
        <v>31.578947368421055</v>
      </c>
      <c r="H69" s="119">
        <f t="shared" si="12"/>
        <v>31.578947368421055</v>
      </c>
    </row>
    <row r="70" spans="1:10" ht="14.25" customHeight="1" x14ac:dyDescent="0.3">
      <c r="A70" s="269" t="s">
        <v>95</v>
      </c>
      <c r="B70" s="285" t="str">
        <f t="shared" si="9"/>
        <v>Cumin Powder - كمون مطحون</v>
      </c>
      <c r="C70" s="285" t="str">
        <f t="shared" si="9"/>
        <v>gm</v>
      </c>
      <c r="D70" s="285">
        <f t="shared" si="13"/>
        <v>5</v>
      </c>
      <c r="E70" s="115">
        <f t="shared" si="14"/>
        <v>10.526315789473685</v>
      </c>
      <c r="F70" s="126">
        <f t="shared" si="10"/>
        <v>0.75</v>
      </c>
      <c r="G70" s="118">
        <f t="shared" si="11"/>
        <v>52.631578947368425</v>
      </c>
      <c r="H70" s="119">
        <f t="shared" si="12"/>
        <v>39.473684210526315</v>
      </c>
    </row>
    <row r="71" spans="1:10" ht="14.25" customHeight="1" x14ac:dyDescent="0.3">
      <c r="A71" s="269" t="s">
        <v>95</v>
      </c>
      <c r="B71" s="285" t="str">
        <f t="shared" si="9"/>
        <v>Coriander Powder - كزبرة مطحونة</v>
      </c>
      <c r="C71" s="285" t="str">
        <f t="shared" si="9"/>
        <v>gm</v>
      </c>
      <c r="D71" s="285">
        <f t="shared" si="13"/>
        <v>5</v>
      </c>
      <c r="E71" s="115">
        <f t="shared" si="14"/>
        <v>10.526315789473685</v>
      </c>
      <c r="F71" s="126">
        <f t="shared" si="10"/>
        <v>0.75</v>
      </c>
      <c r="G71" s="118">
        <f t="shared" si="11"/>
        <v>52.631578947368425</v>
      </c>
      <c r="H71" s="119">
        <f t="shared" si="12"/>
        <v>39.473684210526315</v>
      </c>
    </row>
    <row r="72" spans="1:10" ht="14.25" customHeight="1" x14ac:dyDescent="0.3">
      <c r="A72" s="269" t="s">
        <v>95</v>
      </c>
      <c r="B72" s="285" t="str">
        <f t="shared" si="9"/>
        <v>Cinnamon Powder - قرفة مطحونة</v>
      </c>
      <c r="C72" s="285" t="str">
        <f t="shared" si="9"/>
        <v>gm</v>
      </c>
      <c r="D72" s="285">
        <f t="shared" si="13"/>
        <v>2</v>
      </c>
      <c r="E72" s="115">
        <f t="shared" si="14"/>
        <v>10.526315789473685</v>
      </c>
      <c r="F72" s="126">
        <f t="shared" si="10"/>
        <v>0.75</v>
      </c>
      <c r="G72" s="118">
        <f t="shared" si="11"/>
        <v>21.05263157894737</v>
      </c>
      <c r="H72" s="119">
        <f t="shared" si="12"/>
        <v>15.789473684210527</v>
      </c>
    </row>
    <row r="73" spans="1:10" ht="14.25" customHeight="1" x14ac:dyDescent="0.3">
      <c r="A73" s="269" t="s">
        <v>95</v>
      </c>
      <c r="B73" s="285" t="str">
        <f t="shared" si="9"/>
        <v>Salt - ملح</v>
      </c>
      <c r="C73" s="285" t="str">
        <f t="shared" si="9"/>
        <v>gm</v>
      </c>
      <c r="D73" s="285">
        <f t="shared" si="13"/>
        <v>11</v>
      </c>
      <c r="E73" s="115">
        <f t="shared" si="14"/>
        <v>10.526315789473685</v>
      </c>
      <c r="F73" s="126">
        <f t="shared" si="10"/>
        <v>0.75</v>
      </c>
      <c r="G73" s="118">
        <f t="shared" si="11"/>
        <v>115.78947368421053</v>
      </c>
      <c r="H73" s="119">
        <f t="shared" si="12"/>
        <v>86.842105263157904</v>
      </c>
    </row>
    <row r="74" spans="1:10" ht="14.25" customHeight="1" x14ac:dyDescent="0.3">
      <c r="A74" s="269" t="s">
        <v>192</v>
      </c>
      <c r="B74" s="285" t="str">
        <f t="shared" si="9"/>
        <v>Tomato Paste - صلصة طماطم</v>
      </c>
      <c r="C74" s="285" t="str">
        <f t="shared" si="9"/>
        <v>gm</v>
      </c>
      <c r="D74" s="285">
        <f t="shared" si="13"/>
        <v>250</v>
      </c>
      <c r="E74" s="115">
        <f t="shared" si="14"/>
        <v>10.526315789473685</v>
      </c>
      <c r="F74" s="126">
        <f t="shared" si="10"/>
        <v>1</v>
      </c>
      <c r="G74" s="118">
        <f t="shared" si="11"/>
        <v>2631.5789473684213</v>
      </c>
      <c r="H74" s="119">
        <f t="shared" si="12"/>
        <v>2631.5789473684213</v>
      </c>
    </row>
    <row r="75" spans="1:10" ht="14.25" customHeight="1" x14ac:dyDescent="0.3">
      <c r="A75" s="269" t="s">
        <v>13</v>
      </c>
      <c r="B75" s="285" t="str">
        <f t="shared" si="9"/>
        <v>Frozen Okra - بامية مجمدة</v>
      </c>
      <c r="C75" s="285" t="str">
        <f t="shared" si="9"/>
        <v>gm</v>
      </c>
      <c r="D75" s="285">
        <f t="shared" si="13"/>
        <v>400</v>
      </c>
      <c r="E75" s="115">
        <f t="shared" si="14"/>
        <v>10.526315789473685</v>
      </c>
      <c r="F75" s="126">
        <f t="shared" si="10"/>
        <v>1</v>
      </c>
      <c r="G75" s="118">
        <f t="shared" si="11"/>
        <v>4210.5263157894742</v>
      </c>
      <c r="H75" s="119">
        <f t="shared" si="12"/>
        <v>4210.5263157894742</v>
      </c>
    </row>
    <row r="76" spans="1:10" ht="14.25" customHeight="1" x14ac:dyDescent="0.3">
      <c r="A76" s="269" t="s">
        <v>206</v>
      </c>
      <c r="B76" s="285" t="str">
        <f t="shared" si="9"/>
        <v>Beef Stock - مرق لحم بقري</v>
      </c>
      <c r="C76" s="285" t="str">
        <f t="shared" si="9"/>
        <v>ml</v>
      </c>
      <c r="D76" s="285">
        <f t="shared" si="13"/>
        <v>500</v>
      </c>
      <c r="E76" s="115">
        <f t="shared" si="14"/>
        <v>10.526315789473685</v>
      </c>
      <c r="F76" s="126">
        <f t="shared" si="10"/>
        <v>1</v>
      </c>
      <c r="G76" s="118">
        <f t="shared" si="11"/>
        <v>5263.1578947368425</v>
      </c>
      <c r="H76" s="119">
        <f t="shared" si="12"/>
        <v>5263.1578947368425</v>
      </c>
    </row>
    <row r="77" spans="1:10" ht="14.25" customHeight="1" x14ac:dyDescent="0.3">
      <c r="A77" s="269" t="s">
        <v>154</v>
      </c>
      <c r="B77" s="285" t="str">
        <f t="shared" si="9"/>
        <v>Butter - زبدة</v>
      </c>
      <c r="C77" s="285" t="str">
        <f t="shared" si="9"/>
        <v>gm</v>
      </c>
      <c r="D77" s="285">
        <f t="shared" si="13"/>
        <v>15</v>
      </c>
      <c r="E77" s="115">
        <f t="shared" si="14"/>
        <v>10.526315789473685</v>
      </c>
      <c r="F77" s="126">
        <f t="shared" si="10"/>
        <v>1</v>
      </c>
      <c r="G77" s="118">
        <f t="shared" si="11"/>
        <v>157.89473684210526</v>
      </c>
      <c r="H77" s="119">
        <f t="shared" si="12"/>
        <v>157.89473684210526</v>
      </c>
    </row>
    <row r="78" spans="1:10" ht="14.25" customHeight="1" x14ac:dyDescent="0.3">
      <c r="A78" s="269" t="s">
        <v>95</v>
      </c>
      <c r="B78" s="285" t="str">
        <f t="shared" si="9"/>
        <v>Maggi Cubes - مكعبات ماجي</v>
      </c>
      <c r="C78" s="285" t="str">
        <f t="shared" si="9"/>
        <v>gm</v>
      </c>
      <c r="D78" s="285">
        <f t="shared" si="13"/>
        <v>10</v>
      </c>
      <c r="E78" s="115">
        <f t="shared" si="14"/>
        <v>10.526315789473685</v>
      </c>
      <c r="F78" s="126">
        <f t="shared" si="10"/>
        <v>0.75</v>
      </c>
      <c r="G78" s="118">
        <f t="shared" si="11"/>
        <v>105.26315789473685</v>
      </c>
      <c r="H78" s="119">
        <f t="shared" si="12"/>
        <v>78.94736842105263</v>
      </c>
    </row>
    <row r="79" spans="1:10" ht="20.25" customHeight="1" x14ac:dyDescent="0.4">
      <c r="A79" s="269" t="s">
        <v>95</v>
      </c>
      <c r="B79" s="285" t="str">
        <f t="shared" si="9"/>
        <v>Salt - ملح</v>
      </c>
      <c r="C79" s="285" t="str">
        <f t="shared" si="9"/>
        <v>gm</v>
      </c>
      <c r="D79" s="285">
        <f t="shared" si="13"/>
        <v>5</v>
      </c>
      <c r="E79" s="115">
        <f t="shared" si="14"/>
        <v>10.526315789473685</v>
      </c>
      <c r="F79" s="126">
        <f t="shared" si="10"/>
        <v>1</v>
      </c>
      <c r="G79" s="118">
        <f t="shared" si="11"/>
        <v>52.631578947368425</v>
      </c>
      <c r="H79" s="119">
        <f t="shared" si="12"/>
        <v>52.631578947368425</v>
      </c>
      <c r="I79" s="203"/>
      <c r="J79" s="202"/>
    </row>
    <row r="80" spans="1:10" ht="20.25" customHeight="1" x14ac:dyDescent="0.3">
      <c r="A80" s="210"/>
      <c r="B80" s="197" t="s">
        <v>291</v>
      </c>
      <c r="C80" s="199" t="s">
        <v>277</v>
      </c>
      <c r="D80" s="14"/>
      <c r="E80" s="199" t="s">
        <v>292</v>
      </c>
      <c r="F80" s="14"/>
      <c r="G80" s="878" t="s">
        <v>268</v>
      </c>
      <c r="H80" s="878" t="s">
        <v>703</v>
      </c>
      <c r="I80" s="14"/>
      <c r="J80" s="14"/>
    </row>
    <row r="81" spans="1:8" ht="23" customHeight="1" x14ac:dyDescent="0.4">
      <c r="A81" s="210"/>
      <c r="B81" s="198">
        <f>$J$53</f>
        <v>8266</v>
      </c>
      <c r="C81" s="198">
        <f>E81+G81</f>
        <v>10000</v>
      </c>
      <c r="D81" s="915"/>
      <c r="E81" s="198">
        <f>$D$53*$S$44</f>
        <v>2479</v>
      </c>
      <c r="F81" s="919"/>
      <c r="G81" s="198">
        <f>$D$53*$T$44</f>
        <v>7521</v>
      </c>
      <c r="H81" s="198">
        <f>B81+E81</f>
        <v>10745</v>
      </c>
    </row>
    <row r="82" spans="1:8" ht="14.25" customHeight="1" x14ac:dyDescent="0.3">
      <c r="B82" s="99"/>
      <c r="E82" s="99"/>
      <c r="F82" s="99"/>
    </row>
    <row r="83" spans="1:8" ht="14.25" customHeight="1" x14ac:dyDescent="0.3">
      <c r="B83" s="99"/>
      <c r="E83" s="99"/>
      <c r="F83" s="99"/>
    </row>
    <row r="84" spans="1:8" ht="14.25" customHeight="1" x14ac:dyDescent="0.3">
      <c r="B84" s="99"/>
      <c r="E84" s="99"/>
      <c r="F84" s="99"/>
    </row>
    <row r="85" spans="1:8" ht="17.75" customHeight="1" x14ac:dyDescent="0.3">
      <c r="A85" s="923"/>
      <c r="B85" s="1447" t="str">
        <f>"بامية لحم 2 / " &amp; COUNTIF($C$53:$C$56, "&gt;0")</f>
        <v>بامية لحم 2 / 3</v>
      </c>
      <c r="C85" s="1456"/>
      <c r="D85" s="1456"/>
      <c r="E85" s="1456"/>
      <c r="F85" s="1456"/>
      <c r="G85" s="1456"/>
      <c r="H85" s="1456"/>
    </row>
    <row r="86" spans="1:8" ht="23" customHeight="1" x14ac:dyDescent="0.3">
      <c r="A86" s="923"/>
      <c r="B86" s="1438" t="str">
        <f>"Meat with Bamiya 2 / " &amp; COUNTIF($C$53:$C$56, "&gt;0")</f>
        <v>Meat with Bamiya 2 / 3</v>
      </c>
      <c r="C86" s="1438"/>
      <c r="D86" s="1438"/>
      <c r="E86" s="1438"/>
      <c r="F86" s="1438"/>
      <c r="G86" s="1438"/>
      <c r="H86" s="1438"/>
    </row>
    <row r="87" spans="1:8" ht="46.5" customHeight="1" x14ac:dyDescent="0.3">
      <c r="A87" s="90"/>
      <c r="B87" s="90" t="s">
        <v>245</v>
      </c>
      <c r="C87" s="106" t="s">
        <v>246</v>
      </c>
      <c r="D87" s="90" t="s">
        <v>235</v>
      </c>
      <c r="E87" s="107" t="s">
        <v>238</v>
      </c>
      <c r="F87" s="107" t="s">
        <v>247</v>
      </c>
      <c r="G87" s="90" t="s">
        <v>248</v>
      </c>
      <c r="H87" s="108" t="s">
        <v>249</v>
      </c>
    </row>
    <row r="88" spans="1:8" ht="14.25" customHeight="1" x14ac:dyDescent="0.3">
      <c r="A88" s="269" t="s">
        <v>225</v>
      </c>
      <c r="B88" s="285" t="str">
        <f t="shared" ref="B88:C102" si="15">B5</f>
        <v>Indian Meat Alana  - لحم هندى ألانا</v>
      </c>
      <c r="C88" s="285" t="str">
        <f t="shared" si="15"/>
        <v>gm</v>
      </c>
      <c r="D88" s="287">
        <f>H54</f>
        <v>10</v>
      </c>
      <c r="E88" s="196">
        <f>H54</f>
        <v>10</v>
      </c>
      <c r="F88" s="126">
        <f t="shared" ref="F88:F102" si="16">F5</f>
        <v>1</v>
      </c>
      <c r="G88" s="118">
        <f t="shared" ref="G88:G102" si="17">D88*E88</f>
        <v>100</v>
      </c>
      <c r="H88" s="119">
        <f t="shared" ref="H88:H102" si="18">G88*F88</f>
        <v>100</v>
      </c>
    </row>
    <row r="89" spans="1:8" ht="14.25" customHeight="1" x14ac:dyDescent="0.3">
      <c r="A89" s="269" t="s">
        <v>13</v>
      </c>
      <c r="B89" s="285" t="str">
        <f t="shared" si="15"/>
        <v>Onion - بصل</v>
      </c>
      <c r="C89" s="285" t="str">
        <f t="shared" si="15"/>
        <v>gm</v>
      </c>
      <c r="D89" s="285">
        <f t="shared" ref="D89:D102" si="19">D6</f>
        <v>150</v>
      </c>
      <c r="E89" s="196">
        <f t="shared" ref="E89:E102" si="20">$C$54</f>
        <v>10.526315789473685</v>
      </c>
      <c r="F89" s="126">
        <f t="shared" si="16"/>
        <v>1</v>
      </c>
      <c r="G89" s="118">
        <f t="shared" si="17"/>
        <v>1578.9473684210527</v>
      </c>
      <c r="H89" s="119">
        <f t="shared" si="18"/>
        <v>1578.9473684210527</v>
      </c>
    </row>
    <row r="90" spans="1:8" ht="14.25" customHeight="1" x14ac:dyDescent="0.3">
      <c r="A90" s="269" t="s">
        <v>13</v>
      </c>
      <c r="B90" s="285" t="str">
        <f t="shared" si="15"/>
        <v>Tomato - طماطم</v>
      </c>
      <c r="C90" s="285" t="str">
        <f t="shared" si="15"/>
        <v>gm</v>
      </c>
      <c r="D90" s="285">
        <f t="shared" si="19"/>
        <v>400</v>
      </c>
      <c r="E90" s="196">
        <f t="shared" si="20"/>
        <v>10.526315789473685</v>
      </c>
      <c r="F90" s="126">
        <f t="shared" si="16"/>
        <v>1</v>
      </c>
      <c r="G90" s="118">
        <f t="shared" si="17"/>
        <v>4210.5263157894742</v>
      </c>
      <c r="H90" s="119">
        <f t="shared" si="18"/>
        <v>4210.5263157894742</v>
      </c>
    </row>
    <row r="91" spans="1:8" ht="14.25" customHeight="1" x14ac:dyDescent="0.3">
      <c r="A91" s="269" t="s">
        <v>13</v>
      </c>
      <c r="B91" s="285" t="str">
        <f t="shared" si="15"/>
        <v>Garlic - ثوم مقشر</v>
      </c>
      <c r="C91" s="285" t="str">
        <f t="shared" si="15"/>
        <v>gm</v>
      </c>
      <c r="D91" s="285">
        <f t="shared" si="19"/>
        <v>35</v>
      </c>
      <c r="E91" s="196">
        <f t="shared" si="20"/>
        <v>10.526315789473685</v>
      </c>
      <c r="F91" s="126">
        <f t="shared" si="16"/>
        <v>1</v>
      </c>
      <c r="G91" s="118">
        <f t="shared" si="17"/>
        <v>368.42105263157896</v>
      </c>
      <c r="H91" s="119">
        <f t="shared" si="18"/>
        <v>368.42105263157896</v>
      </c>
    </row>
    <row r="92" spans="1:8" ht="14.25" customHeight="1" x14ac:dyDescent="0.3">
      <c r="A92" s="269" t="s">
        <v>95</v>
      </c>
      <c r="B92" s="285" t="str">
        <f t="shared" si="15"/>
        <v>Black Pepper Powder - فلفل أسود مطحون</v>
      </c>
      <c r="C92" s="285" t="str">
        <f t="shared" si="15"/>
        <v>gm</v>
      </c>
      <c r="D92" s="285">
        <f t="shared" si="19"/>
        <v>3</v>
      </c>
      <c r="E92" s="196">
        <f t="shared" si="20"/>
        <v>10.526315789473685</v>
      </c>
      <c r="F92" s="126">
        <f t="shared" si="16"/>
        <v>1</v>
      </c>
      <c r="G92" s="118">
        <f t="shared" si="17"/>
        <v>31.578947368421055</v>
      </c>
      <c r="H92" s="119">
        <f t="shared" si="18"/>
        <v>31.578947368421055</v>
      </c>
    </row>
    <row r="93" spans="1:8" ht="14.25" customHeight="1" x14ac:dyDescent="0.3">
      <c r="A93" s="269" t="s">
        <v>95</v>
      </c>
      <c r="B93" s="285" t="str">
        <f t="shared" si="15"/>
        <v>Cumin Powder - كمون مطحون</v>
      </c>
      <c r="C93" s="285" t="str">
        <f t="shared" si="15"/>
        <v>gm</v>
      </c>
      <c r="D93" s="285">
        <f t="shared" si="19"/>
        <v>5</v>
      </c>
      <c r="E93" s="196">
        <f t="shared" si="20"/>
        <v>10.526315789473685</v>
      </c>
      <c r="F93" s="126">
        <f t="shared" si="16"/>
        <v>0.75</v>
      </c>
      <c r="G93" s="118">
        <f t="shared" si="17"/>
        <v>52.631578947368425</v>
      </c>
      <c r="H93" s="119">
        <f t="shared" si="18"/>
        <v>39.473684210526315</v>
      </c>
    </row>
    <row r="94" spans="1:8" ht="14.25" customHeight="1" x14ac:dyDescent="0.3">
      <c r="A94" s="269" t="s">
        <v>95</v>
      </c>
      <c r="B94" s="285" t="str">
        <f t="shared" si="15"/>
        <v>Coriander Powder - كزبرة مطحونة</v>
      </c>
      <c r="C94" s="285" t="str">
        <f t="shared" si="15"/>
        <v>gm</v>
      </c>
      <c r="D94" s="285">
        <f t="shared" si="19"/>
        <v>5</v>
      </c>
      <c r="E94" s="196">
        <f t="shared" si="20"/>
        <v>10.526315789473685</v>
      </c>
      <c r="F94" s="126">
        <f t="shared" si="16"/>
        <v>0.75</v>
      </c>
      <c r="G94" s="118">
        <f t="shared" si="17"/>
        <v>52.631578947368425</v>
      </c>
      <c r="H94" s="119">
        <f t="shared" si="18"/>
        <v>39.473684210526315</v>
      </c>
    </row>
    <row r="95" spans="1:8" ht="14.25" customHeight="1" x14ac:dyDescent="0.3">
      <c r="A95" s="269" t="s">
        <v>95</v>
      </c>
      <c r="B95" s="285" t="str">
        <f t="shared" si="15"/>
        <v>Cinnamon Powder - قرفة مطحونة</v>
      </c>
      <c r="C95" s="285" t="str">
        <f t="shared" si="15"/>
        <v>gm</v>
      </c>
      <c r="D95" s="285">
        <f t="shared" si="19"/>
        <v>2</v>
      </c>
      <c r="E95" s="196">
        <f t="shared" si="20"/>
        <v>10.526315789473685</v>
      </c>
      <c r="F95" s="126">
        <f t="shared" si="16"/>
        <v>0.75</v>
      </c>
      <c r="G95" s="118">
        <f t="shared" si="17"/>
        <v>21.05263157894737</v>
      </c>
      <c r="H95" s="119">
        <f t="shared" si="18"/>
        <v>15.789473684210527</v>
      </c>
    </row>
    <row r="96" spans="1:8" ht="14.25" customHeight="1" x14ac:dyDescent="0.3">
      <c r="A96" s="269" t="s">
        <v>95</v>
      </c>
      <c r="B96" s="285" t="str">
        <f t="shared" si="15"/>
        <v>Salt - ملح</v>
      </c>
      <c r="C96" s="285" t="str">
        <f t="shared" si="15"/>
        <v>gm</v>
      </c>
      <c r="D96" s="285">
        <f t="shared" si="19"/>
        <v>11</v>
      </c>
      <c r="E96" s="196">
        <f t="shared" si="20"/>
        <v>10.526315789473685</v>
      </c>
      <c r="F96" s="126">
        <f t="shared" si="16"/>
        <v>0.75</v>
      </c>
      <c r="G96" s="118">
        <f t="shared" si="17"/>
        <v>115.78947368421053</v>
      </c>
      <c r="H96" s="119">
        <f t="shared" si="18"/>
        <v>86.842105263157904</v>
      </c>
    </row>
    <row r="97" spans="1:8" ht="14.25" customHeight="1" x14ac:dyDescent="0.3">
      <c r="A97" s="269" t="s">
        <v>192</v>
      </c>
      <c r="B97" s="285" t="str">
        <f t="shared" si="15"/>
        <v>Tomato Paste - صلصة طماطم</v>
      </c>
      <c r="C97" s="285" t="str">
        <f t="shared" si="15"/>
        <v>gm</v>
      </c>
      <c r="D97" s="285">
        <f t="shared" si="19"/>
        <v>250</v>
      </c>
      <c r="E97" s="196">
        <f t="shared" si="20"/>
        <v>10.526315789473685</v>
      </c>
      <c r="F97" s="126">
        <f t="shared" si="16"/>
        <v>1</v>
      </c>
      <c r="G97" s="118">
        <f t="shared" si="17"/>
        <v>2631.5789473684213</v>
      </c>
      <c r="H97" s="119">
        <f t="shared" si="18"/>
        <v>2631.5789473684213</v>
      </c>
    </row>
    <row r="98" spans="1:8" ht="14.25" customHeight="1" x14ac:dyDescent="0.3">
      <c r="A98" s="269" t="s">
        <v>13</v>
      </c>
      <c r="B98" s="285" t="str">
        <f t="shared" si="15"/>
        <v>Frozen Okra - بامية مجمدة</v>
      </c>
      <c r="C98" s="285" t="str">
        <f t="shared" si="15"/>
        <v>gm</v>
      </c>
      <c r="D98" s="285">
        <f t="shared" si="19"/>
        <v>400</v>
      </c>
      <c r="E98" s="196">
        <f t="shared" si="20"/>
        <v>10.526315789473685</v>
      </c>
      <c r="F98" s="126">
        <f t="shared" si="16"/>
        <v>1</v>
      </c>
      <c r="G98" s="118">
        <f t="shared" si="17"/>
        <v>4210.5263157894742</v>
      </c>
      <c r="H98" s="119">
        <f t="shared" si="18"/>
        <v>4210.5263157894742</v>
      </c>
    </row>
    <row r="99" spans="1:8" ht="14.25" customHeight="1" x14ac:dyDescent="0.3">
      <c r="A99" s="269" t="s">
        <v>206</v>
      </c>
      <c r="B99" s="285" t="str">
        <f t="shared" si="15"/>
        <v>Beef Stock - مرق لحم بقري</v>
      </c>
      <c r="C99" s="285" t="str">
        <f t="shared" si="15"/>
        <v>ml</v>
      </c>
      <c r="D99" s="285">
        <f t="shared" si="19"/>
        <v>500</v>
      </c>
      <c r="E99" s="196">
        <f t="shared" si="20"/>
        <v>10.526315789473685</v>
      </c>
      <c r="F99" s="126">
        <f t="shared" si="16"/>
        <v>1</v>
      </c>
      <c r="G99" s="118">
        <f t="shared" si="17"/>
        <v>5263.1578947368425</v>
      </c>
      <c r="H99" s="119">
        <f t="shared" si="18"/>
        <v>5263.1578947368425</v>
      </c>
    </row>
    <row r="100" spans="1:8" ht="14.25" customHeight="1" x14ac:dyDescent="0.3">
      <c r="A100" s="269" t="s">
        <v>154</v>
      </c>
      <c r="B100" s="285" t="str">
        <f t="shared" si="15"/>
        <v>Butter - زبدة</v>
      </c>
      <c r="C100" s="285" t="str">
        <f t="shared" si="15"/>
        <v>gm</v>
      </c>
      <c r="D100" s="285">
        <f t="shared" si="19"/>
        <v>15</v>
      </c>
      <c r="E100" s="196">
        <f t="shared" si="20"/>
        <v>10.526315789473685</v>
      </c>
      <c r="F100" s="126">
        <f t="shared" si="16"/>
        <v>1</v>
      </c>
      <c r="G100" s="118">
        <f t="shared" si="17"/>
        <v>157.89473684210526</v>
      </c>
      <c r="H100" s="119">
        <f t="shared" si="18"/>
        <v>157.89473684210526</v>
      </c>
    </row>
    <row r="101" spans="1:8" ht="14.25" customHeight="1" x14ac:dyDescent="0.3">
      <c r="A101" s="269" t="s">
        <v>95</v>
      </c>
      <c r="B101" s="285" t="str">
        <f t="shared" si="15"/>
        <v>Maggi Cubes - مكعبات ماجي</v>
      </c>
      <c r="C101" s="285" t="str">
        <f t="shared" si="15"/>
        <v>gm</v>
      </c>
      <c r="D101" s="285">
        <f t="shared" si="19"/>
        <v>10</v>
      </c>
      <c r="E101" s="196">
        <f t="shared" si="20"/>
        <v>10.526315789473685</v>
      </c>
      <c r="F101" s="126">
        <f t="shared" si="16"/>
        <v>0.75</v>
      </c>
      <c r="G101" s="118">
        <f t="shared" si="17"/>
        <v>105.26315789473685</v>
      </c>
      <c r="H101" s="119">
        <f t="shared" si="18"/>
        <v>78.94736842105263</v>
      </c>
    </row>
    <row r="102" spans="1:8" ht="14.25" customHeight="1" x14ac:dyDescent="0.3">
      <c r="A102" s="269" t="s">
        <v>95</v>
      </c>
      <c r="B102" s="285" t="str">
        <f t="shared" si="15"/>
        <v>Salt - ملح</v>
      </c>
      <c r="C102" s="285" t="str">
        <f t="shared" si="15"/>
        <v>gm</v>
      </c>
      <c r="D102" s="285">
        <f t="shared" si="19"/>
        <v>5</v>
      </c>
      <c r="E102" s="196">
        <f t="shared" si="20"/>
        <v>10.526315789473685</v>
      </c>
      <c r="F102" s="126">
        <f t="shared" si="16"/>
        <v>1</v>
      </c>
      <c r="G102" s="118">
        <f t="shared" si="17"/>
        <v>52.631578947368425</v>
      </c>
      <c r="H102" s="119">
        <f t="shared" si="18"/>
        <v>52.631578947368425</v>
      </c>
    </row>
    <row r="103" spans="1:8" ht="20.25" customHeight="1" x14ac:dyDescent="0.3">
      <c r="A103" s="210"/>
      <c r="B103" s="197" t="s">
        <v>291</v>
      </c>
      <c r="C103" s="199" t="s">
        <v>277</v>
      </c>
      <c r="D103" s="14"/>
      <c r="E103" s="199" t="s">
        <v>292</v>
      </c>
      <c r="F103" s="14"/>
      <c r="G103" s="878" t="s">
        <v>268</v>
      </c>
      <c r="H103" s="878" t="s">
        <v>703</v>
      </c>
    </row>
    <row r="104" spans="1:8" ht="20" x14ac:dyDescent="0.4">
      <c r="A104" s="210"/>
      <c r="B104" s="198">
        <f>$J$54</f>
        <v>8266</v>
      </c>
      <c r="C104" s="200">
        <f>E104+G104</f>
        <v>10.526315789473685</v>
      </c>
      <c r="D104" s="208"/>
      <c r="E104" s="200">
        <f>$C$54*$S$44</f>
        <v>2.6094736842105264</v>
      </c>
      <c r="F104" s="99"/>
      <c r="G104" s="201">
        <f>$C$54*$T$44</f>
        <v>7.9168421052631581</v>
      </c>
      <c r="H104" s="201">
        <f>B104+E104</f>
        <v>8268.6094736842097</v>
      </c>
    </row>
    <row r="106" spans="1:8" x14ac:dyDescent="0.3">
      <c r="A106" s="923"/>
      <c r="B106" s="1447" t="str">
        <f>"بامية لحم 3 / " &amp; COUNTIF($C$53:$C$56, "&gt;0")</f>
        <v>بامية لحم 3 / 3</v>
      </c>
      <c r="C106" s="1456"/>
      <c r="D106" s="1456"/>
      <c r="E106" s="1456"/>
      <c r="F106" s="1456"/>
      <c r="G106" s="1456"/>
      <c r="H106" s="1456"/>
    </row>
    <row r="107" spans="1:8" ht="28.25" customHeight="1" x14ac:dyDescent="0.3">
      <c r="A107" s="923"/>
      <c r="B107" s="1438" t="str">
        <f>"Meat with Bamiya 3 / " &amp; COUNTIF($C$53:$C$56, "&gt;0")</f>
        <v>Meat with Bamiya 3 / 3</v>
      </c>
      <c r="C107" s="1438"/>
      <c r="D107" s="1438"/>
      <c r="E107" s="1438"/>
      <c r="F107" s="1438"/>
      <c r="G107" s="1438"/>
      <c r="H107" s="1438"/>
    </row>
    <row r="108" spans="1:8" ht="41" customHeight="1" x14ac:dyDescent="0.3">
      <c r="A108" s="90"/>
      <c r="B108" s="90" t="s">
        <v>245</v>
      </c>
      <c r="C108" s="106" t="s">
        <v>246</v>
      </c>
      <c r="D108" s="90" t="s">
        <v>235</v>
      </c>
      <c r="E108" s="107" t="s">
        <v>238</v>
      </c>
      <c r="F108" s="107" t="s">
        <v>247</v>
      </c>
      <c r="G108" s="90" t="s">
        <v>248</v>
      </c>
      <c r="H108" s="108" t="s">
        <v>249</v>
      </c>
    </row>
    <row r="109" spans="1:8" x14ac:dyDescent="0.3">
      <c r="A109" s="269" t="s">
        <v>225</v>
      </c>
      <c r="B109" s="285" t="str">
        <f t="shared" ref="B109:D123" si="21">B5</f>
        <v>Indian Meat Alana  - لحم هندى ألانا</v>
      </c>
      <c r="C109" s="285" t="str">
        <f t="shared" si="21"/>
        <v>gm</v>
      </c>
      <c r="D109" s="285">
        <f t="shared" si="21"/>
        <v>1620.7843137254902</v>
      </c>
      <c r="E109" s="648">
        <f>H55</f>
        <v>8.5041597647452889</v>
      </c>
      <c r="F109" s="647">
        <f t="shared" ref="F109:F123" si="22">F5</f>
        <v>1</v>
      </c>
      <c r="G109" s="118">
        <f t="shared" ref="G109:G123" si="23">D109*E109</f>
        <v>13783.40874811462</v>
      </c>
      <c r="H109" s="119">
        <f t="shared" ref="H109:H123" si="24">G109*F109</f>
        <v>13783.40874811462</v>
      </c>
    </row>
    <row r="110" spans="1:8" x14ac:dyDescent="0.3">
      <c r="A110" s="269" t="s">
        <v>13</v>
      </c>
      <c r="B110" s="285" t="str">
        <f t="shared" si="21"/>
        <v>Onion - بصل</v>
      </c>
      <c r="C110" s="285" t="str">
        <f t="shared" si="21"/>
        <v>gm</v>
      </c>
      <c r="D110" s="285">
        <f t="shared" si="21"/>
        <v>150</v>
      </c>
      <c r="E110" s="648">
        <f t="shared" ref="E110:E123" si="25">$C$55</f>
        <v>8.9573279352226827</v>
      </c>
      <c r="F110" s="647">
        <f t="shared" si="22"/>
        <v>1</v>
      </c>
      <c r="G110" s="118">
        <f t="shared" si="23"/>
        <v>1343.5991902834023</v>
      </c>
      <c r="H110" s="119">
        <f t="shared" si="24"/>
        <v>1343.5991902834023</v>
      </c>
    </row>
    <row r="111" spans="1:8" x14ac:dyDescent="0.3">
      <c r="A111" s="269" t="s">
        <v>13</v>
      </c>
      <c r="B111" s="285" t="str">
        <f t="shared" si="21"/>
        <v>Tomato - طماطم</v>
      </c>
      <c r="C111" s="285" t="str">
        <f t="shared" si="21"/>
        <v>gm</v>
      </c>
      <c r="D111" s="285">
        <f t="shared" si="21"/>
        <v>400</v>
      </c>
      <c r="E111" s="648">
        <f t="shared" si="25"/>
        <v>8.9573279352226827</v>
      </c>
      <c r="F111" s="647">
        <f t="shared" si="22"/>
        <v>1</v>
      </c>
      <c r="G111" s="118">
        <f t="shared" si="23"/>
        <v>3582.931174089073</v>
      </c>
      <c r="H111" s="119">
        <f t="shared" si="24"/>
        <v>3582.931174089073</v>
      </c>
    </row>
    <row r="112" spans="1:8" x14ac:dyDescent="0.3">
      <c r="A112" s="269" t="s">
        <v>13</v>
      </c>
      <c r="B112" s="285" t="str">
        <f t="shared" si="21"/>
        <v>Garlic - ثوم مقشر</v>
      </c>
      <c r="C112" s="285" t="str">
        <f t="shared" si="21"/>
        <v>gm</v>
      </c>
      <c r="D112" s="285">
        <f t="shared" si="21"/>
        <v>35</v>
      </c>
      <c r="E112" s="648">
        <f t="shared" si="25"/>
        <v>8.9573279352226827</v>
      </c>
      <c r="F112" s="647">
        <f t="shared" si="22"/>
        <v>1</v>
      </c>
      <c r="G112" s="118">
        <f t="shared" si="23"/>
        <v>313.50647773279388</v>
      </c>
      <c r="H112" s="119">
        <f t="shared" si="24"/>
        <v>313.50647773279388</v>
      </c>
    </row>
    <row r="113" spans="1:8" x14ac:dyDescent="0.3">
      <c r="A113" s="269" t="s">
        <v>95</v>
      </c>
      <c r="B113" s="285" t="str">
        <f t="shared" si="21"/>
        <v>Black Pepper Powder - فلفل أسود مطحون</v>
      </c>
      <c r="C113" s="285" t="str">
        <f t="shared" si="21"/>
        <v>gm</v>
      </c>
      <c r="D113" s="285">
        <f t="shared" si="21"/>
        <v>3</v>
      </c>
      <c r="E113" s="648">
        <f t="shared" si="25"/>
        <v>8.9573279352226827</v>
      </c>
      <c r="F113" s="647">
        <f t="shared" si="22"/>
        <v>1</v>
      </c>
      <c r="G113" s="118">
        <f t="shared" si="23"/>
        <v>26.871983805668048</v>
      </c>
      <c r="H113" s="119">
        <f t="shared" si="24"/>
        <v>26.871983805668048</v>
      </c>
    </row>
    <row r="114" spans="1:8" x14ac:dyDescent="0.3">
      <c r="A114" s="269" t="s">
        <v>95</v>
      </c>
      <c r="B114" s="285" t="str">
        <f t="shared" si="21"/>
        <v>Cumin Powder - كمون مطحون</v>
      </c>
      <c r="C114" s="285" t="str">
        <f t="shared" si="21"/>
        <v>gm</v>
      </c>
      <c r="D114" s="285">
        <f t="shared" si="21"/>
        <v>5</v>
      </c>
      <c r="E114" s="648">
        <f t="shared" si="25"/>
        <v>8.9573279352226827</v>
      </c>
      <c r="F114" s="647">
        <f t="shared" si="22"/>
        <v>0.75</v>
      </c>
      <c r="G114" s="118">
        <f t="shared" si="23"/>
        <v>44.78663967611341</v>
      </c>
      <c r="H114" s="119">
        <f t="shared" si="24"/>
        <v>33.589979757085061</v>
      </c>
    </row>
    <row r="115" spans="1:8" x14ac:dyDescent="0.3">
      <c r="A115" s="269" t="s">
        <v>95</v>
      </c>
      <c r="B115" s="285" t="str">
        <f t="shared" si="21"/>
        <v>Coriander Powder - كزبرة مطحونة</v>
      </c>
      <c r="C115" s="285" t="str">
        <f t="shared" si="21"/>
        <v>gm</v>
      </c>
      <c r="D115" s="285">
        <f t="shared" si="21"/>
        <v>5</v>
      </c>
      <c r="E115" s="648">
        <f t="shared" si="25"/>
        <v>8.9573279352226827</v>
      </c>
      <c r="F115" s="647">
        <f t="shared" si="22"/>
        <v>0.75</v>
      </c>
      <c r="G115" s="118">
        <f t="shared" si="23"/>
        <v>44.78663967611341</v>
      </c>
      <c r="H115" s="119">
        <f t="shared" si="24"/>
        <v>33.589979757085061</v>
      </c>
    </row>
    <row r="116" spans="1:8" x14ac:dyDescent="0.3">
      <c r="A116" s="269" t="s">
        <v>95</v>
      </c>
      <c r="B116" s="285" t="str">
        <f t="shared" si="21"/>
        <v>Cinnamon Powder - قرفة مطحونة</v>
      </c>
      <c r="C116" s="285" t="str">
        <f t="shared" si="21"/>
        <v>gm</v>
      </c>
      <c r="D116" s="285">
        <f t="shared" si="21"/>
        <v>2</v>
      </c>
      <c r="E116" s="648">
        <f t="shared" si="25"/>
        <v>8.9573279352226827</v>
      </c>
      <c r="F116" s="647">
        <f t="shared" si="22"/>
        <v>0.75</v>
      </c>
      <c r="G116" s="118">
        <f t="shared" si="23"/>
        <v>17.914655870445365</v>
      </c>
      <c r="H116" s="119">
        <f t="shared" si="24"/>
        <v>13.435991902834024</v>
      </c>
    </row>
    <row r="117" spans="1:8" x14ac:dyDescent="0.3">
      <c r="A117" s="269" t="s">
        <v>95</v>
      </c>
      <c r="B117" s="285" t="str">
        <f t="shared" si="21"/>
        <v>Salt - ملح</v>
      </c>
      <c r="C117" s="285" t="str">
        <f t="shared" si="21"/>
        <v>gm</v>
      </c>
      <c r="D117" s="285">
        <f t="shared" si="21"/>
        <v>11</v>
      </c>
      <c r="E117" s="648">
        <f t="shared" si="25"/>
        <v>8.9573279352226827</v>
      </c>
      <c r="F117" s="647">
        <f t="shared" si="22"/>
        <v>0.75</v>
      </c>
      <c r="G117" s="118">
        <f t="shared" si="23"/>
        <v>98.530607287449513</v>
      </c>
      <c r="H117" s="119">
        <f t="shared" si="24"/>
        <v>73.897955465587131</v>
      </c>
    </row>
    <row r="118" spans="1:8" x14ac:dyDescent="0.3">
      <c r="A118" s="269" t="s">
        <v>192</v>
      </c>
      <c r="B118" s="285" t="str">
        <f t="shared" si="21"/>
        <v>Tomato Paste - صلصة طماطم</v>
      </c>
      <c r="C118" s="285" t="str">
        <f t="shared" si="21"/>
        <v>gm</v>
      </c>
      <c r="D118" s="285">
        <f t="shared" si="21"/>
        <v>250</v>
      </c>
      <c r="E118" s="648">
        <f t="shared" si="25"/>
        <v>8.9573279352226827</v>
      </c>
      <c r="F118" s="647">
        <f t="shared" si="22"/>
        <v>1</v>
      </c>
      <c r="G118" s="118">
        <f t="shared" si="23"/>
        <v>2239.3319838056705</v>
      </c>
      <c r="H118" s="119">
        <f t="shared" si="24"/>
        <v>2239.3319838056705</v>
      </c>
    </row>
    <row r="119" spans="1:8" x14ac:dyDescent="0.3">
      <c r="A119" s="269" t="s">
        <v>13</v>
      </c>
      <c r="B119" s="285" t="str">
        <f t="shared" si="21"/>
        <v>Frozen Okra - بامية مجمدة</v>
      </c>
      <c r="C119" s="285" t="str">
        <f t="shared" si="21"/>
        <v>gm</v>
      </c>
      <c r="D119" s="285">
        <f t="shared" si="21"/>
        <v>400</v>
      </c>
      <c r="E119" s="648">
        <f t="shared" si="25"/>
        <v>8.9573279352226827</v>
      </c>
      <c r="F119" s="647">
        <f t="shared" si="22"/>
        <v>1</v>
      </c>
      <c r="G119" s="118">
        <f t="shared" si="23"/>
        <v>3582.931174089073</v>
      </c>
      <c r="H119" s="119">
        <f t="shared" si="24"/>
        <v>3582.931174089073</v>
      </c>
    </row>
    <row r="120" spans="1:8" x14ac:dyDescent="0.3">
      <c r="A120" s="269" t="s">
        <v>206</v>
      </c>
      <c r="B120" s="285" t="str">
        <f t="shared" si="21"/>
        <v>Beef Stock - مرق لحم بقري</v>
      </c>
      <c r="C120" s="285" t="str">
        <f t="shared" si="21"/>
        <v>ml</v>
      </c>
      <c r="D120" s="285">
        <f t="shared" si="21"/>
        <v>500</v>
      </c>
      <c r="E120" s="648">
        <f t="shared" si="25"/>
        <v>8.9573279352226827</v>
      </c>
      <c r="F120" s="647">
        <f t="shared" si="22"/>
        <v>1</v>
      </c>
      <c r="G120" s="118">
        <f t="shared" si="23"/>
        <v>4478.6639676113409</v>
      </c>
      <c r="H120" s="119">
        <f t="shared" si="24"/>
        <v>4478.6639676113409</v>
      </c>
    </row>
    <row r="121" spans="1:8" x14ac:dyDescent="0.3">
      <c r="A121" s="269" t="s">
        <v>154</v>
      </c>
      <c r="B121" s="285" t="str">
        <f t="shared" si="21"/>
        <v>Butter - زبدة</v>
      </c>
      <c r="C121" s="285" t="str">
        <f t="shared" si="21"/>
        <v>gm</v>
      </c>
      <c r="D121" s="285">
        <f t="shared" si="21"/>
        <v>15</v>
      </c>
      <c r="E121" s="648">
        <f t="shared" si="25"/>
        <v>8.9573279352226827</v>
      </c>
      <c r="F121" s="647">
        <f t="shared" si="22"/>
        <v>1</v>
      </c>
      <c r="G121" s="118">
        <f t="shared" si="23"/>
        <v>134.35991902834024</v>
      </c>
      <c r="H121" s="119">
        <f t="shared" si="24"/>
        <v>134.35991902834024</v>
      </c>
    </row>
    <row r="122" spans="1:8" x14ac:dyDescent="0.3">
      <c r="A122" s="269" t="s">
        <v>95</v>
      </c>
      <c r="B122" s="285" t="str">
        <f t="shared" si="21"/>
        <v>Maggi Cubes - مكعبات ماجي</v>
      </c>
      <c r="C122" s="285" t="str">
        <f t="shared" si="21"/>
        <v>gm</v>
      </c>
      <c r="D122" s="285">
        <f t="shared" si="21"/>
        <v>10</v>
      </c>
      <c r="E122" s="648">
        <f t="shared" si="25"/>
        <v>8.9573279352226827</v>
      </c>
      <c r="F122" s="647">
        <f t="shared" si="22"/>
        <v>0.75</v>
      </c>
      <c r="G122" s="118">
        <f t="shared" si="23"/>
        <v>89.57327935222682</v>
      </c>
      <c r="H122" s="119">
        <f t="shared" si="24"/>
        <v>67.179959514170122</v>
      </c>
    </row>
    <row r="123" spans="1:8" x14ac:dyDescent="0.3">
      <c r="A123" s="269" t="s">
        <v>95</v>
      </c>
      <c r="B123" s="285" t="str">
        <f t="shared" si="21"/>
        <v>Salt - ملح</v>
      </c>
      <c r="C123" s="285" t="str">
        <f t="shared" si="21"/>
        <v>gm</v>
      </c>
      <c r="D123" s="285">
        <f t="shared" si="21"/>
        <v>5</v>
      </c>
      <c r="E123" s="648">
        <f t="shared" si="25"/>
        <v>8.9573279352226827</v>
      </c>
      <c r="F123" s="647">
        <f t="shared" si="22"/>
        <v>1</v>
      </c>
      <c r="G123" s="118">
        <f t="shared" si="23"/>
        <v>44.78663967611341</v>
      </c>
      <c r="H123" s="119">
        <f t="shared" si="24"/>
        <v>44.78663967611341</v>
      </c>
    </row>
    <row r="124" spans="1:8" ht="18" x14ac:dyDescent="0.3">
      <c r="A124" s="78"/>
      <c r="B124" s="197" t="s">
        <v>291</v>
      </c>
      <c r="C124" s="199" t="s">
        <v>277</v>
      </c>
      <c r="D124" s="14"/>
      <c r="E124" s="199" t="s">
        <v>292</v>
      </c>
      <c r="F124" s="14"/>
      <c r="G124" s="878" t="s">
        <v>268</v>
      </c>
      <c r="H124" s="878" t="s">
        <v>703</v>
      </c>
    </row>
    <row r="125" spans="1:8" ht="20" x14ac:dyDescent="0.4">
      <c r="A125" s="78"/>
      <c r="B125" s="198">
        <f>$J$55</f>
        <v>7029.5384615384573</v>
      </c>
      <c r="C125" s="198">
        <f>E125+G125</f>
        <v>8509.4615384615481</v>
      </c>
      <c r="D125" s="930"/>
      <c r="E125" s="198">
        <f>$D$55*$S$44</f>
        <v>2109.4955153846176</v>
      </c>
      <c r="F125" s="930"/>
      <c r="G125" s="198">
        <f>$D$55*$T$44</f>
        <v>6399.9660230769305</v>
      </c>
      <c r="H125" s="198">
        <f>B125+E125</f>
        <v>9139.0339769230741</v>
      </c>
    </row>
    <row r="129" spans="1:8" x14ac:dyDescent="0.3">
      <c r="A129" s="923"/>
      <c r="B129" s="1447" t="str">
        <f>"بامية لحم 4 / " &amp; COUNTIF($C$53:$C$56, "&gt;0")</f>
        <v>بامية لحم 4 / 3</v>
      </c>
      <c r="C129" s="1456"/>
      <c r="D129" s="1456"/>
      <c r="E129" s="1456"/>
      <c r="F129" s="1456"/>
      <c r="G129" s="1456"/>
      <c r="H129" s="1456"/>
    </row>
    <row r="130" spans="1:8" ht="18" x14ac:dyDescent="0.3">
      <c r="A130" s="923"/>
      <c r="B130" s="1438" t="str">
        <f>"Meat with Bamiya 4 / " &amp; COUNTIF($C$53:$C$56, "&gt;0")</f>
        <v>Meat with Bamiya 4 / 3</v>
      </c>
      <c r="C130" s="1438"/>
      <c r="D130" s="1438"/>
      <c r="E130" s="1438"/>
      <c r="F130" s="1438"/>
      <c r="G130" s="1438"/>
      <c r="H130" s="1438"/>
    </row>
    <row r="131" spans="1:8" ht="26" x14ac:dyDescent="0.3">
      <c r="A131" s="90"/>
      <c r="B131" s="90" t="s">
        <v>245</v>
      </c>
      <c r="C131" s="106" t="s">
        <v>246</v>
      </c>
      <c r="D131" s="90" t="s">
        <v>235</v>
      </c>
      <c r="E131" s="107" t="s">
        <v>238</v>
      </c>
      <c r="F131" s="107" t="s">
        <v>247</v>
      </c>
      <c r="G131" s="90" t="s">
        <v>248</v>
      </c>
      <c r="H131" s="108" t="s">
        <v>249</v>
      </c>
    </row>
    <row r="132" spans="1:8" x14ac:dyDescent="0.3">
      <c r="A132" s="269" t="s">
        <v>225</v>
      </c>
      <c r="B132" s="285" t="str">
        <f t="shared" ref="B132:D146" si="26">B5</f>
        <v>Indian Meat Alana  - لحم هندى ألانا</v>
      </c>
      <c r="C132" s="285" t="str">
        <f t="shared" si="26"/>
        <v>gm</v>
      </c>
      <c r="D132" s="285">
        <f t="shared" si="26"/>
        <v>1620.7843137254902</v>
      </c>
      <c r="E132" s="648">
        <f>H56</f>
        <v>0</v>
      </c>
      <c r="F132" s="647">
        <f>F5</f>
        <v>1</v>
      </c>
      <c r="G132" s="118">
        <f t="shared" ref="G132:G146" si="27">D132*E132</f>
        <v>0</v>
      </c>
      <c r="H132" s="119">
        <f t="shared" ref="H132:H146" si="28">G132*F132</f>
        <v>0</v>
      </c>
    </row>
    <row r="133" spans="1:8" x14ac:dyDescent="0.3">
      <c r="A133" s="269" t="s">
        <v>13</v>
      </c>
      <c r="B133" s="285" t="str">
        <f t="shared" si="26"/>
        <v>Onion - بصل</v>
      </c>
      <c r="C133" s="285" t="str">
        <f t="shared" si="26"/>
        <v>gm</v>
      </c>
      <c r="D133" s="285">
        <f t="shared" si="26"/>
        <v>150</v>
      </c>
      <c r="E133" s="648">
        <f>$C$56</f>
        <v>0</v>
      </c>
      <c r="F133" s="647">
        <f t="shared" ref="F133:F146" si="29">F6</f>
        <v>1</v>
      </c>
      <c r="G133" s="118">
        <f t="shared" si="27"/>
        <v>0</v>
      </c>
      <c r="H133" s="119">
        <f t="shared" si="28"/>
        <v>0</v>
      </c>
    </row>
    <row r="134" spans="1:8" x14ac:dyDescent="0.3">
      <c r="A134" s="269" t="s">
        <v>13</v>
      </c>
      <c r="B134" s="285" t="str">
        <f t="shared" si="26"/>
        <v>Tomato - طماطم</v>
      </c>
      <c r="C134" s="285" t="str">
        <f t="shared" si="26"/>
        <v>gm</v>
      </c>
      <c r="D134" s="285">
        <f t="shared" si="26"/>
        <v>400</v>
      </c>
      <c r="E134" s="648">
        <f t="shared" ref="E134:E146" si="30">$C$56</f>
        <v>0</v>
      </c>
      <c r="F134" s="647">
        <f t="shared" si="29"/>
        <v>1</v>
      </c>
      <c r="G134" s="118">
        <f t="shared" si="27"/>
        <v>0</v>
      </c>
      <c r="H134" s="119">
        <f t="shared" si="28"/>
        <v>0</v>
      </c>
    </row>
    <row r="135" spans="1:8" x14ac:dyDescent="0.3">
      <c r="A135" s="269" t="s">
        <v>13</v>
      </c>
      <c r="B135" s="285" t="str">
        <f t="shared" si="26"/>
        <v>Garlic - ثوم مقشر</v>
      </c>
      <c r="C135" s="285" t="str">
        <f t="shared" si="26"/>
        <v>gm</v>
      </c>
      <c r="D135" s="285">
        <f t="shared" si="26"/>
        <v>35</v>
      </c>
      <c r="E135" s="648">
        <f t="shared" si="30"/>
        <v>0</v>
      </c>
      <c r="F135" s="647">
        <f t="shared" si="29"/>
        <v>1</v>
      </c>
      <c r="G135" s="118">
        <f t="shared" si="27"/>
        <v>0</v>
      </c>
      <c r="H135" s="119">
        <f t="shared" si="28"/>
        <v>0</v>
      </c>
    </row>
    <row r="136" spans="1:8" x14ac:dyDescent="0.3">
      <c r="A136" s="269" t="s">
        <v>95</v>
      </c>
      <c r="B136" s="285" t="str">
        <f t="shared" si="26"/>
        <v>Black Pepper Powder - فلفل أسود مطحون</v>
      </c>
      <c r="C136" s="285" t="str">
        <f t="shared" si="26"/>
        <v>gm</v>
      </c>
      <c r="D136" s="285">
        <f t="shared" si="26"/>
        <v>3</v>
      </c>
      <c r="E136" s="648">
        <f t="shared" si="30"/>
        <v>0</v>
      </c>
      <c r="F136" s="647">
        <f t="shared" si="29"/>
        <v>1</v>
      </c>
      <c r="G136" s="118">
        <f t="shared" si="27"/>
        <v>0</v>
      </c>
      <c r="H136" s="119">
        <f t="shared" si="28"/>
        <v>0</v>
      </c>
    </row>
    <row r="137" spans="1:8" x14ac:dyDescent="0.3">
      <c r="A137" s="269" t="s">
        <v>95</v>
      </c>
      <c r="B137" s="285" t="str">
        <f t="shared" si="26"/>
        <v>Cumin Powder - كمون مطحون</v>
      </c>
      <c r="C137" s="285" t="str">
        <f t="shared" si="26"/>
        <v>gm</v>
      </c>
      <c r="D137" s="285">
        <f t="shared" si="26"/>
        <v>5</v>
      </c>
      <c r="E137" s="648">
        <f t="shared" si="30"/>
        <v>0</v>
      </c>
      <c r="F137" s="647">
        <f t="shared" si="29"/>
        <v>0.75</v>
      </c>
      <c r="G137" s="118">
        <f t="shared" si="27"/>
        <v>0</v>
      </c>
      <c r="H137" s="119">
        <f t="shared" si="28"/>
        <v>0</v>
      </c>
    </row>
    <row r="138" spans="1:8" x14ac:dyDescent="0.3">
      <c r="A138" s="269" t="s">
        <v>95</v>
      </c>
      <c r="B138" s="285" t="str">
        <f t="shared" si="26"/>
        <v>Coriander Powder - كزبرة مطحونة</v>
      </c>
      <c r="C138" s="285" t="str">
        <f t="shared" si="26"/>
        <v>gm</v>
      </c>
      <c r="D138" s="285">
        <f t="shared" si="26"/>
        <v>5</v>
      </c>
      <c r="E138" s="648">
        <f t="shared" si="30"/>
        <v>0</v>
      </c>
      <c r="F138" s="647">
        <f t="shared" si="29"/>
        <v>0.75</v>
      </c>
      <c r="G138" s="118">
        <f t="shared" si="27"/>
        <v>0</v>
      </c>
      <c r="H138" s="119">
        <f t="shared" si="28"/>
        <v>0</v>
      </c>
    </row>
    <row r="139" spans="1:8" x14ac:dyDescent="0.3">
      <c r="A139" s="269" t="s">
        <v>95</v>
      </c>
      <c r="B139" s="285" t="str">
        <f t="shared" si="26"/>
        <v>Cinnamon Powder - قرفة مطحونة</v>
      </c>
      <c r="C139" s="285" t="str">
        <f t="shared" si="26"/>
        <v>gm</v>
      </c>
      <c r="D139" s="285">
        <f t="shared" si="26"/>
        <v>2</v>
      </c>
      <c r="E139" s="648">
        <f t="shared" si="30"/>
        <v>0</v>
      </c>
      <c r="F139" s="647">
        <f t="shared" si="29"/>
        <v>0.75</v>
      </c>
      <c r="G139" s="118">
        <f t="shared" si="27"/>
        <v>0</v>
      </c>
      <c r="H139" s="119">
        <f t="shared" si="28"/>
        <v>0</v>
      </c>
    </row>
    <row r="140" spans="1:8" x14ac:dyDescent="0.3">
      <c r="A140" s="269" t="s">
        <v>95</v>
      </c>
      <c r="B140" s="285" t="str">
        <f t="shared" si="26"/>
        <v>Salt - ملح</v>
      </c>
      <c r="C140" s="285" t="str">
        <f t="shared" si="26"/>
        <v>gm</v>
      </c>
      <c r="D140" s="285">
        <f t="shared" si="26"/>
        <v>11</v>
      </c>
      <c r="E140" s="648">
        <f t="shared" si="30"/>
        <v>0</v>
      </c>
      <c r="F140" s="647">
        <f t="shared" si="29"/>
        <v>0.75</v>
      </c>
      <c r="G140" s="118">
        <f t="shared" si="27"/>
        <v>0</v>
      </c>
      <c r="H140" s="119">
        <f t="shared" si="28"/>
        <v>0</v>
      </c>
    </row>
    <row r="141" spans="1:8" x14ac:dyDescent="0.3">
      <c r="A141" s="269" t="s">
        <v>192</v>
      </c>
      <c r="B141" s="285" t="str">
        <f t="shared" si="26"/>
        <v>Tomato Paste - صلصة طماطم</v>
      </c>
      <c r="C141" s="285" t="str">
        <f t="shared" si="26"/>
        <v>gm</v>
      </c>
      <c r="D141" s="285">
        <f t="shared" si="26"/>
        <v>250</v>
      </c>
      <c r="E141" s="648">
        <f t="shared" si="30"/>
        <v>0</v>
      </c>
      <c r="F141" s="647">
        <f t="shared" si="29"/>
        <v>1</v>
      </c>
      <c r="G141" s="118">
        <f t="shared" si="27"/>
        <v>0</v>
      </c>
      <c r="H141" s="119">
        <f t="shared" si="28"/>
        <v>0</v>
      </c>
    </row>
    <row r="142" spans="1:8" x14ac:dyDescent="0.3">
      <c r="A142" s="269" t="s">
        <v>13</v>
      </c>
      <c r="B142" s="285" t="str">
        <f t="shared" si="26"/>
        <v>Frozen Okra - بامية مجمدة</v>
      </c>
      <c r="C142" s="285" t="str">
        <f t="shared" si="26"/>
        <v>gm</v>
      </c>
      <c r="D142" s="285">
        <f t="shared" si="26"/>
        <v>400</v>
      </c>
      <c r="E142" s="648">
        <f t="shared" si="30"/>
        <v>0</v>
      </c>
      <c r="F142" s="647">
        <f t="shared" si="29"/>
        <v>1</v>
      </c>
      <c r="G142" s="118">
        <f t="shared" si="27"/>
        <v>0</v>
      </c>
      <c r="H142" s="119">
        <f t="shared" si="28"/>
        <v>0</v>
      </c>
    </row>
    <row r="143" spans="1:8" x14ac:dyDescent="0.3">
      <c r="A143" s="269" t="s">
        <v>206</v>
      </c>
      <c r="B143" s="285" t="str">
        <f t="shared" si="26"/>
        <v>Beef Stock - مرق لحم بقري</v>
      </c>
      <c r="C143" s="285" t="str">
        <f t="shared" si="26"/>
        <v>ml</v>
      </c>
      <c r="D143" s="285">
        <f t="shared" si="26"/>
        <v>500</v>
      </c>
      <c r="E143" s="648">
        <f t="shared" si="30"/>
        <v>0</v>
      </c>
      <c r="F143" s="647">
        <f t="shared" si="29"/>
        <v>1</v>
      </c>
      <c r="G143" s="118">
        <f t="shared" si="27"/>
        <v>0</v>
      </c>
      <c r="H143" s="119">
        <f t="shared" si="28"/>
        <v>0</v>
      </c>
    </row>
    <row r="144" spans="1:8" x14ac:dyDescent="0.3">
      <c r="A144" s="269" t="s">
        <v>154</v>
      </c>
      <c r="B144" s="285" t="str">
        <f t="shared" si="26"/>
        <v>Butter - زبدة</v>
      </c>
      <c r="C144" s="285" t="str">
        <f t="shared" si="26"/>
        <v>gm</v>
      </c>
      <c r="D144" s="285">
        <f t="shared" si="26"/>
        <v>15</v>
      </c>
      <c r="E144" s="648">
        <f t="shared" si="30"/>
        <v>0</v>
      </c>
      <c r="F144" s="647">
        <f t="shared" si="29"/>
        <v>1</v>
      </c>
      <c r="G144" s="118">
        <f t="shared" si="27"/>
        <v>0</v>
      </c>
      <c r="H144" s="119">
        <f t="shared" si="28"/>
        <v>0</v>
      </c>
    </row>
    <row r="145" spans="1:8" x14ac:dyDescent="0.3">
      <c r="A145" s="269" t="s">
        <v>95</v>
      </c>
      <c r="B145" s="285" t="str">
        <f t="shared" si="26"/>
        <v>Maggi Cubes - مكعبات ماجي</v>
      </c>
      <c r="C145" s="285" t="str">
        <f t="shared" si="26"/>
        <v>gm</v>
      </c>
      <c r="D145" s="285">
        <f t="shared" si="26"/>
        <v>10</v>
      </c>
      <c r="E145" s="648">
        <f t="shared" si="30"/>
        <v>0</v>
      </c>
      <c r="F145" s="647">
        <f t="shared" si="29"/>
        <v>0.75</v>
      </c>
      <c r="G145" s="118">
        <f t="shared" si="27"/>
        <v>0</v>
      </c>
      <c r="H145" s="119">
        <f t="shared" si="28"/>
        <v>0</v>
      </c>
    </row>
    <row r="146" spans="1:8" x14ac:dyDescent="0.3">
      <c r="A146" s="269" t="s">
        <v>95</v>
      </c>
      <c r="B146" s="285" t="str">
        <f t="shared" si="26"/>
        <v>Salt - ملح</v>
      </c>
      <c r="C146" s="285" t="str">
        <f t="shared" si="26"/>
        <v>gm</v>
      </c>
      <c r="D146" s="285">
        <f t="shared" si="26"/>
        <v>5</v>
      </c>
      <c r="E146" s="648">
        <f t="shared" si="30"/>
        <v>0</v>
      </c>
      <c r="F146" s="647">
        <f t="shared" si="29"/>
        <v>1</v>
      </c>
      <c r="G146" s="118">
        <f t="shared" si="27"/>
        <v>0</v>
      </c>
      <c r="H146" s="119">
        <f t="shared" si="28"/>
        <v>0</v>
      </c>
    </row>
    <row r="147" spans="1:8" ht="18" x14ac:dyDescent="0.3">
      <c r="A147" s="78"/>
      <c r="B147" s="197" t="s">
        <v>291</v>
      </c>
      <c r="C147" s="199" t="s">
        <v>277</v>
      </c>
      <c r="D147" s="14"/>
      <c r="E147" s="199" t="s">
        <v>292</v>
      </c>
      <c r="F147" s="14"/>
      <c r="G147" s="878" t="s">
        <v>268</v>
      </c>
      <c r="H147" s="878" t="s">
        <v>703</v>
      </c>
    </row>
    <row r="148" spans="1:8" ht="20" x14ac:dyDescent="0.4">
      <c r="A148" s="78"/>
      <c r="B148" s="198">
        <f>$J$56</f>
        <v>0</v>
      </c>
      <c r="C148" s="198">
        <f>E148+G148</f>
        <v>0</v>
      </c>
      <c r="D148" s="930"/>
      <c r="E148" s="198">
        <f>$D$56*$S$44</f>
        <v>0</v>
      </c>
      <c r="F148" s="930"/>
      <c r="G148" s="198">
        <f>$D$56*$T$44</f>
        <v>0</v>
      </c>
      <c r="H148" s="198">
        <f>B148+E148</f>
        <v>0</v>
      </c>
    </row>
  </sheetData>
  <mergeCells count="12">
    <mergeCell ref="B130:H130"/>
    <mergeCell ref="B2:K3"/>
    <mergeCell ref="B63:H63"/>
    <mergeCell ref="B85:H85"/>
    <mergeCell ref="B35:F35"/>
    <mergeCell ref="B129:H129"/>
    <mergeCell ref="R26:U26"/>
    <mergeCell ref="B62:H62"/>
    <mergeCell ref="R25:U25"/>
    <mergeCell ref="B106:H106"/>
    <mergeCell ref="B107:H107"/>
    <mergeCell ref="B86:H86"/>
  </mergeCells>
  <printOptions horizontalCentered="1"/>
  <pageMargins left="0.5" right="0.5" top="1" bottom="0.5" header="0.3" footer="0.511811023622047"/>
  <pageSetup paperSize="9" scale="31"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50"/>
    <pageSetUpPr fitToPage="1"/>
  </sheetPr>
  <dimension ref="A1:AT135"/>
  <sheetViews>
    <sheetView zoomScale="61" zoomScaleNormal="61" workbookViewId="0">
      <selection activeCell="B22" sqref="B22:L22"/>
    </sheetView>
  </sheetViews>
  <sheetFormatPr defaultColWidth="12.5" defaultRowHeight="14" x14ac:dyDescent="0.3"/>
  <cols>
    <col min="1" max="1" width="12.5" style="78" customWidth="1"/>
    <col min="2" max="2" width="33.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9" width="21.6640625" style="14" customWidth="1"/>
    <col min="10" max="10" width="13.08203125" style="14" customWidth="1"/>
    <col min="11" max="11" width="12.5" style="14" customWidth="1"/>
    <col min="12" max="12" width="8.33203125" style="14" customWidth="1"/>
    <col min="13" max="13" width="9.58203125" style="14" customWidth="1"/>
    <col min="14" max="14" width="9.1640625" style="14" customWidth="1"/>
    <col min="15" max="17" width="12.5" style="14" customWidth="1"/>
    <col min="18" max="18" width="33.75" style="14" customWidth="1"/>
    <col min="19" max="19" width="12.5" style="14" customWidth="1"/>
    <col min="20" max="20" width="20.33203125" style="14" customWidth="1"/>
    <col min="21" max="22" width="12.5" style="14" customWidth="1"/>
    <col min="23" max="23" width="20.9140625" style="14" customWidth="1"/>
    <col min="24" max="24" width="12.83203125" style="14" bestFit="1" customWidth="1"/>
    <col min="25" max="25" width="9.08203125" style="14" customWidth="1"/>
    <col min="26" max="26" width="12.5" style="14" customWidth="1"/>
    <col min="27" max="27" width="12.5" style="14"/>
    <col min="28" max="28" width="13.33203125" style="14" bestFit="1" customWidth="1"/>
    <col min="29" max="29" width="10" style="14" bestFit="1" customWidth="1"/>
    <col min="30" max="30" width="18.08203125" style="14" bestFit="1" customWidth="1"/>
    <col min="31" max="31" width="9.08203125" style="14" bestFit="1" customWidth="1"/>
    <col min="32" max="32" width="9.58203125" style="14" customWidth="1"/>
    <col min="33" max="34" width="4.58203125" style="14" customWidth="1"/>
    <col min="35" max="35" width="12.5" style="14"/>
    <col min="36" max="36" width="31.5" style="14" customWidth="1"/>
    <col min="37" max="37" width="12.5" style="14"/>
    <col min="38" max="38" width="13.83203125" style="14" customWidth="1"/>
    <col min="39" max="41" width="12.5" style="14"/>
    <col min="42" max="42" width="17.6640625" style="14" customWidth="1"/>
    <col min="43" max="16384" width="12.5" style="14"/>
  </cols>
  <sheetData>
    <row r="1" spans="1:46" ht="48.5" customHeight="1" x14ac:dyDescent="0.3">
      <c r="B1" s="79" t="s">
        <v>235</v>
      </c>
      <c r="C1" s="80">
        <v>1000</v>
      </c>
      <c r="D1" s="81" t="s">
        <v>236</v>
      </c>
      <c r="E1" s="82">
        <f>T32</f>
        <v>19309.230769230777</v>
      </c>
      <c r="F1" s="79" t="s">
        <v>237</v>
      </c>
      <c r="G1" s="288">
        <f>E1/C1</f>
        <v>19.309230769230776</v>
      </c>
      <c r="H1" s="79" t="s">
        <v>238</v>
      </c>
      <c r="I1" s="84">
        <f>(G1/K1)</f>
        <v>22.716742081447972</v>
      </c>
      <c r="J1" s="85" t="s">
        <v>239</v>
      </c>
      <c r="K1" s="289">
        <v>0.85</v>
      </c>
      <c r="L1" s="290" t="s">
        <v>312</v>
      </c>
      <c r="M1" s="88"/>
      <c r="N1" s="89"/>
      <c r="O1" s="90" t="s">
        <v>240</v>
      </c>
      <c r="P1" s="91" t="s">
        <v>241</v>
      </c>
      <c r="Q1" s="92" t="s">
        <v>242</v>
      </c>
      <c r="R1" s="91">
        <v>0.59</v>
      </c>
      <c r="Y1" s="90" t="s">
        <v>463</v>
      </c>
      <c r="Z1" s="835">
        <v>34230</v>
      </c>
      <c r="AA1" s="90" t="s">
        <v>578</v>
      </c>
      <c r="AB1" s="835">
        <v>500</v>
      </c>
      <c r="AC1" s="90" t="s">
        <v>567</v>
      </c>
      <c r="AD1" s="835">
        <v>249</v>
      </c>
      <c r="AE1" s="249"/>
      <c r="AF1" s="251"/>
      <c r="AG1" s="91"/>
      <c r="AI1" s="78"/>
      <c r="AJ1" s="93" t="s">
        <v>254</v>
      </c>
      <c r="AK1" s="93">
        <v>10000</v>
      </c>
      <c r="AL1" s="623" t="s">
        <v>503</v>
      </c>
      <c r="AM1" s="624">
        <f>$S$32</f>
        <v>26330.769230769223</v>
      </c>
      <c r="AN1" s="93" t="s">
        <v>243</v>
      </c>
      <c r="AO1" s="328">
        <f>(($S$32)/$R$1)/$AK$1</f>
        <v>4.4628422425032586</v>
      </c>
      <c r="AP1" s="94"/>
    </row>
    <row r="2" spans="1:46" ht="12.75" customHeight="1" x14ac:dyDescent="0.3">
      <c r="A2" s="96"/>
      <c r="B2" s="1450" t="s">
        <v>27</v>
      </c>
      <c r="C2" s="1460"/>
      <c r="D2" s="1460"/>
      <c r="E2" s="1460"/>
      <c r="F2" s="1460"/>
      <c r="G2" s="1460"/>
      <c r="H2" s="1460"/>
      <c r="I2" s="1460"/>
      <c r="J2" s="1460"/>
      <c r="K2" s="1462"/>
      <c r="L2" s="292"/>
      <c r="P2" s="99"/>
      <c r="Q2" s="99"/>
      <c r="R2" s="99"/>
      <c r="AC2" s="98"/>
      <c r="AD2" s="98"/>
      <c r="AE2" s="1457"/>
      <c r="AF2" s="1460"/>
      <c r="AG2" s="1460"/>
      <c r="AI2" s="78"/>
      <c r="AJ2" s="100"/>
      <c r="AK2" s="1442" t="s">
        <v>524</v>
      </c>
      <c r="AL2" s="1442"/>
      <c r="AM2" s="1442"/>
      <c r="AN2" s="101"/>
      <c r="AO2" s="100"/>
      <c r="AP2" s="100"/>
    </row>
    <row r="3" spans="1:46" ht="12.75" customHeight="1" x14ac:dyDescent="0.3">
      <c r="A3" s="96"/>
      <c r="B3" s="1444"/>
      <c r="C3" s="1444"/>
      <c r="D3" s="1444"/>
      <c r="E3" s="1444"/>
      <c r="F3" s="1444"/>
      <c r="G3" s="1444"/>
      <c r="H3" s="1444"/>
      <c r="I3" s="1444"/>
      <c r="J3" s="1444"/>
      <c r="K3" s="1463"/>
      <c r="L3" s="292"/>
      <c r="P3" s="99"/>
      <c r="Q3" s="99"/>
      <c r="R3" s="99"/>
      <c r="AC3" s="98"/>
      <c r="AD3" s="98"/>
      <c r="AE3" s="1460"/>
      <c r="AF3" s="1460"/>
      <c r="AG3" s="1460"/>
      <c r="AI3" s="78"/>
      <c r="AJ3" s="103"/>
      <c r="AK3" s="103"/>
      <c r="AL3" s="104"/>
      <c r="AM3" s="104"/>
      <c r="AN3" s="104"/>
      <c r="AO3" s="103"/>
      <c r="AP3" s="103"/>
    </row>
    <row r="4" spans="1:46" ht="69" customHeight="1" x14ac:dyDescent="0.3">
      <c r="A4" s="90" t="s">
        <v>1</v>
      </c>
      <c r="B4" s="90" t="s">
        <v>245</v>
      </c>
      <c r="C4" s="106" t="s">
        <v>246</v>
      </c>
      <c r="D4" s="90" t="s">
        <v>235</v>
      </c>
      <c r="E4" s="107" t="s">
        <v>238</v>
      </c>
      <c r="F4" s="107" t="s">
        <v>247</v>
      </c>
      <c r="G4" s="90" t="s">
        <v>248</v>
      </c>
      <c r="H4" s="108" t="s">
        <v>249</v>
      </c>
      <c r="I4" s="90" t="s">
        <v>250</v>
      </c>
      <c r="J4" s="90" t="s">
        <v>251</v>
      </c>
      <c r="K4" s="90" t="s">
        <v>252</v>
      </c>
      <c r="L4" s="90" t="s">
        <v>253</v>
      </c>
      <c r="M4" s="99"/>
      <c r="N4" s="99"/>
      <c r="O4" s="99"/>
      <c r="P4" s="99"/>
      <c r="AA4" s="250"/>
      <c r="AB4" s="252"/>
      <c r="AC4" s="250"/>
      <c r="AD4" s="250"/>
      <c r="AE4" s="250"/>
      <c r="AI4" s="78"/>
      <c r="AJ4" s="109" t="s">
        <v>245</v>
      </c>
      <c r="AK4" s="110" t="s">
        <v>246</v>
      </c>
      <c r="AL4" s="109" t="s">
        <v>254</v>
      </c>
      <c r="AM4" s="109" t="s">
        <v>238</v>
      </c>
      <c r="AN4" s="109" t="s">
        <v>247</v>
      </c>
      <c r="AO4" s="109" t="s">
        <v>248</v>
      </c>
      <c r="AP4" s="111" t="s">
        <v>249</v>
      </c>
      <c r="AQ4" s="90" t="s">
        <v>250</v>
      </c>
      <c r="AR4" s="90" t="s">
        <v>251</v>
      </c>
      <c r="AS4" s="90" t="s">
        <v>252</v>
      </c>
      <c r="AT4" s="90" t="s">
        <v>253</v>
      </c>
    </row>
    <row r="5" spans="1:46" ht="14.25" customHeight="1" x14ac:dyDescent="0.3">
      <c r="A5" s="265" t="s">
        <v>225</v>
      </c>
      <c r="B5" s="122" t="s">
        <v>224</v>
      </c>
      <c r="C5" s="114" t="s">
        <v>14</v>
      </c>
      <c r="D5" s="120">
        <f>I51/10</f>
        <v>2311.3713405238827</v>
      </c>
      <c r="E5" s="116">
        <f>H52</f>
        <v>19.308200998510845</v>
      </c>
      <c r="F5" s="117">
        <v>1</v>
      </c>
      <c r="G5" s="118">
        <f t="shared" ref="G5:G23" si="0">D5*E5</f>
        <v>44628.422425032586</v>
      </c>
      <c r="H5" s="119">
        <f t="shared" ref="H5:H23" si="1">G5*F5</f>
        <v>44628.422425032586</v>
      </c>
      <c r="I5" s="80">
        <f>VLOOKUP(B5,All_Ingredients!$A$1:$F$149,6,FALSE())</f>
        <v>0.86</v>
      </c>
      <c r="J5" s="118">
        <f>VLOOKUP(B5,All_Ingredients!$A$1:$J$149,10,FALSE())</f>
        <v>17.100000000000001</v>
      </c>
      <c r="K5" s="121">
        <f t="shared" ref="K5" si="2">(H5/I5)/1000</f>
        <v>51.893514447712313</v>
      </c>
      <c r="L5" s="121">
        <f t="shared" ref="L5" si="3">K5*J5</f>
        <v>887.37909705588061</v>
      </c>
      <c r="M5" s="99"/>
      <c r="N5" s="99"/>
      <c r="O5" s="99"/>
      <c r="P5" s="99"/>
      <c r="AA5" s="91"/>
      <c r="AB5" s="132"/>
      <c r="AC5" s="253"/>
      <c r="AD5" s="134"/>
      <c r="AE5" s="135"/>
      <c r="AI5" s="78"/>
      <c r="AJ5" s="122" t="s">
        <v>224</v>
      </c>
      <c r="AK5" s="123" t="s">
        <v>231</v>
      </c>
      <c r="AL5" s="124">
        <v>10</v>
      </c>
      <c r="AM5" s="196">
        <f>$AO$1</f>
        <v>4.4628422425032586</v>
      </c>
      <c r="AN5" s="126">
        <v>1</v>
      </c>
      <c r="AO5" s="118">
        <f>AL5*AM5</f>
        <v>44.628422425032582</v>
      </c>
      <c r="AP5" s="119">
        <f>AN5*AO5</f>
        <v>44.628422425032582</v>
      </c>
      <c r="AR5" s="1128"/>
      <c r="AS5" s="553"/>
      <c r="AT5" s="1126"/>
    </row>
    <row r="6" spans="1:46" ht="14.25" customHeight="1" x14ac:dyDescent="0.3">
      <c r="A6" s="127" t="s">
        <v>13</v>
      </c>
      <c r="B6" s="293" t="s">
        <v>12</v>
      </c>
      <c r="C6" s="123" t="s">
        <v>14</v>
      </c>
      <c r="D6" s="124">
        <v>150</v>
      </c>
      <c r="E6" s="196">
        <f t="shared" ref="E6:E23" si="4">$I$1</f>
        <v>22.716742081447972</v>
      </c>
      <c r="F6" s="126">
        <v>0.95</v>
      </c>
      <c r="G6" s="118">
        <f t="shared" si="0"/>
        <v>3407.5113122171956</v>
      </c>
      <c r="H6" s="119">
        <f t="shared" si="1"/>
        <v>3237.1357466063355</v>
      </c>
      <c r="I6" s="80">
        <f>VLOOKUP(B6,All_Ingredients!$A$1:$F$149,6,FALSE())</f>
        <v>0.9</v>
      </c>
      <c r="J6" s="118">
        <f>VLOOKUP(B6,All_Ingredients!$A$1:$J$149,10,FALSE())</f>
        <v>3</v>
      </c>
      <c r="K6" s="121">
        <f t="shared" ref="K6:K23" si="5">(H6/I6)/1000</f>
        <v>3.5968174962292614</v>
      </c>
      <c r="L6" s="121">
        <f t="shared" ref="L6:L23" si="6">K6*J6</f>
        <v>10.790452488687784</v>
      </c>
      <c r="AI6" s="78" t="s">
        <v>56</v>
      </c>
      <c r="AJ6" s="221" t="s">
        <v>55</v>
      </c>
      <c r="AK6" s="123" t="s">
        <v>14</v>
      </c>
      <c r="AL6" s="124">
        <v>300</v>
      </c>
      <c r="AM6" s="196">
        <f t="shared" ref="AM6:AM12" si="7">$AO$1</f>
        <v>4.4628422425032586</v>
      </c>
      <c r="AN6" s="126">
        <v>1</v>
      </c>
      <c r="AO6" s="118">
        <f t="shared" ref="AO6:AO11" si="8">AL6*AM6</f>
        <v>1338.8526727509775</v>
      </c>
      <c r="AP6" s="119">
        <f t="shared" ref="AP6:AP11" si="9">AN6*AO6</f>
        <v>1338.8526727509775</v>
      </c>
      <c r="AQ6" s="1126">
        <f>VLOOKUP(AJ6,Marination_Ordering!$A:$J,6,FALSE)</f>
        <v>0.87</v>
      </c>
      <c r="AR6" s="1126">
        <f>VLOOKUP(AJ6,Marination_Ordering!$A:$J,10,FALSE)</f>
        <v>3.2</v>
      </c>
      <c r="AS6" s="553">
        <f>AP6/AQ6</f>
        <v>1538.9111181045719</v>
      </c>
      <c r="AT6" s="1126">
        <f>AR6*(AS6/1000)</f>
        <v>4.9245155779346304</v>
      </c>
    </row>
    <row r="7" spans="1:46" ht="14.25" customHeight="1" x14ac:dyDescent="0.3">
      <c r="A7" s="127" t="s">
        <v>13</v>
      </c>
      <c r="B7" s="293" t="s">
        <v>32</v>
      </c>
      <c r="C7" s="123" t="s">
        <v>14</v>
      </c>
      <c r="D7" s="124">
        <v>50</v>
      </c>
      <c r="E7" s="196">
        <f t="shared" si="4"/>
        <v>22.716742081447972</v>
      </c>
      <c r="F7" s="126">
        <v>0.95</v>
      </c>
      <c r="G7" s="118">
        <f t="shared" si="0"/>
        <v>1135.8371040723987</v>
      </c>
      <c r="H7" s="119">
        <f t="shared" si="1"/>
        <v>1079.0452488687788</v>
      </c>
      <c r="I7" s="80">
        <f>VLOOKUP(B7,All_Ingredients!$A$1:$F$149,6,FALSE())</f>
        <v>0.69</v>
      </c>
      <c r="J7" s="118">
        <f>VLOOKUP(B7,All_Ingredients!$A$1:$J$149,10,FALSE())</f>
        <v>4</v>
      </c>
      <c r="K7" s="121">
        <f t="shared" si="5"/>
        <v>1.5638336940127231</v>
      </c>
      <c r="L7" s="121">
        <f t="shared" si="6"/>
        <v>6.2553347760508924</v>
      </c>
      <c r="AI7" s="78" t="s">
        <v>13</v>
      </c>
      <c r="AJ7" s="221" t="s">
        <v>762</v>
      </c>
      <c r="AK7" s="123" t="s">
        <v>14</v>
      </c>
      <c r="AL7" s="124">
        <v>100</v>
      </c>
      <c r="AM7" s="196">
        <f t="shared" si="7"/>
        <v>4.4628422425032586</v>
      </c>
      <c r="AN7" s="126">
        <v>1</v>
      </c>
      <c r="AO7" s="118">
        <f t="shared" si="8"/>
        <v>446.28422425032585</v>
      </c>
      <c r="AP7" s="119">
        <f t="shared" si="9"/>
        <v>446.28422425032585</v>
      </c>
      <c r="AQ7" s="1126">
        <f>VLOOKUP(AJ7,Marination_Ordering!$A:$J,6,FALSE)</f>
        <v>1</v>
      </c>
      <c r="AR7" s="1126">
        <f>VLOOKUP(AJ7,Marination_Ordering!$A:$J,10,FALSE)</f>
        <v>10.5</v>
      </c>
      <c r="AS7" s="553">
        <f t="shared" ref="AS7:AS12" si="10">AP7/AQ7</f>
        <v>446.28422425032585</v>
      </c>
      <c r="AT7" s="1126">
        <f t="shared" ref="AT7:AT12" si="11">AR7*(AS7/1000)</f>
        <v>4.6859843546284212</v>
      </c>
    </row>
    <row r="8" spans="1:46" ht="14.25" customHeight="1" x14ac:dyDescent="0.3">
      <c r="A8" s="127" t="s">
        <v>13</v>
      </c>
      <c r="B8" s="294" t="s">
        <v>28</v>
      </c>
      <c r="C8" s="123" t="s">
        <v>14</v>
      </c>
      <c r="D8" s="124">
        <v>50</v>
      </c>
      <c r="E8" s="196">
        <f t="shared" si="4"/>
        <v>22.716742081447972</v>
      </c>
      <c r="F8" s="126">
        <v>0.95</v>
      </c>
      <c r="G8" s="118">
        <f t="shared" si="0"/>
        <v>1135.8371040723987</v>
      </c>
      <c r="H8" s="119">
        <f t="shared" si="1"/>
        <v>1079.0452488687788</v>
      </c>
      <c r="I8" s="80">
        <f>VLOOKUP(B8,All_Ingredients!$A$1:$F$149,6,FALSE())</f>
        <v>0.73</v>
      </c>
      <c r="J8" s="118">
        <f>VLOOKUP(B8,All_Ingredients!$A$1:$J$149,10,FALSE())</f>
        <v>8.5</v>
      </c>
      <c r="K8" s="121">
        <f t="shared" si="5"/>
        <v>1.4781441765325738</v>
      </c>
      <c r="L8" s="121">
        <f t="shared" si="6"/>
        <v>12.564225500526877</v>
      </c>
      <c r="AI8" s="78" t="s">
        <v>206</v>
      </c>
      <c r="AJ8" s="293" t="s">
        <v>214</v>
      </c>
      <c r="AK8" s="123" t="s">
        <v>161</v>
      </c>
      <c r="AL8" s="124">
        <v>350</v>
      </c>
      <c r="AM8" s="196">
        <f t="shared" si="7"/>
        <v>4.4628422425032586</v>
      </c>
      <c r="AN8" s="126">
        <v>1</v>
      </c>
      <c r="AO8" s="118">
        <f t="shared" si="8"/>
        <v>1561.9947848761406</v>
      </c>
      <c r="AP8" s="119">
        <f t="shared" si="9"/>
        <v>1561.9947848761406</v>
      </c>
      <c r="AQ8" s="1126">
        <f>VLOOKUP(AJ8,Marination_Ordering!$A:$J,6,FALSE)</f>
        <v>1</v>
      </c>
      <c r="AR8" s="1126">
        <f>VLOOKUP(AJ8,Marination_Ordering!$A:$J,10,FALSE)</f>
        <v>5</v>
      </c>
      <c r="AS8" s="553">
        <f t="shared" si="10"/>
        <v>1561.9947848761406</v>
      </c>
      <c r="AT8" s="1126">
        <f t="shared" si="11"/>
        <v>7.8099739243807029</v>
      </c>
    </row>
    <row r="9" spans="1:46" ht="14.25" customHeight="1" x14ac:dyDescent="0.3">
      <c r="A9" s="127" t="s">
        <v>13</v>
      </c>
      <c r="B9" s="294" t="s">
        <v>30</v>
      </c>
      <c r="C9" s="123" t="s">
        <v>14</v>
      </c>
      <c r="D9" s="124">
        <v>50</v>
      </c>
      <c r="E9" s="196">
        <f t="shared" si="4"/>
        <v>22.716742081447972</v>
      </c>
      <c r="F9" s="126">
        <v>0.95</v>
      </c>
      <c r="G9" s="118">
        <f t="shared" si="0"/>
        <v>1135.8371040723987</v>
      </c>
      <c r="H9" s="119">
        <f t="shared" si="1"/>
        <v>1079.0452488687788</v>
      </c>
      <c r="I9" s="80">
        <f>VLOOKUP(B9,All_Ingredients!$A$1:$F$149,6,FALSE())</f>
        <v>0.71</v>
      </c>
      <c r="J9" s="118">
        <f>VLOOKUP(B9,All_Ingredients!$A$1:$J$149,10,FALSE())</f>
        <v>8.5</v>
      </c>
      <c r="K9" s="121">
        <f t="shared" si="5"/>
        <v>1.5197820406602518</v>
      </c>
      <c r="L9" s="121">
        <f t="shared" si="6"/>
        <v>12.918147345612141</v>
      </c>
      <c r="AI9" s="78" t="s">
        <v>206</v>
      </c>
      <c r="AJ9" s="293" t="s">
        <v>210</v>
      </c>
      <c r="AK9" s="123" t="s">
        <v>161</v>
      </c>
      <c r="AL9" s="124">
        <v>70</v>
      </c>
      <c r="AM9" s="196">
        <f t="shared" si="7"/>
        <v>4.4628422425032586</v>
      </c>
      <c r="AN9" s="126">
        <v>1</v>
      </c>
      <c r="AO9" s="118">
        <f t="shared" si="8"/>
        <v>312.39895697522809</v>
      </c>
      <c r="AP9" s="119">
        <f t="shared" si="9"/>
        <v>312.39895697522809</v>
      </c>
      <c r="AQ9" s="1126">
        <f>VLOOKUP(AJ9,Marination_Ordering!$A:$J,6,FALSE)</f>
        <v>1</v>
      </c>
      <c r="AR9" s="1126">
        <f>VLOOKUP(AJ9,Marination_Ordering!$A:$J,10,FALSE)</f>
        <v>2.1621621621621623</v>
      </c>
      <c r="AS9" s="553">
        <f t="shared" si="10"/>
        <v>312.39895697522809</v>
      </c>
      <c r="AT9" s="1126">
        <f t="shared" si="11"/>
        <v>0.67545720427076339</v>
      </c>
    </row>
    <row r="10" spans="1:46" ht="14.25" customHeight="1" x14ac:dyDescent="0.3">
      <c r="A10" s="127" t="s">
        <v>13</v>
      </c>
      <c r="B10" s="293" t="s">
        <v>762</v>
      </c>
      <c r="C10" s="123" t="s">
        <v>14</v>
      </c>
      <c r="D10" s="124">
        <v>40</v>
      </c>
      <c r="E10" s="196">
        <f t="shared" si="4"/>
        <v>22.716742081447972</v>
      </c>
      <c r="F10" s="126">
        <v>0.9</v>
      </c>
      <c r="G10" s="118">
        <f t="shared" si="0"/>
        <v>908.6696832579189</v>
      </c>
      <c r="H10" s="119">
        <f t="shared" si="1"/>
        <v>817.80271493212706</v>
      </c>
      <c r="I10" s="80">
        <f>VLOOKUP(B10,All_Ingredients!$A$1:$F$149,6,FALSE())</f>
        <v>1</v>
      </c>
      <c r="J10" s="118">
        <f>VLOOKUP(B10,All_Ingredients!$A$1:$J$149,10,FALSE())</f>
        <v>10.5</v>
      </c>
      <c r="K10" s="121">
        <f t="shared" si="5"/>
        <v>0.81780271493212708</v>
      </c>
      <c r="L10" s="121">
        <f t="shared" si="6"/>
        <v>8.5869285067873342</v>
      </c>
      <c r="AI10" s="78" t="s">
        <v>95</v>
      </c>
      <c r="AJ10" s="293" t="s">
        <v>94</v>
      </c>
      <c r="AK10" s="123" t="s">
        <v>14</v>
      </c>
      <c r="AL10" s="124">
        <v>2</v>
      </c>
      <c r="AM10" s="196">
        <f t="shared" si="7"/>
        <v>4.4628422425032586</v>
      </c>
      <c r="AN10" s="126">
        <v>1</v>
      </c>
      <c r="AO10" s="118">
        <f t="shared" si="8"/>
        <v>8.9256844850065171</v>
      </c>
      <c r="AP10" s="119">
        <f t="shared" si="9"/>
        <v>8.9256844850065171</v>
      </c>
      <c r="AQ10" s="1126">
        <f>VLOOKUP(AJ10,Marination_Ordering!$A:$J,6,FALSE)</f>
        <v>1</v>
      </c>
      <c r="AR10" s="1126">
        <f>VLOOKUP(AJ10,Marination_Ordering!$A:$J,10,FALSE)</f>
        <v>0.74</v>
      </c>
      <c r="AS10" s="553">
        <f t="shared" si="10"/>
        <v>8.9256844850065171</v>
      </c>
      <c r="AT10" s="1126">
        <f t="shared" si="11"/>
        <v>6.6050065189048228E-3</v>
      </c>
    </row>
    <row r="11" spans="1:46" ht="14.25" customHeight="1" x14ac:dyDescent="0.3">
      <c r="A11" s="127" t="s">
        <v>56</v>
      </c>
      <c r="B11" s="293" t="s">
        <v>55</v>
      </c>
      <c r="C11" s="123" t="s">
        <v>14</v>
      </c>
      <c r="D11" s="124">
        <v>25</v>
      </c>
      <c r="E11" s="196">
        <f t="shared" si="4"/>
        <v>22.716742081447972</v>
      </c>
      <c r="F11" s="126">
        <v>0.6</v>
      </c>
      <c r="G11" s="118">
        <f t="shared" si="0"/>
        <v>567.91855203619934</v>
      </c>
      <c r="H11" s="119">
        <f t="shared" si="1"/>
        <v>340.75113122171962</v>
      </c>
      <c r="I11" s="80">
        <f>VLOOKUP(B11,All_Ingredients!$A$1:$F$149,6,FALSE())</f>
        <v>0.87</v>
      </c>
      <c r="J11" s="118">
        <f>VLOOKUP(B11,All_Ingredients!$A$1:$J$149,10,FALSE())</f>
        <v>7</v>
      </c>
      <c r="K11" s="121">
        <f t="shared" si="5"/>
        <v>0.39166796692151679</v>
      </c>
      <c r="L11" s="121">
        <f t="shared" si="6"/>
        <v>2.7416757684506177</v>
      </c>
      <c r="AI11" s="78" t="s">
        <v>95</v>
      </c>
      <c r="AJ11" s="293" t="s">
        <v>100</v>
      </c>
      <c r="AK11" s="123" t="s">
        <v>14</v>
      </c>
      <c r="AL11" s="124">
        <v>3</v>
      </c>
      <c r="AM11" s="196">
        <f t="shared" si="7"/>
        <v>4.4628422425032586</v>
      </c>
      <c r="AN11" s="126">
        <v>1</v>
      </c>
      <c r="AO11" s="118">
        <f t="shared" si="8"/>
        <v>13.388526727509776</v>
      </c>
      <c r="AP11" s="119">
        <f t="shared" si="9"/>
        <v>13.388526727509776</v>
      </c>
      <c r="AQ11" s="1126">
        <f>VLOOKUP(AJ11,Marination_Ordering!$A:$J,6,FALSE)</f>
        <v>1</v>
      </c>
      <c r="AR11" s="1126">
        <f>VLOOKUP(AJ11,Marination_Ordering!$A:$J,10,FALSE)</f>
        <v>31</v>
      </c>
      <c r="AS11" s="553">
        <f t="shared" si="10"/>
        <v>13.388526727509776</v>
      </c>
      <c r="AT11" s="1126">
        <f t="shared" si="11"/>
        <v>0.41504432855280304</v>
      </c>
    </row>
    <row r="12" spans="1:46" ht="14.25" customHeight="1" x14ac:dyDescent="0.3">
      <c r="A12" s="127" t="s">
        <v>192</v>
      </c>
      <c r="B12" s="293" t="s">
        <v>195</v>
      </c>
      <c r="C12" s="123" t="s">
        <v>161</v>
      </c>
      <c r="D12" s="124">
        <v>25</v>
      </c>
      <c r="E12" s="196">
        <f t="shared" si="4"/>
        <v>22.716742081447972</v>
      </c>
      <c r="F12" s="126">
        <v>0.9</v>
      </c>
      <c r="G12" s="118">
        <f t="shared" si="0"/>
        <v>567.91855203619934</v>
      </c>
      <c r="H12" s="119">
        <f t="shared" si="1"/>
        <v>511.1266968325794</v>
      </c>
      <c r="I12" s="80">
        <f>VLOOKUP(B12,All_Ingredients!$A$1:$F$149,6,FALSE())</f>
        <v>1</v>
      </c>
      <c r="J12" s="118">
        <f>VLOOKUP(B12,All_Ingredients!$A$1:$J$149,10,FALSE())</f>
        <v>37.001287001286997</v>
      </c>
      <c r="K12" s="121">
        <f t="shared" si="5"/>
        <v>0.51112669683257939</v>
      </c>
      <c r="L12" s="121">
        <f t="shared" si="6"/>
        <v>18.91234560352208</v>
      </c>
      <c r="AI12" s="78" t="s">
        <v>215</v>
      </c>
      <c r="AJ12" s="293" t="s">
        <v>216</v>
      </c>
      <c r="AK12" s="123" t="s">
        <v>14</v>
      </c>
      <c r="AL12" s="124">
        <v>5</v>
      </c>
      <c r="AM12" s="196">
        <f t="shared" si="7"/>
        <v>4.4628422425032586</v>
      </c>
      <c r="AN12" s="126">
        <v>1</v>
      </c>
      <c r="AO12" s="118">
        <f>AL12*AM12</f>
        <v>22.314211212516291</v>
      </c>
      <c r="AP12" s="119">
        <f>AN12*AO12</f>
        <v>22.314211212516291</v>
      </c>
      <c r="AQ12" s="1126">
        <f>VLOOKUP(AJ12,Marination_Ordering!$A:$J,6,FALSE)</f>
        <v>1</v>
      </c>
      <c r="AR12" s="1126">
        <f>VLOOKUP(AJ12,Marination_Ordering!$A:$J,10,FALSE)</f>
        <v>35</v>
      </c>
      <c r="AS12" s="553">
        <f t="shared" si="10"/>
        <v>22.314211212516291</v>
      </c>
      <c r="AT12" s="1126">
        <f t="shared" si="11"/>
        <v>0.78099739243807009</v>
      </c>
    </row>
    <row r="13" spans="1:46" ht="14.25" customHeight="1" x14ac:dyDescent="0.3">
      <c r="A13" s="127" t="s">
        <v>192</v>
      </c>
      <c r="B13" s="293" t="s">
        <v>196</v>
      </c>
      <c r="C13" s="123" t="s">
        <v>161</v>
      </c>
      <c r="D13" s="124">
        <v>17</v>
      </c>
      <c r="E13" s="196">
        <f t="shared" si="4"/>
        <v>22.716742081447972</v>
      </c>
      <c r="F13" s="126">
        <v>1</v>
      </c>
      <c r="G13" s="118">
        <f t="shared" si="0"/>
        <v>386.18461538461554</v>
      </c>
      <c r="H13" s="119">
        <f t="shared" si="1"/>
        <v>386.18461538461554</v>
      </c>
      <c r="I13" s="80">
        <f>VLOOKUP(B13,All_Ingredients!$A$1:$F$149,6,FALSE())</f>
        <v>1</v>
      </c>
      <c r="J13" s="118">
        <f>VLOOKUP(B13,All_Ingredients!$A$1:$J$149,10,FALSE())</f>
        <v>22.666666666666668</v>
      </c>
      <c r="K13" s="121">
        <f t="shared" si="5"/>
        <v>0.38618461538461551</v>
      </c>
      <c r="L13" s="121">
        <f t="shared" si="6"/>
        <v>8.7535179487179526</v>
      </c>
      <c r="AR13" s="1128"/>
      <c r="AS13" s="553"/>
      <c r="AT13" s="1126"/>
    </row>
    <row r="14" spans="1:46" ht="14.25" customHeight="1" x14ac:dyDescent="0.3">
      <c r="A14" s="127" t="s">
        <v>192</v>
      </c>
      <c r="B14" s="293" t="s">
        <v>194</v>
      </c>
      <c r="C14" s="123" t="s">
        <v>161</v>
      </c>
      <c r="D14" s="124">
        <v>35</v>
      </c>
      <c r="E14" s="196">
        <f t="shared" si="4"/>
        <v>22.716742081447972</v>
      </c>
      <c r="F14" s="126">
        <v>0.75</v>
      </c>
      <c r="G14" s="118">
        <f t="shared" si="0"/>
        <v>795.08597285067901</v>
      </c>
      <c r="H14" s="119">
        <f t="shared" si="1"/>
        <v>596.31447963800929</v>
      </c>
      <c r="I14" s="80">
        <f>VLOOKUP(B14,All_Ingredients!$A$1:$F$149,6,FALSE())</f>
        <v>1</v>
      </c>
      <c r="J14" s="118">
        <f>VLOOKUP(B14,All_Ingredients!$A$1:$J$149,10,FALSE())</f>
        <v>58.685446009389672</v>
      </c>
      <c r="K14" s="121">
        <f t="shared" si="5"/>
        <v>0.59631447963800932</v>
      </c>
      <c r="L14" s="121">
        <f t="shared" si="6"/>
        <v>34.994981199413694</v>
      </c>
    </row>
    <row r="15" spans="1:46" ht="14.25" customHeight="1" x14ac:dyDescent="0.3">
      <c r="A15" s="127" t="s">
        <v>206</v>
      </c>
      <c r="B15" s="293" t="s">
        <v>210</v>
      </c>
      <c r="C15" s="123" t="s">
        <v>161</v>
      </c>
      <c r="D15" s="124">
        <v>15</v>
      </c>
      <c r="E15" s="196">
        <f t="shared" si="4"/>
        <v>22.716742081447972</v>
      </c>
      <c r="F15" s="126">
        <v>1</v>
      </c>
      <c r="G15" s="118">
        <f t="shared" si="0"/>
        <v>340.75113122171956</v>
      </c>
      <c r="H15" s="119">
        <f t="shared" si="1"/>
        <v>340.75113122171956</v>
      </c>
      <c r="I15" s="80">
        <f>VLOOKUP(B15,All_Ingredients!$A$1:$F$149,6,FALSE())</f>
        <v>1</v>
      </c>
      <c r="J15" s="118">
        <f>VLOOKUP(B15,All_Ingredients!$A$1:$J$149,10,FALSE())</f>
        <v>2.1621621621621623</v>
      </c>
      <c r="K15" s="121">
        <f t="shared" si="5"/>
        <v>0.34075113122171957</v>
      </c>
      <c r="L15" s="121">
        <f t="shared" si="6"/>
        <v>0.73675920264155592</v>
      </c>
    </row>
    <row r="16" spans="1:46" ht="14.25" customHeight="1" x14ac:dyDescent="0.3">
      <c r="A16" s="127" t="s">
        <v>206</v>
      </c>
      <c r="B16" s="293" t="s">
        <v>205</v>
      </c>
      <c r="C16" s="123" t="s">
        <v>161</v>
      </c>
      <c r="D16" s="124">
        <v>150</v>
      </c>
      <c r="E16" s="196">
        <f t="shared" si="4"/>
        <v>22.716742081447972</v>
      </c>
      <c r="F16" s="126">
        <v>1</v>
      </c>
      <c r="G16" s="118">
        <f t="shared" si="0"/>
        <v>3407.5113122171956</v>
      </c>
      <c r="H16" s="119">
        <f t="shared" si="1"/>
        <v>3407.5113122171956</v>
      </c>
      <c r="I16" s="80">
        <f>VLOOKUP(B16,All_Ingredients!$A$1:$F$149,6,FALSE())</f>
        <v>1</v>
      </c>
      <c r="J16" s="118">
        <f>VLOOKUP(B16,All_Ingredients!$A$1:$J$149,10,FALSE())</f>
        <v>0</v>
      </c>
      <c r="K16" s="121">
        <f t="shared" si="5"/>
        <v>3.4075113122171956</v>
      </c>
      <c r="L16" s="121">
        <f t="shared" si="6"/>
        <v>0</v>
      </c>
    </row>
    <row r="17" spans="1:32" ht="14.25" customHeight="1" x14ac:dyDescent="0.35">
      <c r="A17" s="127" t="s">
        <v>192</v>
      </c>
      <c r="B17" s="293" t="s">
        <v>200</v>
      </c>
      <c r="C17" s="992" t="s">
        <v>161</v>
      </c>
      <c r="D17" s="124">
        <v>350</v>
      </c>
      <c r="E17" s="196">
        <f t="shared" si="4"/>
        <v>22.716742081447972</v>
      </c>
      <c r="F17" s="126">
        <v>1</v>
      </c>
      <c r="G17" s="118">
        <f t="shared" si="0"/>
        <v>7950.8597285067899</v>
      </c>
      <c r="H17" s="119">
        <f t="shared" si="1"/>
        <v>7950.8597285067899</v>
      </c>
      <c r="I17" s="80">
        <f>VLOOKUP(B17,All_Ingredients!$A$1:$F$149,6,FALSE())</f>
        <v>1</v>
      </c>
      <c r="J17" s="118">
        <f>VLOOKUP(B17,All_Ingredients!$A$1:$J$149,10,FALSE())</f>
        <v>3.25</v>
      </c>
      <c r="K17" s="121">
        <f t="shared" si="5"/>
        <v>7.9508597285067903</v>
      </c>
      <c r="L17" s="121">
        <f t="shared" si="6"/>
        <v>25.840294117647069</v>
      </c>
    </row>
    <row r="18" spans="1:32" ht="14.25" customHeight="1" x14ac:dyDescent="0.3">
      <c r="A18" s="127" t="s">
        <v>215</v>
      </c>
      <c r="B18" s="293" t="s">
        <v>216</v>
      </c>
      <c r="C18" s="123" t="s">
        <v>14</v>
      </c>
      <c r="D18" s="124">
        <v>2</v>
      </c>
      <c r="E18" s="196">
        <f t="shared" si="4"/>
        <v>22.716742081447972</v>
      </c>
      <c r="F18" s="126">
        <v>0.75</v>
      </c>
      <c r="G18" s="118">
        <f t="shared" si="0"/>
        <v>45.433484162895944</v>
      </c>
      <c r="H18" s="119">
        <f t="shared" si="1"/>
        <v>34.075113122171956</v>
      </c>
      <c r="I18" s="80">
        <f>VLOOKUP(B18,All_Ingredients!$A$1:$F$149,6,FALSE())</f>
        <v>1</v>
      </c>
      <c r="J18" s="118">
        <f>VLOOKUP(B18,All_Ingredients!$A$1:$J$149,10,FALSE())</f>
        <v>35</v>
      </c>
      <c r="K18" s="121">
        <f t="shared" si="5"/>
        <v>3.4075113122171957E-2</v>
      </c>
      <c r="L18" s="121">
        <f t="shared" si="6"/>
        <v>1.1926289592760184</v>
      </c>
    </row>
    <row r="19" spans="1:32" ht="14.25" customHeight="1" x14ac:dyDescent="0.3">
      <c r="A19" s="127" t="s">
        <v>188</v>
      </c>
      <c r="B19" s="293" t="s">
        <v>189</v>
      </c>
      <c r="C19" s="123" t="s">
        <v>14</v>
      </c>
      <c r="D19" s="124">
        <v>30</v>
      </c>
      <c r="E19" s="196">
        <f t="shared" si="4"/>
        <v>22.716742081447972</v>
      </c>
      <c r="F19" s="126">
        <v>1</v>
      </c>
      <c r="G19" s="118">
        <f t="shared" si="0"/>
        <v>681.50226244343912</v>
      </c>
      <c r="H19" s="119">
        <f t="shared" si="1"/>
        <v>681.50226244343912</v>
      </c>
      <c r="I19" s="80">
        <f>VLOOKUP(B19,All_Ingredients!$A$1:$F$149,6,FALSE())</f>
        <v>0.9</v>
      </c>
      <c r="J19" s="118">
        <f>VLOOKUP(B19,All_Ingredients!$A$1:$J$149,10,FALSE())</f>
        <v>2.3199999999999998</v>
      </c>
      <c r="K19" s="121">
        <f t="shared" si="5"/>
        <v>0.75722473604826568</v>
      </c>
      <c r="L19" s="121">
        <f t="shared" si="6"/>
        <v>1.7567613876319763</v>
      </c>
    </row>
    <row r="20" spans="1:32" ht="14.25" customHeight="1" x14ac:dyDescent="0.3">
      <c r="A20" s="127" t="s">
        <v>95</v>
      </c>
      <c r="B20" s="293" t="s">
        <v>94</v>
      </c>
      <c r="C20" s="123" t="s">
        <v>14</v>
      </c>
      <c r="D20" s="124">
        <v>3</v>
      </c>
      <c r="E20" s="196">
        <f t="shared" si="4"/>
        <v>22.716742081447972</v>
      </c>
      <c r="F20" s="126">
        <v>0.75</v>
      </c>
      <c r="G20" s="118">
        <f t="shared" si="0"/>
        <v>68.150226244343912</v>
      </c>
      <c r="H20" s="119">
        <f t="shared" si="1"/>
        <v>51.112669683257934</v>
      </c>
      <c r="I20" s="80">
        <f>VLOOKUP(B20,All_Ingredients!$A$1:$F$149,6,FALSE())</f>
        <v>1</v>
      </c>
      <c r="J20" s="118">
        <f>VLOOKUP(B20,All_Ingredients!$A$1:$J$149,10,FALSE())</f>
        <v>0.74</v>
      </c>
      <c r="K20" s="121">
        <f t="shared" si="5"/>
        <v>5.1112669683257936E-2</v>
      </c>
      <c r="L20" s="121">
        <f t="shared" si="6"/>
        <v>3.782337556561087E-2</v>
      </c>
    </row>
    <row r="21" spans="1:32" ht="14.25" customHeight="1" x14ac:dyDescent="0.3">
      <c r="A21" s="127" t="s">
        <v>95</v>
      </c>
      <c r="B21" s="293" t="s">
        <v>100</v>
      </c>
      <c r="C21" s="123" t="s">
        <v>14</v>
      </c>
      <c r="D21" s="124">
        <v>3</v>
      </c>
      <c r="E21" s="196">
        <f t="shared" si="4"/>
        <v>22.716742081447972</v>
      </c>
      <c r="F21" s="126">
        <v>0.75</v>
      </c>
      <c r="G21" s="118">
        <f t="shared" si="0"/>
        <v>68.150226244343912</v>
      </c>
      <c r="H21" s="119">
        <f t="shared" si="1"/>
        <v>51.112669683257934</v>
      </c>
      <c r="I21" s="80">
        <f>VLOOKUP(B21,All_Ingredients!$A$1:$F$149,6,FALSE())</f>
        <v>1</v>
      </c>
      <c r="J21" s="118">
        <f>VLOOKUP(B21,All_Ingredients!$A$1:$J$149,10,FALSE())</f>
        <v>31</v>
      </c>
      <c r="K21" s="121">
        <f t="shared" si="5"/>
        <v>5.1112669683257936E-2</v>
      </c>
      <c r="L21" s="121">
        <f t="shared" si="6"/>
        <v>1.5844927601809959</v>
      </c>
    </row>
    <row r="22" spans="1:32" ht="14.25" customHeight="1" x14ac:dyDescent="0.3">
      <c r="A22" s="127" t="s">
        <v>154</v>
      </c>
      <c r="B22" s="293" t="s">
        <v>153</v>
      </c>
      <c r="C22" s="123" t="s">
        <v>14</v>
      </c>
      <c r="D22" s="124">
        <v>20</v>
      </c>
      <c r="E22" s="196">
        <f t="shared" si="4"/>
        <v>22.716742081447972</v>
      </c>
      <c r="F22" s="126">
        <v>1</v>
      </c>
      <c r="G22" s="118">
        <f t="shared" si="0"/>
        <v>454.33484162895945</v>
      </c>
      <c r="H22" s="119">
        <f t="shared" si="1"/>
        <v>454.33484162895945</v>
      </c>
      <c r="I22" s="80">
        <f>VLOOKUP(B22,All_Ingredients!$A$1:$F$149,6,FALSE())</f>
        <v>1</v>
      </c>
      <c r="J22" s="118">
        <f>VLOOKUP(B22,All_Ingredients!$A$1:$J$149,10,FALSE())</f>
        <v>30</v>
      </c>
      <c r="K22" s="121">
        <f t="shared" si="5"/>
        <v>0.45433484162895943</v>
      </c>
      <c r="L22" s="121">
        <f t="shared" si="6"/>
        <v>13.630045248868782</v>
      </c>
    </row>
    <row r="23" spans="1:32" ht="14.25" customHeight="1" x14ac:dyDescent="0.3">
      <c r="A23" s="127" t="s">
        <v>182</v>
      </c>
      <c r="B23" s="294" t="s">
        <v>185</v>
      </c>
      <c r="C23" s="123" t="s">
        <v>14</v>
      </c>
      <c r="D23" s="124">
        <v>50</v>
      </c>
      <c r="E23" s="196">
        <f t="shared" si="4"/>
        <v>22.716742081447972</v>
      </c>
      <c r="F23" s="126">
        <v>1</v>
      </c>
      <c r="G23" s="118">
        <f t="shared" si="0"/>
        <v>1135.8371040723987</v>
      </c>
      <c r="H23" s="119">
        <f t="shared" si="1"/>
        <v>1135.8371040723987</v>
      </c>
      <c r="I23" s="80">
        <f>VLOOKUP(B23,All_Ingredients!$A$1:$F$149,6,FALSE())</f>
        <v>1</v>
      </c>
      <c r="J23" s="118">
        <f>VLOOKUP(B23,All_Ingredients!$A$1:$J$149,10,FALSE())</f>
        <v>17</v>
      </c>
      <c r="K23" s="121">
        <f t="shared" si="5"/>
        <v>1.1358371040723987</v>
      </c>
      <c r="L23" s="121">
        <f t="shared" si="6"/>
        <v>19.309230769230776</v>
      </c>
      <c r="P23"/>
      <c r="R23" s="274" t="s">
        <v>313</v>
      </c>
    </row>
    <row r="24" spans="1:32" ht="14.25" customHeight="1" x14ac:dyDescent="0.3">
      <c r="I24" s="91"/>
      <c r="J24" s="138"/>
      <c r="K24" s="91"/>
      <c r="L24" s="136"/>
      <c r="M24" s="130"/>
      <c r="N24" s="130"/>
      <c r="Z24" s="1208"/>
    </row>
    <row r="25" spans="1:32" ht="15.75" customHeight="1" x14ac:dyDescent="0.35">
      <c r="I25" s="91"/>
      <c r="J25" s="138"/>
      <c r="K25" s="91"/>
      <c r="L25" s="136"/>
      <c r="M25" s="130"/>
      <c r="N25" s="130"/>
      <c r="R25" s="1440" t="s">
        <v>524</v>
      </c>
      <c r="S25" s="1444"/>
      <c r="T25" s="1444"/>
      <c r="U25" s="1444"/>
      <c r="V25" s="1132"/>
      <c r="Z25" s="140" t="s">
        <v>256</v>
      </c>
      <c r="AA25" s="1204">
        <v>1</v>
      </c>
      <c r="AB25" s="140" t="s">
        <v>253</v>
      </c>
      <c r="AC25" s="142">
        <f>(AA25*(4/3))*AF30+(AA30*(AB28/R1))</f>
        <v>3.1821814969232365E-2</v>
      </c>
    </row>
    <row r="26" spans="1:32" ht="14.25" customHeight="1" x14ac:dyDescent="0.3">
      <c r="I26" s="91"/>
      <c r="J26" s="138"/>
      <c r="K26" s="91"/>
      <c r="L26" s="136"/>
      <c r="M26" s="130"/>
      <c r="N26" s="130"/>
      <c r="R26" s="1459" t="s">
        <v>257</v>
      </c>
      <c r="S26" s="1444"/>
      <c r="T26" s="1444"/>
      <c r="U26" s="1444"/>
      <c r="V26" s="1132"/>
    </row>
    <row r="27" spans="1:32" ht="14.25" customHeight="1" thickBot="1" x14ac:dyDescent="0.35">
      <c r="B27" s="99"/>
      <c r="C27" s="849"/>
      <c r="D27" s="849"/>
      <c r="E27" s="849"/>
      <c r="F27" s="849"/>
      <c r="G27" s="849"/>
      <c r="H27"/>
      <c r="I27" s="91"/>
      <c r="J27" s="138"/>
      <c r="K27" s="91"/>
      <c r="L27" s="136"/>
      <c r="M27" s="130"/>
      <c r="N27" s="130"/>
      <c r="R27" s="144" t="s">
        <v>258</v>
      </c>
      <c r="S27" s="145" t="s">
        <v>259</v>
      </c>
      <c r="T27" s="145" t="s">
        <v>260</v>
      </c>
      <c r="U27" s="145" t="s">
        <v>261</v>
      </c>
      <c r="V27" s="145" t="s">
        <v>808</v>
      </c>
      <c r="W27" s="145" t="s">
        <v>817</v>
      </c>
      <c r="Z27" s="140" t="s">
        <v>262</v>
      </c>
      <c r="AA27" s="1166" t="s">
        <v>316</v>
      </c>
      <c r="AB27" s="146" t="s">
        <v>263</v>
      </c>
      <c r="AC27" s="146" t="s">
        <v>264</v>
      </c>
      <c r="AD27" s="146" t="s">
        <v>265</v>
      </c>
      <c r="AE27" s="1167" t="s">
        <v>817</v>
      </c>
      <c r="AF27" s="146" t="s">
        <v>266</v>
      </c>
    </row>
    <row r="28" spans="1:32" ht="14.25" customHeight="1" thickBot="1" x14ac:dyDescent="0.35">
      <c r="B28" s="370"/>
      <c r="C28" s="347"/>
      <c r="D28" s="263"/>
      <c r="E28" s="370"/>
      <c r="F28" s="370"/>
      <c r="G28" s="263"/>
      <c r="H28" s="55"/>
      <c r="I28" s="91"/>
      <c r="J28" s="138"/>
      <c r="K28" s="91"/>
      <c r="L28" s="136"/>
      <c r="M28" s="130"/>
      <c r="N28" s="130"/>
      <c r="R28" s="147" t="s">
        <v>267</v>
      </c>
      <c r="S28" s="1371">
        <f>U28*S40</f>
        <v>26330.769230769223</v>
      </c>
      <c r="T28" s="1371">
        <f>U28*U40</f>
        <v>7899.2307692307777</v>
      </c>
      <c r="U28" s="1342">
        <f>$Z$1</f>
        <v>34230</v>
      </c>
      <c r="V28" s="148">
        <f>SUM(AP5:AP13)</f>
        <v>3748.7874837027375</v>
      </c>
      <c r="W28" s="148">
        <f>SUM(H37:H38)</f>
        <v>266.43</v>
      </c>
      <c r="Z28" s="150"/>
      <c r="AA28" s="1169"/>
      <c r="AB28" s="1181">
        <f>AA25*$S$40</f>
        <v>0.76923076923076905</v>
      </c>
      <c r="AC28" s="151">
        <f>AA25*U40</f>
        <v>0.230769230769231</v>
      </c>
      <c r="AD28" s="1206">
        <f>AA25*(1/3)</f>
        <v>0.33333333333333331</v>
      </c>
      <c r="AE28" s="1169"/>
      <c r="AF28" s="153">
        <f>SUM(AB28:AD28)</f>
        <v>1.3333333333333333</v>
      </c>
    </row>
    <row r="29" spans="1:32" ht="14.25" customHeight="1" thickBot="1" x14ac:dyDescent="0.35">
      <c r="B29" s="370"/>
      <c r="C29" s="347"/>
      <c r="D29" s="263"/>
      <c r="E29" s="370"/>
      <c r="F29" s="370"/>
      <c r="G29" s="263"/>
      <c r="H29" s="55"/>
      <c r="I29" s="91"/>
      <c r="J29" s="138"/>
      <c r="K29" s="91"/>
      <c r="L29" s="136"/>
      <c r="M29" s="130"/>
      <c r="N29" s="130"/>
      <c r="R29" s="147" t="s">
        <v>268</v>
      </c>
      <c r="S29" s="1374"/>
      <c r="T29" s="148">
        <f>U28*(1/3)</f>
        <v>11410</v>
      </c>
      <c r="U29" s="1371">
        <f>T29</f>
        <v>11410</v>
      </c>
      <c r="V29" s="148"/>
      <c r="W29" s="148"/>
      <c r="Z29" s="150"/>
      <c r="AA29" s="1173"/>
      <c r="AB29" s="155">
        <f>AB28/$AF$28</f>
        <v>0.57692307692307687</v>
      </c>
      <c r="AC29" s="155">
        <f>AC28/$AF$28</f>
        <v>0.17307692307692327</v>
      </c>
      <c r="AD29" s="1205">
        <f>AD28/$AF$28</f>
        <v>0.25</v>
      </c>
      <c r="AE29" s="1173"/>
      <c r="AF29" s="155">
        <f>AF28/$AF$28</f>
        <v>1</v>
      </c>
    </row>
    <row r="30" spans="1:32" ht="14.25" customHeight="1" thickBot="1" x14ac:dyDescent="0.35">
      <c r="I30" s="91"/>
      <c r="J30" s="138"/>
      <c r="K30" s="91"/>
      <c r="L30" s="136"/>
      <c r="M30" s="130"/>
      <c r="N30" s="130"/>
      <c r="R30" s="147" t="s">
        <v>269</v>
      </c>
      <c r="S30" s="1382">
        <f>U30*S40</f>
        <v>0</v>
      </c>
      <c r="T30" s="1371">
        <f>(U30*U40)+(U30*0.3)</f>
        <v>0</v>
      </c>
      <c r="U30" s="1342"/>
      <c r="V30" s="1124"/>
      <c r="W30" s="1124"/>
      <c r="Z30" s="140" t="s">
        <v>270</v>
      </c>
      <c r="AA30" s="1177">
        <f>V35/(S32/R1)</f>
        <v>4.3242796272134203E-4</v>
      </c>
      <c r="AB30" s="156">
        <f>S35/(S32)</f>
        <v>3.3701221915648415E-2</v>
      </c>
      <c r="AC30" s="157">
        <f>T35/T32</f>
        <v>9.3533319435286314E-3</v>
      </c>
      <c r="AD30" s="157">
        <f>T35/T32</f>
        <v>9.3533319435286314E-3</v>
      </c>
      <c r="AE30" s="1180">
        <f>W35/U32</f>
        <v>4.3326174263948159E-5</v>
      </c>
      <c r="AF30" s="1188">
        <f>SUMPRODUCT(AB30:AD30,AB29:AD29)+AE30</f>
        <v>2.3443517717092455E-2</v>
      </c>
    </row>
    <row r="31" spans="1:32" ht="14.25" customHeight="1" thickBot="1" x14ac:dyDescent="0.35">
      <c r="I31" s="91"/>
      <c r="J31" s="138"/>
      <c r="K31" s="91"/>
      <c r="L31" s="136"/>
      <c r="M31" s="130"/>
      <c r="N31" s="130"/>
      <c r="R31" s="147" t="s">
        <v>271</v>
      </c>
      <c r="S31" s="154"/>
      <c r="T31" s="148"/>
      <c r="U31" s="148"/>
      <c r="V31" s="148"/>
      <c r="W31" s="148"/>
    </row>
    <row r="32" spans="1:32" ht="38.75" customHeight="1" thickBot="1" x14ac:dyDescent="0.35">
      <c r="I32" s="91"/>
      <c r="J32" s="138"/>
      <c r="K32" s="91"/>
      <c r="L32" s="136"/>
      <c r="M32" s="130"/>
      <c r="N32" s="130"/>
      <c r="R32" s="159" t="s">
        <v>261</v>
      </c>
      <c r="S32" s="148">
        <f>SUM(S28:S30)</f>
        <v>26330.769230769223</v>
      </c>
      <c r="T32" s="148">
        <f>SUM(T28:T30)</f>
        <v>19309.230769230777</v>
      </c>
      <c r="U32" s="1193">
        <f>SUM(U28:U30)</f>
        <v>45640</v>
      </c>
      <c r="V32" s="148"/>
      <c r="W32" s="148">
        <f>SUM(W28:W30)</f>
        <v>266.43</v>
      </c>
      <c r="AB32" s="14">
        <f>AB28*AB30</f>
        <v>2.5924016858191082E-2</v>
      </c>
      <c r="AC32" s="14">
        <f>AC28*AC30</f>
        <v>2.1584612177373789E-3</v>
      </c>
      <c r="AD32" s="14">
        <f>AD28*AD30</f>
        <v>3.1177773145095438E-3</v>
      </c>
    </row>
    <row r="33" spans="2:23" ht="14.25" customHeight="1" thickBot="1" x14ac:dyDescent="0.35">
      <c r="I33" s="91"/>
      <c r="J33" s="138"/>
      <c r="K33" s="91"/>
      <c r="L33" s="136"/>
      <c r="M33" s="130"/>
      <c r="N33" s="130"/>
      <c r="R33" s="160" t="s">
        <v>272</v>
      </c>
      <c r="S33" s="154"/>
      <c r="T33" s="154"/>
      <c r="U33" s="154"/>
      <c r="V33" s="154"/>
      <c r="W33" s="154"/>
    </row>
    <row r="34" spans="2:23" ht="14.25" customHeight="1" thickBot="1" x14ac:dyDescent="0.35">
      <c r="I34" s="91"/>
      <c r="J34" s="138"/>
      <c r="K34" s="91"/>
      <c r="L34" s="136"/>
      <c r="M34" s="130"/>
      <c r="N34" s="130"/>
      <c r="R34" s="161" t="s">
        <v>273</v>
      </c>
      <c r="S34" s="154"/>
      <c r="T34" s="148"/>
      <c r="U34" s="154"/>
      <c r="V34" s="154"/>
      <c r="W34" s="154"/>
    </row>
    <row r="35" spans="2:23" ht="14.25" customHeight="1" thickBot="1" x14ac:dyDescent="0.35">
      <c r="B35" s="1441" t="s">
        <v>650</v>
      </c>
      <c r="C35" s="1441"/>
      <c r="D35" s="1441"/>
      <c r="E35" s="1441"/>
      <c r="F35" s="1441"/>
      <c r="G35" s="877"/>
      <c r="H35" s="877"/>
      <c r="I35" s="877"/>
      <c r="J35" s="877"/>
      <c r="K35" s="877"/>
      <c r="L35" s="877"/>
      <c r="M35" s="130"/>
      <c r="N35" s="130"/>
      <c r="R35" s="162" t="s">
        <v>253</v>
      </c>
      <c r="S35" s="163">
        <f>$L$5</f>
        <v>887.37909705588061</v>
      </c>
      <c r="T35" s="163">
        <f>SUM(L6:L23)</f>
        <v>180.60564495881215</v>
      </c>
      <c r="U35" s="1211">
        <f>S35+T35+V35+W35</f>
        <v>1089.2607263968237</v>
      </c>
      <c r="V35" s="1125">
        <f>SUM(AT6:AT12)</f>
        <v>19.298577788724295</v>
      </c>
      <c r="W35" s="1184">
        <f>SUM(L37:L38)</f>
        <v>1.9774065934065939</v>
      </c>
    </row>
    <row r="36" spans="2:23" ht="14.25" customHeight="1" x14ac:dyDescent="0.3">
      <c r="B36" s="848" t="s">
        <v>245</v>
      </c>
      <c r="C36" s="848" t="s">
        <v>321</v>
      </c>
      <c r="D36" s="850" t="s">
        <v>645</v>
      </c>
      <c r="E36" s="847" t="s">
        <v>646</v>
      </c>
      <c r="F36" s="850" t="s">
        <v>647</v>
      </c>
      <c r="G36" s="870"/>
      <c r="H36" s="850" t="s">
        <v>647</v>
      </c>
      <c r="I36" s="850" t="s">
        <v>250</v>
      </c>
      <c r="J36" s="850" t="s">
        <v>251</v>
      </c>
      <c r="K36" s="850" t="s">
        <v>252</v>
      </c>
      <c r="L36" s="850" t="s">
        <v>253</v>
      </c>
      <c r="M36" s="130"/>
      <c r="N36" s="130"/>
    </row>
    <row r="37" spans="2:23" ht="19.25" customHeight="1" x14ac:dyDescent="0.3">
      <c r="B37" s="843" t="s">
        <v>716</v>
      </c>
      <c r="C37" s="844" t="s">
        <v>14</v>
      </c>
      <c r="D37" s="845">
        <v>7.0000000000000007E-2</v>
      </c>
      <c r="E37" s="843">
        <f>$AD$1</f>
        <v>249</v>
      </c>
      <c r="F37" s="843">
        <f>D37*E37</f>
        <v>17.430000000000003</v>
      </c>
      <c r="G37"/>
      <c r="H37" s="843">
        <f>F37</f>
        <v>17.430000000000003</v>
      </c>
      <c r="I37" s="843">
        <f>VLOOKUP(B37,All_Ingredients!$A$1:$F$149,6,FALSE())</f>
        <v>0.65</v>
      </c>
      <c r="J37" s="843">
        <f>VLOOKUP(B37,All_Ingredients!$A$1:$J$149,10,FALSE())</f>
        <v>45</v>
      </c>
      <c r="K37" s="843">
        <f>(H37/I37)/1000</f>
        <v>2.6815384615384619E-2</v>
      </c>
      <c r="L37" s="843">
        <f t="shared" ref="L37" si="12">K37*J37</f>
        <v>1.206692307692308</v>
      </c>
      <c r="M37" s="130"/>
      <c r="N37" s="130"/>
    </row>
    <row r="38" spans="2:23" ht="14.25" customHeight="1" x14ac:dyDescent="0.3">
      <c r="B38" s="843" t="s">
        <v>19</v>
      </c>
      <c r="C38" s="844" t="s">
        <v>14</v>
      </c>
      <c r="D38" s="845">
        <v>1</v>
      </c>
      <c r="E38" s="843">
        <f>$AD$1</f>
        <v>249</v>
      </c>
      <c r="F38" s="843">
        <f>D38*E38</f>
        <v>249</v>
      </c>
      <c r="H38" s="843">
        <f>F38</f>
        <v>249</v>
      </c>
      <c r="I38" s="843">
        <f>VLOOKUP(B38,All_Ingredients!$A$1:$F$149,6,FALSE())</f>
        <v>0.84</v>
      </c>
      <c r="J38" s="843">
        <f>VLOOKUP(B38,All_Ingredients!$A$1:$J$149,10,FALSE())</f>
        <v>2.6</v>
      </c>
      <c r="K38" s="843">
        <f>(H38/I38)/1000</f>
        <v>0.29642857142857143</v>
      </c>
      <c r="L38" s="843">
        <f t="shared" ref="L38" si="13">K38*J38</f>
        <v>0.7707142857142858</v>
      </c>
      <c r="M38" s="130"/>
      <c r="N38" s="130"/>
    </row>
    <row r="39" spans="2:23" ht="14.25" customHeight="1" x14ac:dyDescent="0.3">
      <c r="B39"/>
      <c r="C39" s="132"/>
      <c r="D39" s="253"/>
      <c r="E39" s="295"/>
      <c r="F39" s="135"/>
      <c r="G39" s="136"/>
      <c r="H39" s="137"/>
      <c r="I39" s="91"/>
      <c r="J39" s="138"/>
      <c r="K39" s="91"/>
      <c r="L39" s="136"/>
      <c r="M39" s="130"/>
      <c r="N39" s="130"/>
    </row>
    <row r="40" spans="2:23" ht="17.75" customHeight="1" x14ac:dyDescent="0.3">
      <c r="B40"/>
      <c r="C40" s="132"/>
      <c r="D40" s="253"/>
      <c r="E40" s="295"/>
      <c r="F40" s="135"/>
      <c r="G40" s="136"/>
      <c r="H40" s="137"/>
      <c r="I40" s="91"/>
      <c r="J40" s="138"/>
      <c r="K40" s="91"/>
      <c r="L40" s="136"/>
      <c r="M40" s="130"/>
      <c r="N40" s="130"/>
      <c r="R40" s="164" t="s">
        <v>274</v>
      </c>
      <c r="S40" s="165">
        <v>0.76923076923076905</v>
      </c>
      <c r="T40" s="164" t="s">
        <v>275</v>
      </c>
      <c r="U40" s="166">
        <v>0.230769230769231</v>
      </c>
      <c r="V40" s="167">
        <f>S40+U40</f>
        <v>1</v>
      </c>
    </row>
    <row r="41" spans="2:23" ht="15.75" customHeight="1" x14ac:dyDescent="0.3">
      <c r="B41"/>
      <c r="C41" s="132"/>
      <c r="D41" s="253"/>
      <c r="E41" s="295"/>
      <c r="F41" s="135"/>
      <c r="G41" s="136"/>
      <c r="H41" s="137"/>
      <c r="I41" s="91"/>
      <c r="J41" s="138"/>
      <c r="K41" s="91"/>
      <c r="L41" s="136"/>
      <c r="M41" s="130"/>
      <c r="N41" s="130"/>
      <c r="U41" s="168"/>
    </row>
    <row r="42" spans="2:23" ht="14.25" customHeight="1" x14ac:dyDescent="0.3">
      <c r="B42"/>
      <c r="C42" s="132"/>
      <c r="D42" s="253"/>
      <c r="E42" s="295"/>
      <c r="F42" s="135"/>
      <c r="G42" s="136"/>
      <c r="H42" s="137"/>
      <c r="I42" s="91"/>
      <c r="J42" s="138"/>
      <c r="K42" s="91"/>
      <c r="L42" s="136"/>
      <c r="M42" s="130"/>
      <c r="N42" s="130"/>
    </row>
    <row r="43" spans="2:23" ht="14.25" customHeight="1" thickBot="1" x14ac:dyDescent="0.35">
      <c r="B43"/>
      <c r="C43" s="132"/>
      <c r="D43" s="253"/>
      <c r="E43" s="295"/>
      <c r="F43" s="135"/>
      <c r="G43" s="136"/>
      <c r="H43" s="137"/>
      <c r="I43" s="91"/>
      <c r="J43" s="138"/>
      <c r="K43" s="91"/>
      <c r="L43" s="136"/>
      <c r="M43" s="130"/>
      <c r="N43" s="130"/>
      <c r="Q43" s="169" t="s">
        <v>276</v>
      </c>
      <c r="R43" s="169" t="s">
        <v>277</v>
      </c>
      <c r="S43" s="169" t="s">
        <v>278</v>
      </c>
      <c r="T43" s="169" t="s">
        <v>279</v>
      </c>
      <c r="U43" s="169" t="s">
        <v>280</v>
      </c>
      <c r="V43" s="169" t="s">
        <v>281</v>
      </c>
      <c r="W43" s="169" t="s">
        <v>282</v>
      </c>
    </row>
    <row r="44" spans="2:23" ht="14.25" customHeight="1" thickBot="1" x14ac:dyDescent="0.35">
      <c r="B44"/>
      <c r="C44" s="132"/>
      <c r="D44" s="253"/>
      <c r="E44" s="295"/>
      <c r="F44" s="135"/>
      <c r="G44" s="136"/>
      <c r="H44" s="137"/>
      <c r="I44" s="91"/>
      <c r="J44" s="138"/>
      <c r="K44" s="91"/>
      <c r="L44" s="136"/>
      <c r="M44" s="130"/>
      <c r="N44" s="130"/>
      <c r="Q44" s="1338">
        <v>17728</v>
      </c>
      <c r="R44" s="172">
        <f>D51</f>
        <v>10000</v>
      </c>
      <c r="S44" s="1340">
        <v>0.40909090909090912</v>
      </c>
      <c r="T44" s="1340">
        <v>0.59090909090909094</v>
      </c>
      <c r="U44" s="241">
        <f>R44*S44</f>
        <v>4090.909090909091</v>
      </c>
      <c r="V44" s="175">
        <f>R44*T44</f>
        <v>5909.090909090909</v>
      </c>
      <c r="W44" s="175">
        <f>Q44-U44</f>
        <v>13637.090909090908</v>
      </c>
    </row>
    <row r="45" spans="2:23" ht="14.25" customHeight="1" x14ac:dyDescent="0.3">
      <c r="B45"/>
      <c r="C45" s="132"/>
      <c r="D45" s="253"/>
      <c r="E45" s="295"/>
      <c r="F45" s="135"/>
      <c r="G45" s="136"/>
      <c r="H45" s="137"/>
      <c r="I45" s="91"/>
      <c r="J45" s="138"/>
      <c r="K45" s="91"/>
      <c r="L45" s="136"/>
      <c r="M45" s="130"/>
      <c r="N45" s="130"/>
    </row>
    <row r="46" spans="2:23" ht="14.25" customHeight="1" x14ac:dyDescent="0.3">
      <c r="B46"/>
      <c r="C46" s="132"/>
      <c r="D46" s="253"/>
      <c r="E46" s="295"/>
      <c r="F46" s="135"/>
      <c r="G46" s="136"/>
      <c r="H46" s="137"/>
      <c r="I46" s="91"/>
      <c r="J46" s="138"/>
      <c r="K46" s="91"/>
      <c r="L46" s="136"/>
      <c r="M46" s="130"/>
      <c r="N46" s="130"/>
    </row>
    <row r="47" spans="2:23" ht="14.25" customHeight="1" x14ac:dyDescent="0.3">
      <c r="B47"/>
      <c r="C47" s="132"/>
      <c r="D47" s="253"/>
      <c r="E47" s="295"/>
      <c r="F47" s="135"/>
      <c r="G47" s="136"/>
      <c r="H47" s="137"/>
      <c r="I47" s="91"/>
      <c r="J47" s="138"/>
      <c r="K47" s="91"/>
      <c r="L47" s="136"/>
      <c r="M47" s="130"/>
      <c r="N47" s="130"/>
    </row>
    <row r="48" spans="2:23" ht="14.25" customHeight="1" x14ac:dyDescent="0.3">
      <c r="B48"/>
      <c r="C48" s="132"/>
      <c r="D48" s="253"/>
      <c r="E48" s="295"/>
      <c r="F48" s="135"/>
      <c r="G48" s="136"/>
      <c r="H48" s="137"/>
      <c r="I48" s="91"/>
      <c r="J48" s="138"/>
      <c r="K48" s="91"/>
      <c r="L48" s="136"/>
      <c r="M48" s="130" t="s">
        <v>856</v>
      </c>
      <c r="N48" s="130" t="s">
        <v>855</v>
      </c>
      <c r="O48" s="362">
        <v>46193</v>
      </c>
    </row>
    <row r="49" spans="1:14" ht="14.25" customHeight="1" x14ac:dyDescent="0.3">
      <c r="B49" s="99"/>
      <c r="C49" s="170"/>
      <c r="D49" s="170"/>
      <c r="E49" s="99"/>
      <c r="F49" s="99"/>
      <c r="G49" s="170"/>
      <c r="L49" s="296" t="s">
        <v>852</v>
      </c>
      <c r="M49" s="14" t="s">
        <v>853</v>
      </c>
      <c r="N49" s="14" t="s">
        <v>854</v>
      </c>
    </row>
    <row r="50" spans="1:14" ht="14.25" customHeight="1" x14ac:dyDescent="0.3">
      <c r="B50" s="144"/>
      <c r="C50" s="144" t="s">
        <v>237</v>
      </c>
      <c r="D50" s="144" t="s">
        <v>283</v>
      </c>
      <c r="E50" s="182"/>
      <c r="F50" s="178"/>
      <c r="G50" s="144" t="s">
        <v>284</v>
      </c>
      <c r="H50" s="144" t="s">
        <v>237</v>
      </c>
      <c r="I50" s="144" t="s">
        <v>285</v>
      </c>
      <c r="J50" s="144" t="s">
        <v>286</v>
      </c>
      <c r="L50" s="296"/>
    </row>
    <row r="51" spans="1:14" ht="14.25" customHeight="1" x14ac:dyDescent="0.3">
      <c r="B51" s="179" t="s">
        <v>287</v>
      </c>
      <c r="C51" s="180">
        <f>10/K1</f>
        <v>11.764705882352942</v>
      </c>
      <c r="D51" s="181">
        <f>C1*10</f>
        <v>10000</v>
      </c>
      <c r="E51" s="182"/>
      <c r="F51" s="99"/>
      <c r="G51" s="179" t="s">
        <v>287</v>
      </c>
      <c r="H51" s="180">
        <f>I51/$D$5</f>
        <v>10</v>
      </c>
      <c r="I51" s="180">
        <f>J51/R1</f>
        <v>23113.713405238828</v>
      </c>
      <c r="J51" s="180">
        <f>$W$44</f>
        <v>13637.090909090908</v>
      </c>
      <c r="L51" s="296">
        <v>43000</v>
      </c>
      <c r="M51" s="14">
        <v>43000</v>
      </c>
      <c r="N51" s="14">
        <v>40000</v>
      </c>
    </row>
    <row r="52" spans="1:14" ht="14.25" customHeight="1" x14ac:dyDescent="0.3">
      <c r="B52" s="147" t="s">
        <v>266</v>
      </c>
      <c r="C52" s="183">
        <f>I1</f>
        <v>22.716742081447972</v>
      </c>
      <c r="D52" s="184">
        <f>E1</f>
        <v>19309.230769230777</v>
      </c>
      <c r="E52" s="99"/>
      <c r="F52" s="99"/>
      <c r="G52" s="147" t="s">
        <v>266</v>
      </c>
      <c r="H52" s="175">
        <f>I52/D5</f>
        <v>19.308200998510845</v>
      </c>
      <c r="I52" s="1409">
        <f>J52/$R$1</f>
        <v>44628.422425032586</v>
      </c>
      <c r="J52" s="183">
        <f>$S$32</f>
        <v>26330.769230769223</v>
      </c>
      <c r="K52" s="1408">
        <v>22000</v>
      </c>
      <c r="L52" s="296"/>
    </row>
    <row r="53" spans="1:14" ht="14.25" customHeight="1" x14ac:dyDescent="0.3">
      <c r="B53" s="230" t="s">
        <v>288</v>
      </c>
      <c r="C53" s="233">
        <f>MIN(C52, C51)</f>
        <v>11.764705882352942</v>
      </c>
      <c r="D53" s="232">
        <f>(C53*$K$1)*$C$1</f>
        <v>10000</v>
      </c>
      <c r="E53" s="99"/>
      <c r="F53" s="99"/>
      <c r="G53" s="147" t="s">
        <v>288</v>
      </c>
      <c r="H53" s="186">
        <f>MIN(H52,H51)</f>
        <v>10</v>
      </c>
      <c r="I53" s="175">
        <f>J53/$R$1</f>
        <v>23113.713405238828</v>
      </c>
      <c r="J53" s="175">
        <f>MIN(J52,J51)</f>
        <v>13637.090909090908</v>
      </c>
      <c r="L53" s="296"/>
    </row>
    <row r="54" spans="1:14" ht="14.25" customHeight="1" x14ac:dyDescent="0.3">
      <c r="B54" s="230" t="s">
        <v>289</v>
      </c>
      <c r="C54" s="233">
        <f>MIN(MAX(C52-C53,0),C51)</f>
        <v>10.95203619909503</v>
      </c>
      <c r="D54" s="232">
        <f>(C54*$K$1)*$C$1</f>
        <v>9309.230769230775</v>
      </c>
      <c r="F54" s="99"/>
      <c r="G54" s="147" t="s">
        <v>289</v>
      </c>
      <c r="H54" s="186">
        <f>MIN(MAX(H52-H53),H51)</f>
        <v>9.3082009985108449</v>
      </c>
      <c r="I54" s="175">
        <f>J54/$R$1</f>
        <v>21514.709019793754</v>
      </c>
      <c r="J54" s="175">
        <f>MIN(MAX(J52-J53),J51)</f>
        <v>12693.678321678315</v>
      </c>
      <c r="L54" s="296" t="s">
        <v>857</v>
      </c>
      <c r="M54" s="14" t="s">
        <v>858</v>
      </c>
    </row>
    <row r="55" spans="1:14" ht="14.25" customHeight="1" x14ac:dyDescent="0.3">
      <c r="B55" s="230" t="s">
        <v>290</v>
      </c>
      <c r="C55" s="233">
        <f>MIN(MAX(C52-C53-C54,0),C51)</f>
        <v>0</v>
      </c>
      <c r="D55" s="232">
        <f>(C55*$K$1)*$C$1</f>
        <v>0</v>
      </c>
      <c r="E55" s="99"/>
      <c r="F55" s="99"/>
      <c r="G55" s="144" t="s">
        <v>290</v>
      </c>
      <c r="H55" s="186">
        <f>MIN(MAX(H52-H53-H54),H51)</f>
        <v>0</v>
      </c>
      <c r="I55" s="175">
        <f>J55/$R$1</f>
        <v>0</v>
      </c>
      <c r="J55" s="175">
        <f>MIN(MAX(J52-J53-J54),J51)</f>
        <v>0</v>
      </c>
    </row>
    <row r="56" spans="1:14" ht="14.25" customHeight="1" x14ac:dyDescent="0.3">
      <c r="B56" s="99"/>
      <c r="E56" s="99"/>
      <c r="F56" s="99"/>
      <c r="L56" s="14" t="s">
        <v>859</v>
      </c>
      <c r="M56" s="297"/>
    </row>
    <row r="57" spans="1:14" ht="14.25" customHeight="1" x14ac:dyDescent="0.3">
      <c r="B57" s="99"/>
      <c r="E57" s="99"/>
      <c r="F57" s="99"/>
      <c r="M57" s="297"/>
    </row>
    <row r="58" spans="1:14" ht="14.25" customHeight="1" x14ac:dyDescent="0.3">
      <c r="B58" s="99"/>
      <c r="E58" s="99"/>
      <c r="F58" s="99"/>
    </row>
    <row r="59" spans="1:14" ht="14.25" customHeight="1" x14ac:dyDescent="0.3">
      <c r="B59" s="99"/>
      <c r="E59" s="99"/>
      <c r="F59" s="99"/>
    </row>
    <row r="60" spans="1:14" ht="14.25" customHeight="1" x14ac:dyDescent="0.3">
      <c r="B60" s="99"/>
      <c r="E60" s="99"/>
      <c r="F60" s="99"/>
    </row>
    <row r="61" spans="1:14" ht="14.25" customHeight="1" x14ac:dyDescent="0.3">
      <c r="B61" s="99"/>
      <c r="E61" s="99"/>
      <c r="F61" s="99"/>
    </row>
    <row r="62" spans="1:14" ht="17.75" customHeight="1" x14ac:dyDescent="0.3">
      <c r="A62" s="922"/>
      <c r="B62" s="1447" t="str">
        <f>"دجاج صيني دفعة 1 / " &amp; COUNTIF($C$53:$C$55, "&gt;0")</f>
        <v>دجاج صيني دفعة 1 / 2</v>
      </c>
      <c r="C62" s="1461"/>
      <c r="D62" s="1461"/>
      <c r="E62" s="1461"/>
      <c r="F62" s="1461"/>
      <c r="G62" s="1461"/>
      <c r="H62" s="1461"/>
    </row>
    <row r="63" spans="1:14" ht="17.75" customHeight="1" x14ac:dyDescent="0.3">
      <c r="A63" s="922"/>
      <c r="B63" s="1438" t="str">
        <f>"Chinese Chicken 1 / " &amp; COUNTIF($C$53:$C$55, "&gt;0")</f>
        <v>Chinese Chicken 1 / 2</v>
      </c>
      <c r="C63" s="1439"/>
      <c r="D63" s="1439"/>
      <c r="E63" s="1439"/>
      <c r="F63" s="1439"/>
      <c r="G63" s="1439"/>
      <c r="H63" s="1439"/>
    </row>
    <row r="64" spans="1:14" ht="44.25" customHeight="1" x14ac:dyDescent="0.25">
      <c r="A64" s="90"/>
      <c r="B64" s="90" t="s">
        <v>245</v>
      </c>
      <c r="C64" s="106" t="s">
        <v>246</v>
      </c>
      <c r="D64" s="90" t="s">
        <v>235</v>
      </c>
      <c r="E64" s="107" t="s">
        <v>238</v>
      </c>
      <c r="F64" s="107" t="s">
        <v>247</v>
      </c>
      <c r="G64" s="90" t="s">
        <v>248</v>
      </c>
      <c r="H64" s="108" t="s">
        <v>249</v>
      </c>
    </row>
    <row r="65" spans="1:8" ht="14.25" customHeight="1" x14ac:dyDescent="0.3">
      <c r="A65" s="127" t="s">
        <v>225</v>
      </c>
      <c r="B65" s="293" t="str">
        <f t="shared" ref="B65:D83" si="14">B5</f>
        <v>Chicken - دجاج</v>
      </c>
      <c r="C65" s="123" t="str">
        <f t="shared" si="14"/>
        <v>gm</v>
      </c>
      <c r="D65" s="115">
        <f t="shared" si="14"/>
        <v>2311.3713405238827</v>
      </c>
      <c r="E65" s="279">
        <f>H53</f>
        <v>10</v>
      </c>
      <c r="F65" s="298">
        <f t="shared" ref="F65:F83" si="15">F5</f>
        <v>1</v>
      </c>
      <c r="G65" s="118">
        <f t="shared" ref="G65:G83" si="16">D65*E65</f>
        <v>23113.713405238828</v>
      </c>
      <c r="H65" s="206">
        <f t="shared" ref="H65:H83" si="17">G65*F65</f>
        <v>23113.713405238828</v>
      </c>
    </row>
    <row r="66" spans="1:8" ht="14.25" customHeight="1" x14ac:dyDescent="0.3">
      <c r="A66" s="127" t="s">
        <v>13</v>
      </c>
      <c r="B66" s="293" t="str">
        <f t="shared" si="14"/>
        <v>Onion - بصل</v>
      </c>
      <c r="C66" s="123" t="str">
        <f t="shared" si="14"/>
        <v>gm</v>
      </c>
      <c r="D66" s="115">
        <f t="shared" si="14"/>
        <v>150</v>
      </c>
      <c r="E66" s="279">
        <f t="shared" ref="E66:E83" si="18">$C$53</f>
        <v>11.764705882352942</v>
      </c>
      <c r="F66" s="298">
        <f t="shared" si="15"/>
        <v>0.95</v>
      </c>
      <c r="G66" s="118">
        <f t="shared" si="16"/>
        <v>1764.7058823529412</v>
      </c>
      <c r="H66" s="206">
        <f t="shared" si="17"/>
        <v>1676.4705882352941</v>
      </c>
    </row>
    <row r="67" spans="1:8" ht="14.25" customHeight="1" x14ac:dyDescent="0.3">
      <c r="A67" s="127" t="s">
        <v>13</v>
      </c>
      <c r="B67" s="293" t="str">
        <f t="shared" si="14"/>
        <v>Green Bell Pepper - فلفل أخضر رومى</v>
      </c>
      <c r="C67" s="123" t="str">
        <f t="shared" si="14"/>
        <v>gm</v>
      </c>
      <c r="D67" s="115">
        <f t="shared" si="14"/>
        <v>50</v>
      </c>
      <c r="E67" s="279">
        <f t="shared" si="18"/>
        <v>11.764705882352942</v>
      </c>
      <c r="F67" s="298">
        <f t="shared" si="15"/>
        <v>0.95</v>
      </c>
      <c r="G67" s="118">
        <f t="shared" si="16"/>
        <v>588.23529411764707</v>
      </c>
      <c r="H67" s="206">
        <f t="shared" si="17"/>
        <v>558.82352941176464</v>
      </c>
    </row>
    <row r="68" spans="1:8" ht="14.25" customHeight="1" x14ac:dyDescent="0.3">
      <c r="A68" s="127" t="s">
        <v>13</v>
      </c>
      <c r="B68" s="293" t="str">
        <f t="shared" si="14"/>
        <v xml:space="preserve">Red Bell Pepper - فلفل أحمر </v>
      </c>
      <c r="C68" s="123" t="str">
        <f t="shared" si="14"/>
        <v>gm</v>
      </c>
      <c r="D68" s="115">
        <f t="shared" si="14"/>
        <v>50</v>
      </c>
      <c r="E68" s="279">
        <f t="shared" si="18"/>
        <v>11.764705882352942</v>
      </c>
      <c r="F68" s="298">
        <f t="shared" si="15"/>
        <v>0.95</v>
      </c>
      <c r="G68" s="118">
        <f t="shared" si="16"/>
        <v>588.23529411764707</v>
      </c>
      <c r="H68" s="206">
        <f t="shared" si="17"/>
        <v>558.82352941176464</v>
      </c>
    </row>
    <row r="69" spans="1:8" ht="14.25" customHeight="1" x14ac:dyDescent="0.3">
      <c r="A69" s="127" t="s">
        <v>13</v>
      </c>
      <c r="B69" s="293" t="str">
        <f t="shared" si="14"/>
        <v xml:space="preserve">Yellow Bell Pepper - فلفل أصفر </v>
      </c>
      <c r="C69" s="123" t="str">
        <f t="shared" si="14"/>
        <v>gm</v>
      </c>
      <c r="D69" s="115">
        <f t="shared" si="14"/>
        <v>50</v>
      </c>
      <c r="E69" s="279">
        <f t="shared" si="18"/>
        <v>11.764705882352942</v>
      </c>
      <c r="F69" s="298">
        <f t="shared" si="15"/>
        <v>0.95</v>
      </c>
      <c r="G69" s="118">
        <f t="shared" si="16"/>
        <v>588.23529411764707</v>
      </c>
      <c r="H69" s="206">
        <f t="shared" si="17"/>
        <v>558.82352941176464</v>
      </c>
    </row>
    <row r="70" spans="1:8" ht="14.25" customHeight="1" x14ac:dyDescent="0.3">
      <c r="A70" s="127" t="s">
        <v>13</v>
      </c>
      <c r="B70" s="293" t="str">
        <f t="shared" si="14"/>
        <v>Garlic - ثوم مقشر</v>
      </c>
      <c r="C70" s="123" t="str">
        <f t="shared" si="14"/>
        <v>gm</v>
      </c>
      <c r="D70" s="115">
        <f t="shared" si="14"/>
        <v>40</v>
      </c>
      <c r="E70" s="279">
        <f t="shared" si="18"/>
        <v>11.764705882352942</v>
      </c>
      <c r="F70" s="298">
        <f t="shared" si="15"/>
        <v>0.9</v>
      </c>
      <c r="G70" s="118">
        <f t="shared" si="16"/>
        <v>470.58823529411768</v>
      </c>
      <c r="H70" s="206">
        <f t="shared" si="17"/>
        <v>423.52941176470591</v>
      </c>
    </row>
    <row r="71" spans="1:8" ht="14.25" customHeight="1" x14ac:dyDescent="0.3">
      <c r="A71" s="127" t="s">
        <v>56</v>
      </c>
      <c r="B71" s="293" t="str">
        <f t="shared" si="14"/>
        <v>Ginger - زنجبيل</v>
      </c>
      <c r="C71" s="123" t="str">
        <f t="shared" si="14"/>
        <v>gm</v>
      </c>
      <c r="D71" s="115">
        <f t="shared" si="14"/>
        <v>25</v>
      </c>
      <c r="E71" s="279">
        <f t="shared" si="18"/>
        <v>11.764705882352942</v>
      </c>
      <c r="F71" s="298">
        <f t="shared" si="15"/>
        <v>0.6</v>
      </c>
      <c r="G71" s="118">
        <f t="shared" si="16"/>
        <v>294.11764705882354</v>
      </c>
      <c r="H71" s="206">
        <f t="shared" si="17"/>
        <v>176.47058823529412</v>
      </c>
    </row>
    <row r="72" spans="1:8" ht="14.25" customHeight="1" x14ac:dyDescent="0.3">
      <c r="A72" s="127" t="s">
        <v>192</v>
      </c>
      <c r="B72" s="293" t="str">
        <f t="shared" si="14"/>
        <v>Light Soy Sauce - صويا صوص خفيف</v>
      </c>
      <c r="C72" s="123" t="str">
        <f t="shared" si="14"/>
        <v>ml</v>
      </c>
      <c r="D72" s="115">
        <f t="shared" si="14"/>
        <v>25</v>
      </c>
      <c r="E72" s="279">
        <f t="shared" si="18"/>
        <v>11.764705882352942</v>
      </c>
      <c r="F72" s="298">
        <f t="shared" si="15"/>
        <v>0.9</v>
      </c>
      <c r="G72" s="118">
        <f t="shared" si="16"/>
        <v>294.11764705882354</v>
      </c>
      <c r="H72" s="206">
        <f t="shared" si="17"/>
        <v>264.70588235294122</v>
      </c>
    </row>
    <row r="73" spans="1:8" ht="14.25" customHeight="1" x14ac:dyDescent="0.3">
      <c r="A73" s="127" t="s">
        <v>192</v>
      </c>
      <c r="B73" s="293" t="str">
        <f t="shared" si="14"/>
        <v>Sweet Soy Sauce - صويا صوص حلو</v>
      </c>
      <c r="C73" s="123" t="str">
        <f t="shared" si="14"/>
        <v>ml</v>
      </c>
      <c r="D73" s="115">
        <f t="shared" si="14"/>
        <v>17</v>
      </c>
      <c r="E73" s="279">
        <f t="shared" si="18"/>
        <v>11.764705882352942</v>
      </c>
      <c r="F73" s="298">
        <f t="shared" si="15"/>
        <v>1</v>
      </c>
      <c r="G73" s="118">
        <f t="shared" si="16"/>
        <v>200</v>
      </c>
      <c r="H73" s="206">
        <f t="shared" si="17"/>
        <v>200</v>
      </c>
    </row>
    <row r="74" spans="1:8" ht="14.25" customHeight="1" x14ac:dyDescent="0.3">
      <c r="A74" s="127" t="s">
        <v>192</v>
      </c>
      <c r="B74" s="293" t="str">
        <f t="shared" si="14"/>
        <v>Sriracha Sauce - صوص سريراتشا</v>
      </c>
      <c r="C74" s="123" t="str">
        <f t="shared" si="14"/>
        <v>ml</v>
      </c>
      <c r="D74" s="115">
        <f t="shared" si="14"/>
        <v>35</v>
      </c>
      <c r="E74" s="279">
        <f t="shared" si="18"/>
        <v>11.764705882352942</v>
      </c>
      <c r="F74" s="298">
        <f t="shared" si="15"/>
        <v>0.75</v>
      </c>
      <c r="G74" s="118">
        <f t="shared" si="16"/>
        <v>411.76470588235298</v>
      </c>
      <c r="H74" s="206">
        <f t="shared" si="17"/>
        <v>308.82352941176475</v>
      </c>
    </row>
    <row r="75" spans="1:8" ht="14.25" customHeight="1" x14ac:dyDescent="0.3">
      <c r="A75" s="127" t="s">
        <v>206</v>
      </c>
      <c r="B75" s="293" t="str">
        <f t="shared" si="14"/>
        <v>Vinegar - خل</v>
      </c>
      <c r="C75" s="123" t="str">
        <f t="shared" si="14"/>
        <v>ml</v>
      </c>
      <c r="D75" s="115">
        <f t="shared" si="14"/>
        <v>15</v>
      </c>
      <c r="E75" s="279">
        <f t="shared" si="18"/>
        <v>11.764705882352942</v>
      </c>
      <c r="F75" s="298">
        <f t="shared" si="15"/>
        <v>1</v>
      </c>
      <c r="G75" s="118">
        <f t="shared" si="16"/>
        <v>176.47058823529414</v>
      </c>
      <c r="H75" s="206">
        <f t="shared" si="17"/>
        <v>176.47058823529414</v>
      </c>
    </row>
    <row r="76" spans="1:8" ht="14.25" customHeight="1" x14ac:dyDescent="0.3">
      <c r="A76" s="127" t="s">
        <v>206</v>
      </c>
      <c r="B76" s="293" t="str">
        <f t="shared" si="14"/>
        <v>Water - ماء</v>
      </c>
      <c r="C76" s="123" t="str">
        <f t="shared" si="14"/>
        <v>ml</v>
      </c>
      <c r="D76" s="115">
        <f t="shared" si="14"/>
        <v>150</v>
      </c>
      <c r="E76" s="279">
        <f t="shared" si="18"/>
        <v>11.764705882352942</v>
      </c>
      <c r="F76" s="298">
        <f t="shared" si="15"/>
        <v>1</v>
      </c>
      <c r="G76" s="118">
        <f t="shared" si="16"/>
        <v>1764.7058823529412</v>
      </c>
      <c r="H76" s="206">
        <f t="shared" si="17"/>
        <v>1764.7058823529412</v>
      </c>
    </row>
    <row r="77" spans="1:8" ht="14.25" customHeight="1" x14ac:dyDescent="0.3">
      <c r="A77" s="127" t="s">
        <v>192</v>
      </c>
      <c r="B77" s="293" t="str">
        <f t="shared" si="14"/>
        <v>Tomato Ketchup - كاتشب طماطم</v>
      </c>
      <c r="C77" s="123" t="str">
        <f t="shared" si="14"/>
        <v>ml</v>
      </c>
      <c r="D77" s="115">
        <f t="shared" si="14"/>
        <v>350</v>
      </c>
      <c r="E77" s="279">
        <f t="shared" si="18"/>
        <v>11.764705882352942</v>
      </c>
      <c r="F77" s="298">
        <f t="shared" si="15"/>
        <v>1</v>
      </c>
      <c r="G77" s="118">
        <f t="shared" si="16"/>
        <v>4117.6470588235297</v>
      </c>
      <c r="H77" s="206">
        <f t="shared" si="17"/>
        <v>4117.6470588235297</v>
      </c>
    </row>
    <row r="78" spans="1:8" ht="14.25" customHeight="1" x14ac:dyDescent="0.3">
      <c r="A78" s="127" t="s">
        <v>215</v>
      </c>
      <c r="B78" s="293" t="str">
        <f t="shared" si="14"/>
        <v>Orange Color - لون برتقالي</v>
      </c>
      <c r="C78" s="123" t="str">
        <f t="shared" si="14"/>
        <v>gm</v>
      </c>
      <c r="D78" s="115">
        <f t="shared" si="14"/>
        <v>2</v>
      </c>
      <c r="E78" s="279">
        <f t="shared" si="18"/>
        <v>11.764705882352942</v>
      </c>
      <c r="F78" s="298">
        <f t="shared" si="15"/>
        <v>0.75</v>
      </c>
      <c r="G78" s="118">
        <f t="shared" si="16"/>
        <v>23.529411764705884</v>
      </c>
      <c r="H78" s="206">
        <f t="shared" si="17"/>
        <v>17.647058823529413</v>
      </c>
    </row>
    <row r="79" spans="1:8" ht="14.25" customHeight="1" x14ac:dyDescent="0.3">
      <c r="A79" s="127" t="s">
        <v>188</v>
      </c>
      <c r="B79" s="293" t="str">
        <f t="shared" si="14"/>
        <v>Corn Starch - نشا ذرة</v>
      </c>
      <c r="C79" s="123" t="str">
        <f t="shared" si="14"/>
        <v>gm</v>
      </c>
      <c r="D79" s="115">
        <f t="shared" si="14"/>
        <v>30</v>
      </c>
      <c r="E79" s="279">
        <f t="shared" si="18"/>
        <v>11.764705882352942</v>
      </c>
      <c r="F79" s="298">
        <f t="shared" si="15"/>
        <v>1</v>
      </c>
      <c r="G79" s="118">
        <f t="shared" si="16"/>
        <v>352.94117647058829</v>
      </c>
      <c r="H79" s="206">
        <f t="shared" si="17"/>
        <v>352.94117647058829</v>
      </c>
    </row>
    <row r="80" spans="1:8" ht="14.25" customHeight="1" x14ac:dyDescent="0.3">
      <c r="A80" s="127" t="s">
        <v>95</v>
      </c>
      <c r="B80" s="293" t="str">
        <f t="shared" si="14"/>
        <v>Salt - ملح</v>
      </c>
      <c r="C80" s="123" t="str">
        <f t="shared" si="14"/>
        <v>gm</v>
      </c>
      <c r="D80" s="115">
        <f t="shared" si="14"/>
        <v>3</v>
      </c>
      <c r="E80" s="279">
        <f t="shared" si="18"/>
        <v>11.764705882352942</v>
      </c>
      <c r="F80" s="298">
        <f t="shared" si="15"/>
        <v>0.75</v>
      </c>
      <c r="G80" s="118">
        <f t="shared" si="16"/>
        <v>35.294117647058826</v>
      </c>
      <c r="H80" s="206">
        <f t="shared" si="17"/>
        <v>26.47058823529412</v>
      </c>
    </row>
    <row r="81" spans="1:8" ht="14.25" customHeight="1" x14ac:dyDescent="0.3">
      <c r="A81" s="127" t="s">
        <v>95</v>
      </c>
      <c r="B81" s="293" t="str">
        <f t="shared" si="14"/>
        <v>Black Pepper Powder - فلفل أسود مطحون</v>
      </c>
      <c r="C81" s="123" t="str">
        <f t="shared" si="14"/>
        <v>gm</v>
      </c>
      <c r="D81" s="115">
        <f t="shared" si="14"/>
        <v>3</v>
      </c>
      <c r="E81" s="279">
        <f t="shared" si="18"/>
        <v>11.764705882352942</v>
      </c>
      <c r="F81" s="298">
        <f t="shared" si="15"/>
        <v>0.75</v>
      </c>
      <c r="G81" s="118">
        <f t="shared" si="16"/>
        <v>35.294117647058826</v>
      </c>
      <c r="H81" s="206">
        <f t="shared" si="17"/>
        <v>26.47058823529412</v>
      </c>
    </row>
    <row r="82" spans="1:8" ht="14.25" customHeight="1" x14ac:dyDescent="0.3">
      <c r="A82" s="127" t="s">
        <v>154</v>
      </c>
      <c r="B82" s="293" t="str">
        <f t="shared" si="14"/>
        <v>Butter - زبدة</v>
      </c>
      <c r="C82" s="123" t="str">
        <f t="shared" si="14"/>
        <v>gm</v>
      </c>
      <c r="D82" s="115">
        <f t="shared" si="14"/>
        <v>20</v>
      </c>
      <c r="E82" s="279">
        <f t="shared" si="18"/>
        <v>11.764705882352942</v>
      </c>
      <c r="F82" s="298">
        <f t="shared" si="15"/>
        <v>1</v>
      </c>
      <c r="G82" s="118">
        <f t="shared" si="16"/>
        <v>235.29411764705884</v>
      </c>
      <c r="H82" s="206">
        <f t="shared" si="17"/>
        <v>235.29411764705884</v>
      </c>
    </row>
    <row r="83" spans="1:8" ht="14.25" customHeight="1" x14ac:dyDescent="0.3">
      <c r="A83" s="78" t="s">
        <v>182</v>
      </c>
      <c r="B83" s="293" t="str">
        <f t="shared" si="14"/>
        <v>Honey - عسل</v>
      </c>
      <c r="C83" s="123" t="str">
        <f t="shared" si="14"/>
        <v>gm</v>
      </c>
      <c r="D83" s="115">
        <f t="shared" si="14"/>
        <v>50</v>
      </c>
      <c r="E83" s="279">
        <f t="shared" si="18"/>
        <v>11.764705882352942</v>
      </c>
      <c r="F83" s="298">
        <f t="shared" si="15"/>
        <v>1</v>
      </c>
      <c r="G83" s="118">
        <f t="shared" si="16"/>
        <v>588.23529411764707</v>
      </c>
      <c r="H83" s="206">
        <f t="shared" si="17"/>
        <v>588.23529411764707</v>
      </c>
    </row>
    <row r="84" spans="1:8" ht="20.25" customHeight="1" x14ac:dyDescent="0.3">
      <c r="A84" s="210"/>
      <c r="B84" s="197" t="s">
        <v>291</v>
      </c>
      <c r="C84" s="199" t="s">
        <v>277</v>
      </c>
      <c r="E84" s="199" t="s">
        <v>292</v>
      </c>
      <c r="G84" s="878" t="s">
        <v>268</v>
      </c>
      <c r="H84" s="878" t="s">
        <v>703</v>
      </c>
    </row>
    <row r="85" spans="1:8" ht="21.5" customHeight="1" x14ac:dyDescent="0.4">
      <c r="A85" s="210"/>
      <c r="B85" s="198">
        <f>$J$53</f>
        <v>13637.090909090908</v>
      </c>
      <c r="C85" s="198">
        <f>E85+G85</f>
        <v>10000</v>
      </c>
      <c r="D85" s="915"/>
      <c r="E85" s="198">
        <f>$D$53*$S$44</f>
        <v>4090.909090909091</v>
      </c>
      <c r="F85" s="919"/>
      <c r="G85" s="198">
        <f>$D$53*$T$44</f>
        <v>5909.090909090909</v>
      </c>
      <c r="H85" s="198">
        <f>B85+E85</f>
        <v>17728</v>
      </c>
    </row>
    <row r="86" spans="1:8" ht="14.25" customHeight="1" x14ac:dyDescent="0.3">
      <c r="B86" s="99"/>
      <c r="E86" s="99"/>
      <c r="F86" s="99"/>
    </row>
    <row r="87" spans="1:8" ht="17.75" customHeight="1" x14ac:dyDescent="0.3">
      <c r="A87" s="922"/>
      <c r="B87" s="1447" t="str">
        <f>"دجاج صيني دفعة 2 / " &amp; COUNTIF($C$53:$C$55, "&gt;0")</f>
        <v>دجاج صيني دفعة 2 / 2</v>
      </c>
      <c r="C87" s="1461"/>
      <c r="D87" s="1461"/>
      <c r="E87" s="1461"/>
      <c r="F87" s="1461"/>
      <c r="G87" s="1461"/>
      <c r="H87" s="1461"/>
    </row>
    <row r="88" spans="1:8" ht="17.75" customHeight="1" x14ac:dyDescent="0.3">
      <c r="A88" s="922"/>
      <c r="B88" s="1438" t="str">
        <f>"Chinese Chicken 2 / " &amp; COUNTIF($C$53:$C$55, "&gt;0")</f>
        <v>Chinese Chicken 2 / 2</v>
      </c>
      <c r="C88" s="1439"/>
      <c r="D88" s="1439"/>
      <c r="E88" s="1439"/>
      <c r="F88" s="1439"/>
      <c r="G88" s="1439"/>
      <c r="H88" s="1439"/>
    </row>
    <row r="89" spans="1:8" ht="52.25" customHeight="1" x14ac:dyDescent="0.25">
      <c r="A89" s="90"/>
      <c r="B89" s="90" t="s">
        <v>245</v>
      </c>
      <c r="C89" s="106" t="s">
        <v>246</v>
      </c>
      <c r="D89" s="90" t="s">
        <v>235</v>
      </c>
      <c r="E89" s="107" t="s">
        <v>238</v>
      </c>
      <c r="F89" s="107" t="s">
        <v>247</v>
      </c>
      <c r="G89" s="90" t="s">
        <v>248</v>
      </c>
      <c r="H89" s="108" t="s">
        <v>249</v>
      </c>
    </row>
    <row r="90" spans="1:8" ht="14.25" customHeight="1" x14ac:dyDescent="0.3">
      <c r="A90" s="127" t="s">
        <v>225</v>
      </c>
      <c r="B90" s="293" t="str">
        <f t="shared" ref="B90:D108" si="19">B5</f>
        <v>Chicken - دجاج</v>
      </c>
      <c r="C90" s="123" t="str">
        <f t="shared" si="19"/>
        <v>gm</v>
      </c>
      <c r="D90" s="115">
        <f t="shared" si="19"/>
        <v>2311.3713405238827</v>
      </c>
      <c r="E90" s="222">
        <f>H54</f>
        <v>9.3082009985108449</v>
      </c>
      <c r="F90" s="298">
        <f t="shared" ref="F90:F108" si="20">F5</f>
        <v>1</v>
      </c>
      <c r="G90" s="118">
        <f t="shared" ref="G90:G108" si="21">D90*E90</f>
        <v>21514.709019793754</v>
      </c>
      <c r="H90" s="206">
        <f t="shared" ref="H90:H108" si="22">G90*F90</f>
        <v>21514.709019793754</v>
      </c>
    </row>
    <row r="91" spans="1:8" ht="14.25" customHeight="1" x14ac:dyDescent="0.3">
      <c r="A91" s="127" t="s">
        <v>13</v>
      </c>
      <c r="B91" s="293" t="str">
        <f t="shared" si="19"/>
        <v>Onion - بصل</v>
      </c>
      <c r="C91" s="123" t="str">
        <f t="shared" si="19"/>
        <v>gm</v>
      </c>
      <c r="D91" s="124">
        <f t="shared" si="19"/>
        <v>150</v>
      </c>
      <c r="E91" s="222">
        <f t="shared" ref="E91:E108" si="23">$C$54</f>
        <v>10.95203619909503</v>
      </c>
      <c r="F91" s="298">
        <f t="shared" si="20"/>
        <v>0.95</v>
      </c>
      <c r="G91" s="118">
        <f t="shared" si="21"/>
        <v>1642.8054298642544</v>
      </c>
      <c r="H91" s="206">
        <f t="shared" si="22"/>
        <v>1560.6651583710416</v>
      </c>
    </row>
    <row r="92" spans="1:8" ht="14.25" customHeight="1" x14ac:dyDescent="0.3">
      <c r="A92" s="127" t="s">
        <v>13</v>
      </c>
      <c r="B92" s="293" t="str">
        <f t="shared" si="19"/>
        <v>Green Bell Pepper - فلفل أخضر رومى</v>
      </c>
      <c r="C92" s="123" t="str">
        <f t="shared" si="19"/>
        <v>gm</v>
      </c>
      <c r="D92" s="124">
        <f t="shared" si="19"/>
        <v>50</v>
      </c>
      <c r="E92" s="222">
        <f t="shared" si="23"/>
        <v>10.95203619909503</v>
      </c>
      <c r="F92" s="298">
        <f t="shared" si="20"/>
        <v>0.95</v>
      </c>
      <c r="G92" s="118">
        <f t="shared" si="21"/>
        <v>547.6018099547515</v>
      </c>
      <c r="H92" s="206">
        <f t="shared" si="22"/>
        <v>520.22171945701393</v>
      </c>
    </row>
    <row r="93" spans="1:8" ht="14.25" customHeight="1" x14ac:dyDescent="0.3">
      <c r="A93" s="127" t="s">
        <v>13</v>
      </c>
      <c r="B93" s="293" t="str">
        <f t="shared" si="19"/>
        <v xml:space="preserve">Red Bell Pepper - فلفل أحمر </v>
      </c>
      <c r="C93" s="123" t="str">
        <f t="shared" si="19"/>
        <v>gm</v>
      </c>
      <c r="D93" s="124">
        <f t="shared" si="19"/>
        <v>50</v>
      </c>
      <c r="E93" s="222">
        <f t="shared" si="23"/>
        <v>10.95203619909503</v>
      </c>
      <c r="F93" s="298">
        <f t="shared" si="20"/>
        <v>0.95</v>
      </c>
      <c r="G93" s="118">
        <f t="shared" si="21"/>
        <v>547.6018099547515</v>
      </c>
      <c r="H93" s="206">
        <f t="shared" si="22"/>
        <v>520.22171945701393</v>
      </c>
    </row>
    <row r="94" spans="1:8" ht="14.25" customHeight="1" x14ac:dyDescent="0.3">
      <c r="A94" s="127" t="s">
        <v>13</v>
      </c>
      <c r="B94" s="293" t="str">
        <f t="shared" si="19"/>
        <v xml:space="preserve">Yellow Bell Pepper - فلفل أصفر </v>
      </c>
      <c r="C94" s="123" t="str">
        <f t="shared" si="19"/>
        <v>gm</v>
      </c>
      <c r="D94" s="124">
        <f t="shared" si="19"/>
        <v>50</v>
      </c>
      <c r="E94" s="222">
        <f t="shared" si="23"/>
        <v>10.95203619909503</v>
      </c>
      <c r="F94" s="298">
        <f t="shared" si="20"/>
        <v>0.95</v>
      </c>
      <c r="G94" s="118">
        <f t="shared" si="21"/>
        <v>547.6018099547515</v>
      </c>
      <c r="H94" s="206">
        <f t="shared" si="22"/>
        <v>520.22171945701393</v>
      </c>
    </row>
    <row r="95" spans="1:8" ht="14.25" customHeight="1" x14ac:dyDescent="0.3">
      <c r="A95" s="127" t="s">
        <v>13</v>
      </c>
      <c r="B95" s="293" t="str">
        <f t="shared" si="19"/>
        <v>Garlic - ثوم مقشر</v>
      </c>
      <c r="C95" s="123" t="str">
        <f t="shared" si="19"/>
        <v>gm</v>
      </c>
      <c r="D95" s="124">
        <f t="shared" si="19"/>
        <v>40</v>
      </c>
      <c r="E95" s="222">
        <f t="shared" si="23"/>
        <v>10.95203619909503</v>
      </c>
      <c r="F95" s="298">
        <f t="shared" si="20"/>
        <v>0.9</v>
      </c>
      <c r="G95" s="118">
        <f t="shared" si="21"/>
        <v>438.08144796380122</v>
      </c>
      <c r="H95" s="206">
        <f t="shared" si="22"/>
        <v>394.27330316742109</v>
      </c>
    </row>
    <row r="96" spans="1:8" ht="14.25" customHeight="1" x14ac:dyDescent="0.3">
      <c r="A96" s="127" t="s">
        <v>56</v>
      </c>
      <c r="B96" s="293" t="str">
        <f t="shared" si="19"/>
        <v>Ginger - زنجبيل</v>
      </c>
      <c r="C96" s="123" t="str">
        <f t="shared" si="19"/>
        <v>gm</v>
      </c>
      <c r="D96" s="124">
        <f t="shared" si="19"/>
        <v>25</v>
      </c>
      <c r="E96" s="222">
        <f t="shared" si="23"/>
        <v>10.95203619909503</v>
      </c>
      <c r="F96" s="298">
        <f t="shared" si="20"/>
        <v>0.6</v>
      </c>
      <c r="G96" s="118">
        <f t="shared" si="21"/>
        <v>273.80090497737575</v>
      </c>
      <c r="H96" s="206">
        <f t="shared" si="22"/>
        <v>164.28054298642544</v>
      </c>
    </row>
    <row r="97" spans="1:8" ht="14.25" customHeight="1" x14ac:dyDescent="0.3">
      <c r="A97" s="127" t="s">
        <v>192</v>
      </c>
      <c r="B97" s="293" t="str">
        <f t="shared" si="19"/>
        <v>Light Soy Sauce - صويا صوص خفيف</v>
      </c>
      <c r="C97" s="123" t="str">
        <f t="shared" si="19"/>
        <v>ml</v>
      </c>
      <c r="D97" s="124">
        <f t="shared" si="19"/>
        <v>25</v>
      </c>
      <c r="E97" s="222">
        <f t="shared" si="23"/>
        <v>10.95203619909503</v>
      </c>
      <c r="F97" s="298">
        <f t="shared" si="20"/>
        <v>0.9</v>
      </c>
      <c r="G97" s="118">
        <f t="shared" si="21"/>
        <v>273.80090497737575</v>
      </c>
      <c r="H97" s="206">
        <f t="shared" si="22"/>
        <v>246.42081447963818</v>
      </c>
    </row>
    <row r="98" spans="1:8" ht="14.25" customHeight="1" x14ac:dyDescent="0.3">
      <c r="A98" s="127" t="s">
        <v>192</v>
      </c>
      <c r="B98" s="293" t="str">
        <f t="shared" si="19"/>
        <v>Sweet Soy Sauce - صويا صوص حلو</v>
      </c>
      <c r="C98" s="123" t="str">
        <f t="shared" si="19"/>
        <v>ml</v>
      </c>
      <c r="D98" s="124">
        <f t="shared" si="19"/>
        <v>17</v>
      </c>
      <c r="E98" s="222">
        <f t="shared" si="23"/>
        <v>10.95203619909503</v>
      </c>
      <c r="F98" s="298">
        <f t="shared" si="20"/>
        <v>1</v>
      </c>
      <c r="G98" s="118">
        <f t="shared" si="21"/>
        <v>186.18461538461551</v>
      </c>
      <c r="H98" s="206">
        <f t="shared" si="22"/>
        <v>186.18461538461551</v>
      </c>
    </row>
    <row r="99" spans="1:8" ht="14.25" customHeight="1" x14ac:dyDescent="0.3">
      <c r="A99" s="127" t="s">
        <v>192</v>
      </c>
      <c r="B99" s="293" t="str">
        <f t="shared" si="19"/>
        <v>Sriracha Sauce - صوص سريراتشا</v>
      </c>
      <c r="C99" s="123" t="str">
        <f t="shared" si="19"/>
        <v>ml</v>
      </c>
      <c r="D99" s="124">
        <f t="shared" si="19"/>
        <v>35</v>
      </c>
      <c r="E99" s="222">
        <f t="shared" si="23"/>
        <v>10.95203619909503</v>
      </c>
      <c r="F99" s="298">
        <f t="shared" si="20"/>
        <v>0.75</v>
      </c>
      <c r="G99" s="118">
        <f t="shared" si="21"/>
        <v>383.32126696832603</v>
      </c>
      <c r="H99" s="206">
        <f t="shared" si="22"/>
        <v>287.49095022624454</v>
      </c>
    </row>
    <row r="100" spans="1:8" ht="14.25" customHeight="1" x14ac:dyDescent="0.3">
      <c r="A100" s="127" t="s">
        <v>206</v>
      </c>
      <c r="B100" s="293" t="str">
        <f t="shared" si="19"/>
        <v>Vinegar - خل</v>
      </c>
      <c r="C100" s="123" t="str">
        <f t="shared" si="19"/>
        <v>ml</v>
      </c>
      <c r="D100" s="124">
        <f t="shared" si="19"/>
        <v>15</v>
      </c>
      <c r="E100" s="222">
        <f t="shared" si="23"/>
        <v>10.95203619909503</v>
      </c>
      <c r="F100" s="298">
        <f t="shared" si="20"/>
        <v>1</v>
      </c>
      <c r="G100" s="118">
        <f t="shared" si="21"/>
        <v>164.28054298642544</v>
      </c>
      <c r="H100" s="206">
        <f t="shared" si="22"/>
        <v>164.28054298642544</v>
      </c>
    </row>
    <row r="101" spans="1:8" ht="14.25" customHeight="1" x14ac:dyDescent="0.3">
      <c r="A101" s="127" t="s">
        <v>206</v>
      </c>
      <c r="B101" s="293" t="str">
        <f t="shared" si="19"/>
        <v>Water - ماء</v>
      </c>
      <c r="C101" s="123" t="str">
        <f t="shared" si="19"/>
        <v>ml</v>
      </c>
      <c r="D101" s="124">
        <f t="shared" si="19"/>
        <v>150</v>
      </c>
      <c r="E101" s="222">
        <f t="shared" si="23"/>
        <v>10.95203619909503</v>
      </c>
      <c r="F101" s="298">
        <f t="shared" si="20"/>
        <v>1</v>
      </c>
      <c r="G101" s="118">
        <f t="shared" si="21"/>
        <v>1642.8054298642544</v>
      </c>
      <c r="H101" s="206">
        <f t="shared" si="22"/>
        <v>1642.8054298642544</v>
      </c>
    </row>
    <row r="102" spans="1:8" ht="14.25" customHeight="1" x14ac:dyDescent="0.3">
      <c r="A102" s="127" t="s">
        <v>192</v>
      </c>
      <c r="B102" s="293" t="str">
        <f t="shared" si="19"/>
        <v>Tomato Ketchup - كاتشب طماطم</v>
      </c>
      <c r="C102" s="123" t="str">
        <f t="shared" si="19"/>
        <v>ml</v>
      </c>
      <c r="D102" s="124">
        <f t="shared" si="19"/>
        <v>350</v>
      </c>
      <c r="E102" s="222">
        <f t="shared" si="23"/>
        <v>10.95203619909503</v>
      </c>
      <c r="F102" s="298">
        <f t="shared" si="20"/>
        <v>1</v>
      </c>
      <c r="G102" s="118">
        <f t="shared" si="21"/>
        <v>3833.2126696832606</v>
      </c>
      <c r="H102" s="206">
        <f t="shared" si="22"/>
        <v>3833.2126696832606</v>
      </c>
    </row>
    <row r="103" spans="1:8" ht="14.25" customHeight="1" x14ac:dyDescent="0.3">
      <c r="A103" s="127" t="s">
        <v>215</v>
      </c>
      <c r="B103" s="293" t="str">
        <f t="shared" si="19"/>
        <v>Orange Color - لون برتقالي</v>
      </c>
      <c r="C103" s="123" t="str">
        <f t="shared" si="19"/>
        <v>gm</v>
      </c>
      <c r="D103" s="124">
        <f t="shared" si="19"/>
        <v>2</v>
      </c>
      <c r="E103" s="222">
        <f t="shared" si="23"/>
        <v>10.95203619909503</v>
      </c>
      <c r="F103" s="298">
        <f t="shared" si="20"/>
        <v>0.75</v>
      </c>
      <c r="G103" s="118">
        <f t="shared" si="21"/>
        <v>21.90407239819006</v>
      </c>
      <c r="H103" s="206">
        <f t="shared" si="22"/>
        <v>16.428054298642543</v>
      </c>
    </row>
    <row r="104" spans="1:8" ht="14.25" customHeight="1" x14ac:dyDescent="0.3">
      <c r="A104" s="127" t="s">
        <v>188</v>
      </c>
      <c r="B104" s="293" t="str">
        <f t="shared" si="19"/>
        <v>Corn Starch - نشا ذرة</v>
      </c>
      <c r="C104" s="123" t="str">
        <f t="shared" si="19"/>
        <v>gm</v>
      </c>
      <c r="D104" s="124">
        <f t="shared" si="19"/>
        <v>30</v>
      </c>
      <c r="E104" s="222">
        <f t="shared" si="23"/>
        <v>10.95203619909503</v>
      </c>
      <c r="F104" s="298">
        <f t="shared" si="20"/>
        <v>1</v>
      </c>
      <c r="G104" s="118">
        <f t="shared" si="21"/>
        <v>328.56108597285089</v>
      </c>
      <c r="H104" s="206">
        <f t="shared" si="22"/>
        <v>328.56108597285089</v>
      </c>
    </row>
    <row r="105" spans="1:8" ht="14.25" customHeight="1" x14ac:dyDescent="0.3">
      <c r="A105" s="127" t="s">
        <v>95</v>
      </c>
      <c r="B105" s="293" t="str">
        <f t="shared" si="19"/>
        <v>Salt - ملح</v>
      </c>
      <c r="C105" s="123" t="str">
        <f t="shared" si="19"/>
        <v>gm</v>
      </c>
      <c r="D105" s="124">
        <f t="shared" si="19"/>
        <v>3</v>
      </c>
      <c r="E105" s="222">
        <f t="shared" si="23"/>
        <v>10.95203619909503</v>
      </c>
      <c r="F105" s="298">
        <f t="shared" si="20"/>
        <v>0.75</v>
      </c>
      <c r="G105" s="118">
        <f t="shared" si="21"/>
        <v>32.856108597285086</v>
      </c>
      <c r="H105" s="206">
        <f t="shared" si="22"/>
        <v>24.642081447963815</v>
      </c>
    </row>
    <row r="106" spans="1:8" ht="14.25" customHeight="1" x14ac:dyDescent="0.3">
      <c r="A106" s="127" t="s">
        <v>95</v>
      </c>
      <c r="B106" s="293" t="str">
        <f t="shared" si="19"/>
        <v>Black Pepper Powder - فلفل أسود مطحون</v>
      </c>
      <c r="C106" s="123" t="str">
        <f t="shared" si="19"/>
        <v>gm</v>
      </c>
      <c r="D106" s="124">
        <f t="shared" si="19"/>
        <v>3</v>
      </c>
      <c r="E106" s="222">
        <f t="shared" si="23"/>
        <v>10.95203619909503</v>
      </c>
      <c r="F106" s="298">
        <f t="shared" si="20"/>
        <v>0.75</v>
      </c>
      <c r="G106" s="118">
        <f t="shared" si="21"/>
        <v>32.856108597285086</v>
      </c>
      <c r="H106" s="206">
        <f t="shared" si="22"/>
        <v>24.642081447963815</v>
      </c>
    </row>
    <row r="107" spans="1:8" ht="14.25" customHeight="1" x14ac:dyDescent="0.3">
      <c r="A107" s="127" t="s">
        <v>154</v>
      </c>
      <c r="B107" s="293" t="str">
        <f t="shared" si="19"/>
        <v>Butter - زبدة</v>
      </c>
      <c r="C107" s="123" t="str">
        <f t="shared" si="19"/>
        <v>gm</v>
      </c>
      <c r="D107" s="124">
        <f t="shared" si="19"/>
        <v>20</v>
      </c>
      <c r="E107" s="222">
        <f t="shared" si="23"/>
        <v>10.95203619909503</v>
      </c>
      <c r="F107" s="298">
        <f t="shared" si="20"/>
        <v>1</v>
      </c>
      <c r="G107" s="118">
        <f t="shared" si="21"/>
        <v>219.04072398190061</v>
      </c>
      <c r="H107" s="206">
        <f t="shared" si="22"/>
        <v>219.04072398190061</v>
      </c>
    </row>
    <row r="108" spans="1:8" ht="14.25" customHeight="1" x14ac:dyDescent="0.3">
      <c r="A108" s="78" t="s">
        <v>182</v>
      </c>
      <c r="B108" s="293" t="str">
        <f t="shared" si="19"/>
        <v>Honey - عسل</v>
      </c>
      <c r="C108" s="123" t="str">
        <f t="shared" si="19"/>
        <v>gm</v>
      </c>
      <c r="D108" s="124">
        <f t="shared" si="19"/>
        <v>50</v>
      </c>
      <c r="E108" s="222">
        <f t="shared" si="23"/>
        <v>10.95203619909503</v>
      </c>
      <c r="F108" s="298">
        <f t="shared" si="20"/>
        <v>1</v>
      </c>
      <c r="G108" s="118">
        <f t="shared" si="21"/>
        <v>547.6018099547515</v>
      </c>
      <c r="H108" s="206">
        <f t="shared" si="22"/>
        <v>547.6018099547515</v>
      </c>
    </row>
    <row r="109" spans="1:8" ht="20.25" customHeight="1" x14ac:dyDescent="0.3">
      <c r="A109" s="210"/>
      <c r="B109" s="197" t="s">
        <v>291</v>
      </c>
      <c r="C109" s="199" t="s">
        <v>277</v>
      </c>
      <c r="E109" s="199" t="s">
        <v>292</v>
      </c>
      <c r="G109" s="878" t="s">
        <v>268</v>
      </c>
      <c r="H109" s="878" t="s">
        <v>703</v>
      </c>
    </row>
    <row r="110" spans="1:8" ht="20" x14ac:dyDescent="0.4">
      <c r="A110" s="210"/>
      <c r="B110" s="198">
        <f>$J$54</f>
        <v>12693.678321678315</v>
      </c>
      <c r="C110" s="198">
        <f>E110+G110</f>
        <v>9309.230769230775</v>
      </c>
      <c r="D110" s="915"/>
      <c r="E110" s="198">
        <f>$D$54*$S$44</f>
        <v>3808.3216783216808</v>
      </c>
      <c r="F110" s="919"/>
      <c r="G110" s="198">
        <f>$D$54*$T$44</f>
        <v>5500.9090909090946</v>
      </c>
      <c r="H110" s="198">
        <f>B110+E110</f>
        <v>16501.999999999996</v>
      </c>
    </row>
    <row r="112" spans="1:8" x14ac:dyDescent="0.3">
      <c r="A112" s="922"/>
      <c r="B112" s="1447" t="str">
        <f>"دجاج صيني دفعة 3 / " &amp; COUNTIF($C$53:$C$55, "&gt;0")</f>
        <v>دجاج صيني دفعة 3 / 2</v>
      </c>
      <c r="C112" s="1461"/>
      <c r="D112" s="1461"/>
      <c r="E112" s="1461"/>
      <c r="F112" s="1461"/>
      <c r="G112" s="1461"/>
      <c r="H112" s="1461"/>
    </row>
    <row r="113" spans="1:8" x14ac:dyDescent="0.3">
      <c r="A113" s="922"/>
      <c r="B113" s="1438" t="str">
        <f>"Chinese Chicken 3 / " &amp; COUNTIF($C$53:$C$55, "&gt;0")</f>
        <v>Chinese Chicken 3 / 2</v>
      </c>
      <c r="C113" s="1439"/>
      <c r="D113" s="1439"/>
      <c r="E113" s="1439"/>
      <c r="F113" s="1439"/>
      <c r="G113" s="1439"/>
      <c r="H113" s="1439"/>
    </row>
    <row r="114" spans="1:8" ht="26" x14ac:dyDescent="0.25">
      <c r="A114" s="90"/>
      <c r="B114" s="90" t="s">
        <v>245</v>
      </c>
      <c r="C114" s="106" t="s">
        <v>246</v>
      </c>
      <c r="D114" s="90" t="s">
        <v>235</v>
      </c>
      <c r="E114" s="107" t="s">
        <v>238</v>
      </c>
      <c r="F114" s="107" t="s">
        <v>247</v>
      </c>
      <c r="G114" s="90" t="s">
        <v>248</v>
      </c>
      <c r="H114" s="108" t="s">
        <v>249</v>
      </c>
    </row>
    <row r="115" spans="1:8" x14ac:dyDescent="0.3">
      <c r="A115" s="127" t="s">
        <v>225</v>
      </c>
      <c r="B115" s="293" t="str">
        <f>B5</f>
        <v>Chicken - دجاج</v>
      </c>
      <c r="C115" s="293" t="str">
        <f t="shared" ref="C115:D115" si="24">C5</f>
        <v>gm</v>
      </c>
      <c r="D115" s="293">
        <f t="shared" si="24"/>
        <v>2311.3713405238827</v>
      </c>
      <c r="E115" s="350">
        <f>H55</f>
        <v>0</v>
      </c>
      <c r="F115" s="298">
        <f>F5</f>
        <v>1</v>
      </c>
      <c r="G115" s="118">
        <f t="shared" ref="G115:G133" si="25">D115*E115</f>
        <v>0</v>
      </c>
      <c r="H115" s="206">
        <f t="shared" ref="H115:H133" si="26">G115*F115</f>
        <v>0</v>
      </c>
    </row>
    <row r="116" spans="1:8" x14ac:dyDescent="0.3">
      <c r="A116" s="127" t="s">
        <v>13</v>
      </c>
      <c r="B116" s="293" t="str">
        <f t="shared" ref="B116:D116" si="27">B6</f>
        <v>Onion - بصل</v>
      </c>
      <c r="C116" s="293" t="str">
        <f t="shared" si="27"/>
        <v>gm</v>
      </c>
      <c r="D116" s="293">
        <f t="shared" si="27"/>
        <v>150</v>
      </c>
      <c r="E116" s="350">
        <f>$C$55</f>
        <v>0</v>
      </c>
      <c r="F116" s="298">
        <f t="shared" ref="F116:F133" si="28">F6</f>
        <v>0.95</v>
      </c>
      <c r="G116" s="118">
        <f t="shared" si="25"/>
        <v>0</v>
      </c>
      <c r="H116" s="206">
        <f t="shared" si="26"/>
        <v>0</v>
      </c>
    </row>
    <row r="117" spans="1:8" x14ac:dyDescent="0.3">
      <c r="A117" s="127" t="s">
        <v>13</v>
      </c>
      <c r="B117" s="293" t="str">
        <f t="shared" ref="B117:D117" si="29">B7</f>
        <v>Green Bell Pepper - فلفل أخضر رومى</v>
      </c>
      <c r="C117" s="293" t="str">
        <f t="shared" si="29"/>
        <v>gm</v>
      </c>
      <c r="D117" s="293">
        <f t="shared" si="29"/>
        <v>50</v>
      </c>
      <c r="E117" s="350">
        <f t="shared" ref="E117:E133" si="30">$C$55</f>
        <v>0</v>
      </c>
      <c r="F117" s="298">
        <f t="shared" si="28"/>
        <v>0.95</v>
      </c>
      <c r="G117" s="118">
        <f t="shared" si="25"/>
        <v>0</v>
      </c>
      <c r="H117" s="206">
        <f t="shared" si="26"/>
        <v>0</v>
      </c>
    </row>
    <row r="118" spans="1:8" x14ac:dyDescent="0.3">
      <c r="A118" s="127" t="s">
        <v>13</v>
      </c>
      <c r="B118" s="293" t="str">
        <f t="shared" ref="B118:D118" si="31">B8</f>
        <v xml:space="preserve">Red Bell Pepper - فلفل أحمر </v>
      </c>
      <c r="C118" s="293" t="str">
        <f t="shared" si="31"/>
        <v>gm</v>
      </c>
      <c r="D118" s="293">
        <f t="shared" si="31"/>
        <v>50</v>
      </c>
      <c r="E118" s="350">
        <f t="shared" si="30"/>
        <v>0</v>
      </c>
      <c r="F118" s="298">
        <f t="shared" si="28"/>
        <v>0.95</v>
      </c>
      <c r="G118" s="118">
        <f t="shared" si="25"/>
        <v>0</v>
      </c>
      <c r="H118" s="206">
        <f t="shared" si="26"/>
        <v>0</v>
      </c>
    </row>
    <row r="119" spans="1:8" x14ac:dyDescent="0.3">
      <c r="A119" s="127" t="s">
        <v>13</v>
      </c>
      <c r="B119" s="293" t="str">
        <f t="shared" ref="B119:D119" si="32">B9</f>
        <v xml:space="preserve">Yellow Bell Pepper - فلفل أصفر </v>
      </c>
      <c r="C119" s="293" t="str">
        <f t="shared" si="32"/>
        <v>gm</v>
      </c>
      <c r="D119" s="293">
        <f t="shared" si="32"/>
        <v>50</v>
      </c>
      <c r="E119" s="350">
        <f t="shared" si="30"/>
        <v>0</v>
      </c>
      <c r="F119" s="298">
        <f t="shared" si="28"/>
        <v>0.95</v>
      </c>
      <c r="G119" s="118">
        <f t="shared" si="25"/>
        <v>0</v>
      </c>
      <c r="H119" s="206">
        <f t="shared" si="26"/>
        <v>0</v>
      </c>
    </row>
    <row r="120" spans="1:8" x14ac:dyDescent="0.3">
      <c r="A120" s="127" t="s">
        <v>13</v>
      </c>
      <c r="B120" s="293" t="str">
        <f t="shared" ref="B120:D120" si="33">B10</f>
        <v>Garlic - ثوم مقشر</v>
      </c>
      <c r="C120" s="293" t="str">
        <f t="shared" si="33"/>
        <v>gm</v>
      </c>
      <c r="D120" s="293">
        <f t="shared" si="33"/>
        <v>40</v>
      </c>
      <c r="E120" s="350">
        <f t="shared" si="30"/>
        <v>0</v>
      </c>
      <c r="F120" s="298">
        <f t="shared" si="28"/>
        <v>0.9</v>
      </c>
      <c r="G120" s="118">
        <f t="shared" si="25"/>
        <v>0</v>
      </c>
      <c r="H120" s="206">
        <f t="shared" si="26"/>
        <v>0</v>
      </c>
    </row>
    <row r="121" spans="1:8" x14ac:dyDescent="0.3">
      <c r="A121" s="127" t="s">
        <v>56</v>
      </c>
      <c r="B121" s="293" t="str">
        <f t="shared" ref="B121:D121" si="34">B11</f>
        <v>Ginger - زنجبيل</v>
      </c>
      <c r="C121" s="293" t="str">
        <f t="shared" si="34"/>
        <v>gm</v>
      </c>
      <c r="D121" s="293">
        <f t="shared" si="34"/>
        <v>25</v>
      </c>
      <c r="E121" s="350">
        <f t="shared" si="30"/>
        <v>0</v>
      </c>
      <c r="F121" s="298">
        <f t="shared" si="28"/>
        <v>0.6</v>
      </c>
      <c r="G121" s="118">
        <f t="shared" si="25"/>
        <v>0</v>
      </c>
      <c r="H121" s="206">
        <f t="shared" si="26"/>
        <v>0</v>
      </c>
    </row>
    <row r="122" spans="1:8" x14ac:dyDescent="0.3">
      <c r="A122" s="127" t="s">
        <v>192</v>
      </c>
      <c r="B122" s="293" t="str">
        <f t="shared" ref="B122:D122" si="35">B12</f>
        <v>Light Soy Sauce - صويا صوص خفيف</v>
      </c>
      <c r="C122" s="293" t="str">
        <f t="shared" si="35"/>
        <v>ml</v>
      </c>
      <c r="D122" s="293">
        <f t="shared" si="35"/>
        <v>25</v>
      </c>
      <c r="E122" s="350">
        <f t="shared" si="30"/>
        <v>0</v>
      </c>
      <c r="F122" s="298">
        <f t="shared" si="28"/>
        <v>0.9</v>
      </c>
      <c r="G122" s="118">
        <f t="shared" si="25"/>
        <v>0</v>
      </c>
      <c r="H122" s="206">
        <f t="shared" si="26"/>
        <v>0</v>
      </c>
    </row>
    <row r="123" spans="1:8" x14ac:dyDescent="0.3">
      <c r="A123" s="127" t="s">
        <v>192</v>
      </c>
      <c r="B123" s="293" t="str">
        <f t="shared" ref="B123:D123" si="36">B13</f>
        <v>Sweet Soy Sauce - صويا صوص حلو</v>
      </c>
      <c r="C123" s="293" t="str">
        <f t="shared" si="36"/>
        <v>ml</v>
      </c>
      <c r="D123" s="293">
        <f t="shared" si="36"/>
        <v>17</v>
      </c>
      <c r="E123" s="350">
        <f t="shared" si="30"/>
        <v>0</v>
      </c>
      <c r="F123" s="298">
        <f t="shared" si="28"/>
        <v>1</v>
      </c>
      <c r="G123" s="118">
        <f t="shared" si="25"/>
        <v>0</v>
      </c>
      <c r="H123" s="206">
        <f t="shared" si="26"/>
        <v>0</v>
      </c>
    </row>
    <row r="124" spans="1:8" x14ac:dyDescent="0.3">
      <c r="A124" s="127" t="s">
        <v>192</v>
      </c>
      <c r="B124" s="293" t="str">
        <f t="shared" ref="B124:D124" si="37">B14</f>
        <v>Sriracha Sauce - صوص سريراتشا</v>
      </c>
      <c r="C124" s="293" t="str">
        <f t="shared" si="37"/>
        <v>ml</v>
      </c>
      <c r="D124" s="293">
        <f t="shared" si="37"/>
        <v>35</v>
      </c>
      <c r="E124" s="350">
        <f t="shared" si="30"/>
        <v>0</v>
      </c>
      <c r="F124" s="298">
        <f t="shared" si="28"/>
        <v>0.75</v>
      </c>
      <c r="G124" s="118">
        <f t="shared" si="25"/>
        <v>0</v>
      </c>
      <c r="H124" s="206">
        <f t="shared" si="26"/>
        <v>0</v>
      </c>
    </row>
    <row r="125" spans="1:8" x14ac:dyDescent="0.3">
      <c r="A125" s="127" t="s">
        <v>206</v>
      </c>
      <c r="B125" s="293" t="str">
        <f t="shared" ref="B125:D125" si="38">B15</f>
        <v>Vinegar - خل</v>
      </c>
      <c r="C125" s="293" t="str">
        <f t="shared" si="38"/>
        <v>ml</v>
      </c>
      <c r="D125" s="293">
        <f t="shared" si="38"/>
        <v>15</v>
      </c>
      <c r="E125" s="350">
        <f t="shared" si="30"/>
        <v>0</v>
      </c>
      <c r="F125" s="298">
        <f t="shared" si="28"/>
        <v>1</v>
      </c>
      <c r="G125" s="118">
        <f t="shared" si="25"/>
        <v>0</v>
      </c>
      <c r="H125" s="206">
        <f t="shared" si="26"/>
        <v>0</v>
      </c>
    </row>
    <row r="126" spans="1:8" x14ac:dyDescent="0.3">
      <c r="A126" s="127" t="s">
        <v>206</v>
      </c>
      <c r="B126" s="293" t="str">
        <f t="shared" ref="B126:D126" si="39">B16</f>
        <v>Water - ماء</v>
      </c>
      <c r="C126" s="293" t="str">
        <f t="shared" si="39"/>
        <v>ml</v>
      </c>
      <c r="D126" s="293">
        <f t="shared" si="39"/>
        <v>150</v>
      </c>
      <c r="E126" s="350">
        <f t="shared" si="30"/>
        <v>0</v>
      </c>
      <c r="F126" s="298">
        <f t="shared" si="28"/>
        <v>1</v>
      </c>
      <c r="G126" s="118">
        <f t="shared" si="25"/>
        <v>0</v>
      </c>
      <c r="H126" s="206">
        <f t="shared" si="26"/>
        <v>0</v>
      </c>
    </row>
    <row r="127" spans="1:8" x14ac:dyDescent="0.3">
      <c r="A127" s="127" t="s">
        <v>192</v>
      </c>
      <c r="B127" s="293" t="str">
        <f t="shared" ref="B127:D127" si="40">B17</f>
        <v>Tomato Ketchup - كاتشب طماطم</v>
      </c>
      <c r="C127" s="293" t="str">
        <f t="shared" si="40"/>
        <v>ml</v>
      </c>
      <c r="D127" s="293">
        <f t="shared" si="40"/>
        <v>350</v>
      </c>
      <c r="E127" s="350">
        <f t="shared" si="30"/>
        <v>0</v>
      </c>
      <c r="F127" s="298">
        <f t="shared" si="28"/>
        <v>1</v>
      </c>
      <c r="G127" s="118">
        <f t="shared" si="25"/>
        <v>0</v>
      </c>
      <c r="H127" s="206">
        <f t="shared" si="26"/>
        <v>0</v>
      </c>
    </row>
    <row r="128" spans="1:8" x14ac:dyDescent="0.3">
      <c r="A128" s="127" t="s">
        <v>215</v>
      </c>
      <c r="B128" s="293" t="str">
        <f t="shared" ref="B128:D128" si="41">B18</f>
        <v>Orange Color - لون برتقالي</v>
      </c>
      <c r="C128" s="293" t="str">
        <f t="shared" si="41"/>
        <v>gm</v>
      </c>
      <c r="D128" s="293">
        <f t="shared" si="41"/>
        <v>2</v>
      </c>
      <c r="E128" s="350">
        <f t="shared" si="30"/>
        <v>0</v>
      </c>
      <c r="F128" s="298">
        <f t="shared" si="28"/>
        <v>0.75</v>
      </c>
      <c r="G128" s="118">
        <f t="shared" si="25"/>
        <v>0</v>
      </c>
      <c r="H128" s="206">
        <f t="shared" si="26"/>
        <v>0</v>
      </c>
    </row>
    <row r="129" spans="1:8" x14ac:dyDescent="0.3">
      <c r="A129" s="127" t="s">
        <v>188</v>
      </c>
      <c r="B129" s="293" t="str">
        <f t="shared" ref="B129:D129" si="42">B19</f>
        <v>Corn Starch - نشا ذرة</v>
      </c>
      <c r="C129" s="293" t="str">
        <f t="shared" si="42"/>
        <v>gm</v>
      </c>
      <c r="D129" s="293">
        <f t="shared" si="42"/>
        <v>30</v>
      </c>
      <c r="E129" s="350">
        <f t="shared" si="30"/>
        <v>0</v>
      </c>
      <c r="F129" s="298">
        <f t="shared" si="28"/>
        <v>1</v>
      </c>
      <c r="G129" s="118">
        <f t="shared" si="25"/>
        <v>0</v>
      </c>
      <c r="H129" s="206">
        <f t="shared" si="26"/>
        <v>0</v>
      </c>
    </row>
    <row r="130" spans="1:8" x14ac:dyDescent="0.3">
      <c r="A130" s="127" t="s">
        <v>95</v>
      </c>
      <c r="B130" s="293" t="str">
        <f t="shared" ref="B130:D130" si="43">B20</f>
        <v>Salt - ملح</v>
      </c>
      <c r="C130" s="293" t="str">
        <f t="shared" si="43"/>
        <v>gm</v>
      </c>
      <c r="D130" s="293">
        <f t="shared" si="43"/>
        <v>3</v>
      </c>
      <c r="E130" s="350">
        <f t="shared" si="30"/>
        <v>0</v>
      </c>
      <c r="F130" s="298">
        <f t="shared" si="28"/>
        <v>0.75</v>
      </c>
      <c r="G130" s="118">
        <f t="shared" si="25"/>
        <v>0</v>
      </c>
      <c r="H130" s="206">
        <f t="shared" si="26"/>
        <v>0</v>
      </c>
    </row>
    <row r="131" spans="1:8" x14ac:dyDescent="0.3">
      <c r="A131" s="127" t="s">
        <v>95</v>
      </c>
      <c r="B131" s="293" t="str">
        <f t="shared" ref="B131:D131" si="44">B21</f>
        <v>Black Pepper Powder - فلفل أسود مطحون</v>
      </c>
      <c r="C131" s="293" t="str">
        <f t="shared" si="44"/>
        <v>gm</v>
      </c>
      <c r="D131" s="293">
        <f t="shared" si="44"/>
        <v>3</v>
      </c>
      <c r="E131" s="350">
        <f t="shared" si="30"/>
        <v>0</v>
      </c>
      <c r="F131" s="298">
        <f t="shared" si="28"/>
        <v>0.75</v>
      </c>
      <c r="G131" s="118">
        <f t="shared" si="25"/>
        <v>0</v>
      </c>
      <c r="H131" s="206">
        <f t="shared" si="26"/>
        <v>0</v>
      </c>
    </row>
    <row r="132" spans="1:8" x14ac:dyDescent="0.3">
      <c r="A132" s="127" t="s">
        <v>154</v>
      </c>
      <c r="B132" s="293" t="str">
        <f t="shared" ref="B132:D132" si="45">B22</f>
        <v>Butter - زبدة</v>
      </c>
      <c r="C132" s="293" t="str">
        <f t="shared" si="45"/>
        <v>gm</v>
      </c>
      <c r="D132" s="293">
        <f t="shared" si="45"/>
        <v>20</v>
      </c>
      <c r="E132" s="350">
        <f t="shared" si="30"/>
        <v>0</v>
      </c>
      <c r="F132" s="298">
        <f t="shared" si="28"/>
        <v>1</v>
      </c>
      <c r="G132" s="118">
        <f t="shared" si="25"/>
        <v>0</v>
      </c>
      <c r="H132" s="206">
        <f t="shared" si="26"/>
        <v>0</v>
      </c>
    </row>
    <row r="133" spans="1:8" x14ac:dyDescent="0.3">
      <c r="A133" s="78" t="s">
        <v>182</v>
      </c>
      <c r="B133" s="293" t="str">
        <f t="shared" ref="B133:D133" si="46">B23</f>
        <v>Honey - عسل</v>
      </c>
      <c r="C133" s="293" t="str">
        <f t="shared" si="46"/>
        <v>gm</v>
      </c>
      <c r="D133" s="293">
        <f t="shared" si="46"/>
        <v>50</v>
      </c>
      <c r="E133" s="350">
        <f t="shared" si="30"/>
        <v>0</v>
      </c>
      <c r="F133" s="298">
        <f t="shared" si="28"/>
        <v>1</v>
      </c>
      <c r="G133" s="118">
        <f t="shared" si="25"/>
        <v>0</v>
      </c>
      <c r="H133" s="206">
        <f t="shared" si="26"/>
        <v>0</v>
      </c>
    </row>
    <row r="134" spans="1:8" ht="18" x14ac:dyDescent="0.3">
      <c r="A134" s="210"/>
      <c r="B134" s="197" t="s">
        <v>291</v>
      </c>
      <c r="C134" s="199" t="s">
        <v>277</v>
      </c>
      <c r="E134" s="199" t="s">
        <v>292</v>
      </c>
      <c r="G134" s="878" t="s">
        <v>268</v>
      </c>
      <c r="H134" s="878" t="s">
        <v>703</v>
      </c>
    </row>
    <row r="135" spans="1:8" ht="20" x14ac:dyDescent="0.4">
      <c r="A135" s="210"/>
      <c r="B135" s="198">
        <f>$J$55</f>
        <v>0</v>
      </c>
      <c r="C135" s="198">
        <f>E135+G135</f>
        <v>0</v>
      </c>
      <c r="D135" s="915"/>
      <c r="E135" s="198">
        <f>$D$55*$S$44</f>
        <v>0</v>
      </c>
      <c r="F135" s="919"/>
      <c r="G135" s="198">
        <f>$D$55*$T$44</f>
        <v>0</v>
      </c>
      <c r="H135" s="198">
        <f>B135+E135</f>
        <v>0</v>
      </c>
    </row>
  </sheetData>
  <mergeCells count="13">
    <mergeCell ref="B112:H112"/>
    <mergeCell ref="B113:H113"/>
    <mergeCell ref="AK2:AM2"/>
    <mergeCell ref="B2:J3"/>
    <mergeCell ref="AE2:AG3"/>
    <mergeCell ref="B88:H88"/>
    <mergeCell ref="R26:U26"/>
    <mergeCell ref="B87:H87"/>
    <mergeCell ref="R25:U25"/>
    <mergeCell ref="B62:H62"/>
    <mergeCell ref="K2:K3"/>
    <mergeCell ref="B63:H63"/>
    <mergeCell ref="B35:F35"/>
  </mergeCells>
  <printOptions horizontalCentered="1"/>
  <pageMargins left="0.5" right="0.5" top="1" bottom="0.5" header="0.3" footer="0.511811023622047"/>
  <pageSetup paperSize="9" scale="29"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50"/>
    <pageSetUpPr fitToPage="1"/>
  </sheetPr>
  <dimension ref="A1:AT105"/>
  <sheetViews>
    <sheetView topLeftCell="J1" zoomScale="106" zoomScaleNormal="55" workbookViewId="0">
      <selection activeCell="B22" sqref="B22:L22"/>
    </sheetView>
  </sheetViews>
  <sheetFormatPr defaultColWidth="12.5" defaultRowHeight="14" x14ac:dyDescent="0.3"/>
  <cols>
    <col min="1" max="1" width="12.5" style="78" customWidth="1"/>
    <col min="2" max="2" width="32" style="29"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3.75" style="14" customWidth="1"/>
    <col min="15" max="17" width="12.5" style="14" customWidth="1"/>
    <col min="18" max="18" width="32.83203125" style="14" customWidth="1"/>
    <col min="19" max="27" width="12.5" style="14" customWidth="1"/>
    <col min="28" max="28" width="13.1640625" style="14" bestFit="1" customWidth="1"/>
    <col min="29" max="29" width="9.83203125" style="14" bestFit="1" customWidth="1"/>
    <col min="30" max="30" width="10.08203125" style="14" bestFit="1" customWidth="1"/>
    <col min="31" max="31" width="9.83203125" style="14" bestFit="1" customWidth="1"/>
    <col min="32" max="32" width="8.83203125" style="14" bestFit="1" customWidth="1"/>
    <col min="33" max="35" width="4.08203125" style="14" customWidth="1"/>
    <col min="36" max="36" width="41.4140625" style="14" customWidth="1"/>
    <col min="37" max="37" width="12.5" style="14" customWidth="1"/>
    <col min="38" max="38" width="16.1640625" style="14" customWidth="1"/>
    <col min="39" max="41" width="12.5" style="14"/>
    <col min="42" max="42" width="24.25" style="14" customWidth="1"/>
    <col min="43" max="16384" width="12.5" style="14"/>
  </cols>
  <sheetData>
    <row r="1" spans="1:46" s="249" customFormat="1" ht="53" customHeight="1" x14ac:dyDescent="0.25">
      <c r="A1" s="247"/>
      <c r="B1" s="299" t="s">
        <v>235</v>
      </c>
      <c r="C1" s="80">
        <v>1000</v>
      </c>
      <c r="D1" s="81" t="s">
        <v>236</v>
      </c>
      <c r="E1" s="116">
        <f>U32</f>
        <v>22960</v>
      </c>
      <c r="F1" s="79" t="s">
        <v>237</v>
      </c>
      <c r="G1" s="116">
        <f>E1/C1</f>
        <v>22.96</v>
      </c>
      <c r="H1" s="79" t="s">
        <v>238</v>
      </c>
      <c r="I1" s="248">
        <f>(G1/K1)</f>
        <v>23.309644670050762</v>
      </c>
      <c r="J1" s="85" t="s">
        <v>239</v>
      </c>
      <c r="K1" s="80">
        <v>0.98499999999999999</v>
      </c>
      <c r="L1" s="91"/>
      <c r="M1" s="88"/>
      <c r="N1" s="89"/>
      <c r="O1" s="90" t="s">
        <v>240</v>
      </c>
      <c r="P1" s="91" t="s">
        <v>241</v>
      </c>
      <c r="Q1" s="92" t="s">
        <v>242</v>
      </c>
      <c r="R1" s="91">
        <v>0.59</v>
      </c>
      <c r="Y1" s="90" t="s">
        <v>463</v>
      </c>
      <c r="Z1" s="835">
        <v>21960</v>
      </c>
      <c r="AA1" s="90" t="s">
        <v>578</v>
      </c>
      <c r="AB1" s="835">
        <v>1000</v>
      </c>
      <c r="AC1" s="90" t="s">
        <v>567</v>
      </c>
      <c r="AD1" s="835">
        <v>147</v>
      </c>
      <c r="AF1" s="251"/>
      <c r="AG1" s="91"/>
      <c r="AJ1" s="93" t="s">
        <v>254</v>
      </c>
      <c r="AK1" s="93">
        <v>10000</v>
      </c>
      <c r="AL1" s="623" t="s">
        <v>503</v>
      </c>
      <c r="AM1" s="624">
        <f>$S$32</f>
        <v>22960</v>
      </c>
      <c r="AN1" s="93" t="s">
        <v>243</v>
      </c>
      <c r="AO1" s="328">
        <f>(($S$32)/$R$1)/$AK$1</f>
        <v>3.8915254237288135</v>
      </c>
      <c r="AP1" s="94"/>
    </row>
    <row r="2" spans="1:46" ht="12.75" customHeight="1" x14ac:dyDescent="0.3">
      <c r="A2" s="96"/>
      <c r="B2" s="1443" t="s">
        <v>29</v>
      </c>
      <c r="C2" s="1466"/>
      <c r="D2" s="1466"/>
      <c r="E2" s="1466"/>
      <c r="F2" s="1466"/>
      <c r="G2" s="1466"/>
      <c r="H2" s="1466"/>
      <c r="I2" s="97"/>
      <c r="J2" s="97"/>
      <c r="K2" s="97"/>
      <c r="L2" s="97"/>
      <c r="P2" s="99"/>
      <c r="Q2" s="99"/>
      <c r="R2" s="99"/>
      <c r="AC2" s="98"/>
      <c r="AD2" s="98"/>
      <c r="AE2" s="1457"/>
      <c r="AF2" s="1460"/>
      <c r="AG2" s="1460"/>
      <c r="AJ2" s="100"/>
      <c r="AK2" s="100"/>
      <c r="AL2" s="1442" t="s">
        <v>315</v>
      </c>
      <c r="AM2" s="1442"/>
      <c r="AN2" s="101"/>
      <c r="AO2" s="100"/>
      <c r="AP2" s="100"/>
    </row>
    <row r="3" spans="1:46" ht="12.75" customHeight="1" x14ac:dyDescent="0.3">
      <c r="A3" s="96"/>
      <c r="B3" s="1444"/>
      <c r="C3" s="1444"/>
      <c r="D3" s="1444"/>
      <c r="E3" s="1444"/>
      <c r="F3" s="1444"/>
      <c r="G3" s="1444"/>
      <c r="H3" s="1444"/>
      <c r="I3" s="102"/>
      <c r="J3" s="102"/>
      <c r="K3" s="102"/>
      <c r="L3" s="102"/>
      <c r="P3" s="99"/>
      <c r="Q3" s="99"/>
      <c r="R3" s="99"/>
      <c r="AC3" s="98"/>
      <c r="AD3" s="98"/>
      <c r="AE3" s="1460"/>
      <c r="AF3" s="1460"/>
      <c r="AG3" s="1460"/>
      <c r="AJ3" s="103"/>
      <c r="AK3" s="103"/>
      <c r="AL3" s="104"/>
      <c r="AM3" s="104"/>
      <c r="AN3" s="104"/>
      <c r="AO3" s="103"/>
      <c r="AP3" s="103"/>
    </row>
    <row r="4" spans="1:46" ht="69" customHeight="1" x14ac:dyDescent="0.25">
      <c r="A4" s="90" t="s">
        <v>1</v>
      </c>
      <c r="B4" s="90" t="s">
        <v>245</v>
      </c>
      <c r="C4" s="106" t="s">
        <v>246</v>
      </c>
      <c r="D4" s="90" t="s">
        <v>235</v>
      </c>
      <c r="E4" s="107" t="s">
        <v>238</v>
      </c>
      <c r="F4" s="107" t="s">
        <v>247</v>
      </c>
      <c r="G4" s="90" t="s">
        <v>248</v>
      </c>
      <c r="H4" s="108" t="s">
        <v>249</v>
      </c>
      <c r="I4" s="90" t="s">
        <v>250</v>
      </c>
      <c r="J4" s="90" t="s">
        <v>251</v>
      </c>
      <c r="K4" s="90" t="s">
        <v>252</v>
      </c>
      <c r="L4" s="90" t="s">
        <v>253</v>
      </c>
      <c r="P4" s="99"/>
      <c r="AA4" s="250"/>
      <c r="AB4" s="252"/>
      <c r="AC4" s="250"/>
      <c r="AD4" s="250"/>
      <c r="AE4" s="250"/>
      <c r="AJ4" s="109" t="s">
        <v>245</v>
      </c>
      <c r="AK4" s="110" t="s">
        <v>246</v>
      </c>
      <c r="AL4" s="109" t="s">
        <v>254</v>
      </c>
      <c r="AM4" s="109" t="s">
        <v>238</v>
      </c>
      <c r="AN4" s="109" t="s">
        <v>247</v>
      </c>
      <c r="AO4" s="109" t="s">
        <v>248</v>
      </c>
      <c r="AP4" s="111" t="s">
        <v>249</v>
      </c>
      <c r="AQ4" s="90" t="s">
        <v>250</v>
      </c>
      <c r="AR4" s="90" t="s">
        <v>251</v>
      </c>
      <c r="AS4" s="90" t="s">
        <v>252</v>
      </c>
      <c r="AT4" s="90" t="s">
        <v>253</v>
      </c>
    </row>
    <row r="5" spans="1:46" ht="14.25" customHeight="1" x14ac:dyDescent="0.25">
      <c r="A5" s="265" t="s">
        <v>225</v>
      </c>
      <c r="B5" s="113" t="s">
        <v>224</v>
      </c>
      <c r="C5" s="123" t="s">
        <v>14</v>
      </c>
      <c r="D5" s="120">
        <f>I51/H51</f>
        <v>1694.9152542372881</v>
      </c>
      <c r="E5" s="84">
        <f>H52</f>
        <v>22.96</v>
      </c>
      <c r="F5" s="126">
        <v>1</v>
      </c>
      <c r="G5" s="120">
        <f>D5*E5</f>
        <v>38915.254237288136</v>
      </c>
      <c r="H5" s="119">
        <f>G5*F5</f>
        <v>38915.254237288136</v>
      </c>
      <c r="I5" s="80">
        <f>VLOOKUP(B5,All_Ingredients!$A$1:$F$149,6,FALSE())</f>
        <v>0.86</v>
      </c>
      <c r="J5" s="118">
        <f>VLOOKUP(B5,All_Ingredients!$A$1:$J$149,10,FALSE())</f>
        <v>17.100000000000001</v>
      </c>
      <c r="K5" s="121">
        <f>(H5/I5)/1000</f>
        <v>45.250295624753647</v>
      </c>
      <c r="L5" s="121">
        <f>K5*J5</f>
        <v>773.78005518328746</v>
      </c>
      <c r="P5" s="99"/>
      <c r="AA5" s="91"/>
      <c r="AB5" s="132"/>
      <c r="AC5" s="253"/>
      <c r="AD5" s="134"/>
      <c r="AE5" s="135"/>
      <c r="AJ5" s="122" t="s">
        <v>224</v>
      </c>
      <c r="AK5" s="123" t="s">
        <v>231</v>
      </c>
      <c r="AL5" s="124">
        <v>10</v>
      </c>
      <c r="AM5" s="196">
        <f>$AO$1</f>
        <v>3.8915254237288135</v>
      </c>
      <c r="AN5" s="126">
        <v>1</v>
      </c>
      <c r="AO5" s="118">
        <f>AL5*AM5</f>
        <v>38.915254237288138</v>
      </c>
      <c r="AP5" s="119">
        <f>AN5*AO5</f>
        <v>38.915254237288138</v>
      </c>
      <c r="AQ5" s="294"/>
      <c r="AR5" s="1152"/>
      <c r="AS5" s="174"/>
      <c r="AT5" s="1153"/>
    </row>
    <row r="6" spans="1:46" ht="14.25" customHeight="1" x14ac:dyDescent="0.3">
      <c r="B6" s="300"/>
      <c r="E6" s="99"/>
      <c r="F6" s="99"/>
      <c r="I6" s="78"/>
      <c r="J6" s="300"/>
      <c r="M6" s="99"/>
      <c r="N6" s="99"/>
      <c r="AJ6" s="122" t="s">
        <v>214</v>
      </c>
      <c r="AK6" s="123" t="s">
        <v>161</v>
      </c>
      <c r="AL6" s="124">
        <v>100</v>
      </c>
      <c r="AM6" s="196">
        <f t="shared" ref="AM6:AM20" si="0">$AO$1</f>
        <v>3.8915254237288135</v>
      </c>
      <c r="AN6" s="126">
        <v>1</v>
      </c>
      <c r="AO6" s="118">
        <f t="shared" ref="AO6:AO19" si="1">AL6*AM6</f>
        <v>389.15254237288133</v>
      </c>
      <c r="AP6" s="119">
        <f t="shared" ref="AP6:AP20" si="2">AN6*AO6</f>
        <v>389.15254237288133</v>
      </c>
      <c r="AQ6" s="1153">
        <f>VLOOKUP(AJ6,Marination_Ordering!$A:$J,6,FALSE)</f>
        <v>1</v>
      </c>
      <c r="AR6" s="1153">
        <f>VLOOKUP(AJ6,Marination_Ordering!$A:$J,10,FALSE)</f>
        <v>5</v>
      </c>
      <c r="AS6" s="174">
        <f>AP6/AQ6</f>
        <v>389.15254237288133</v>
      </c>
      <c r="AT6" s="1153">
        <f>AR6*(AS6/1000)</f>
        <v>1.9457627118644067</v>
      </c>
    </row>
    <row r="7" spans="1:46" ht="14.25" customHeight="1" x14ac:dyDescent="0.3">
      <c r="B7" s="300"/>
      <c r="E7" s="99"/>
      <c r="F7" s="78"/>
      <c r="G7" s="300"/>
      <c r="I7" s="78"/>
      <c r="J7" s="300"/>
      <c r="M7" s="99"/>
      <c r="N7" s="99"/>
      <c r="AJ7" s="122" t="s">
        <v>791</v>
      </c>
      <c r="AK7" s="123" t="s">
        <v>14</v>
      </c>
      <c r="AL7" s="124">
        <v>10</v>
      </c>
      <c r="AM7" s="196">
        <f t="shared" si="0"/>
        <v>3.8915254237288135</v>
      </c>
      <c r="AN7" s="126">
        <v>1</v>
      </c>
      <c r="AO7" s="118">
        <f t="shared" si="1"/>
        <v>38.915254237288138</v>
      </c>
      <c r="AP7" s="119">
        <f t="shared" si="2"/>
        <v>38.915254237288138</v>
      </c>
      <c r="AQ7" s="1153">
        <f>VLOOKUP(AJ7,Marination_Ordering!$A:$J,6,FALSE)</f>
        <v>0.74</v>
      </c>
      <c r="AR7" s="1153">
        <f>VLOOKUP(AJ7,Marination_Ordering!$A:$J,10,FALSE)</f>
        <v>100</v>
      </c>
      <c r="AS7" s="174">
        <f t="shared" ref="AS7:AS8" si="3">AP7/AQ7</f>
        <v>52.588181401740727</v>
      </c>
      <c r="AT7" s="1153">
        <f t="shared" ref="AT7:AT8" si="4">AR7*(AS7/1000)</f>
        <v>5.258818140174073</v>
      </c>
    </row>
    <row r="8" spans="1:46" ht="14.25" customHeight="1" x14ac:dyDescent="0.3">
      <c r="B8" s="300"/>
      <c r="E8" s="99"/>
      <c r="F8" s="78"/>
      <c r="G8" s="300"/>
      <c r="I8" s="78"/>
      <c r="J8" s="300"/>
      <c r="M8" s="99"/>
      <c r="N8" s="99"/>
      <c r="AJ8" s="122" t="s">
        <v>764</v>
      </c>
      <c r="AK8" s="123" t="s">
        <v>14</v>
      </c>
      <c r="AL8" s="124">
        <v>10</v>
      </c>
      <c r="AM8" s="196">
        <f t="shared" si="0"/>
        <v>3.8915254237288135</v>
      </c>
      <c r="AN8" s="126">
        <v>1</v>
      </c>
      <c r="AO8" s="118">
        <f t="shared" si="1"/>
        <v>38.915254237288138</v>
      </c>
      <c r="AP8" s="119">
        <f t="shared" si="2"/>
        <v>38.915254237288138</v>
      </c>
      <c r="AQ8" s="1153">
        <f>VLOOKUP(AJ8,Marination_Ordering!$A:$J,6,FALSE)</f>
        <v>0.5</v>
      </c>
      <c r="AR8" s="1153">
        <f>VLOOKUP(AJ8,Marination_Ordering!$A:$J,10,FALSE)</f>
        <v>90</v>
      </c>
      <c r="AS8" s="174">
        <f t="shared" si="3"/>
        <v>77.830508474576277</v>
      </c>
      <c r="AT8" s="1153">
        <f t="shared" si="4"/>
        <v>7.004745762711865</v>
      </c>
    </row>
    <row r="9" spans="1:46" ht="14.25" customHeight="1" x14ac:dyDescent="0.3">
      <c r="B9" s="300"/>
      <c r="E9" s="99"/>
      <c r="F9" s="78"/>
      <c r="G9" s="29"/>
      <c r="I9" s="78"/>
      <c r="J9" s="29"/>
      <c r="AJ9" s="122" t="s">
        <v>792</v>
      </c>
      <c r="AK9" s="123" t="s">
        <v>14</v>
      </c>
      <c r="AL9" s="124">
        <v>5</v>
      </c>
      <c r="AM9" s="196">
        <f t="shared" si="0"/>
        <v>3.8915254237288135</v>
      </c>
      <c r="AN9" s="126">
        <v>1</v>
      </c>
      <c r="AO9" s="118">
        <f t="shared" si="1"/>
        <v>19.457627118644069</v>
      </c>
      <c r="AP9" s="119">
        <f t="shared" si="2"/>
        <v>19.457627118644069</v>
      </c>
      <c r="AQ9" s="1153">
        <f>VLOOKUP(AJ9,Marination_Ordering!$A:$J,6,FALSE)</f>
        <v>0.7</v>
      </c>
      <c r="AR9" s="1153">
        <f>VLOOKUP(AJ9,Marination_Ordering!$A:$J,10,FALSE)</f>
        <v>90</v>
      </c>
      <c r="AS9" s="174">
        <f t="shared" ref="AS9:AS20" si="5">AP9/AQ9</f>
        <v>27.79661016949153</v>
      </c>
      <c r="AT9" s="1153">
        <f t="shared" ref="AT9:AT20" si="6">AR9*(AS9/1000)</f>
        <v>2.5016949152542374</v>
      </c>
    </row>
    <row r="10" spans="1:46" ht="14.25" customHeight="1" x14ac:dyDescent="0.3">
      <c r="I10" s="78"/>
      <c r="J10" s="29"/>
      <c r="AJ10" s="122" t="s">
        <v>111</v>
      </c>
      <c r="AK10" s="123" t="s">
        <v>14</v>
      </c>
      <c r="AL10" s="124">
        <v>10</v>
      </c>
      <c r="AM10" s="196">
        <f t="shared" si="0"/>
        <v>3.8915254237288135</v>
      </c>
      <c r="AN10" s="126">
        <v>1</v>
      </c>
      <c r="AO10" s="118">
        <f t="shared" si="1"/>
        <v>38.915254237288138</v>
      </c>
      <c r="AP10" s="119">
        <f t="shared" si="2"/>
        <v>38.915254237288138</v>
      </c>
      <c r="AQ10" s="1153">
        <f>VLOOKUP(AJ10,Marination_Ordering!$A:$J,6,FALSE)</f>
        <v>1</v>
      </c>
      <c r="AR10" s="1153">
        <f>VLOOKUP(AJ10,Marination_Ordering!$A:$J,10,FALSE)</f>
        <v>64.243759177679877</v>
      </c>
      <c r="AS10" s="174">
        <f t="shared" si="5"/>
        <v>38.915254237288138</v>
      </c>
      <c r="AT10" s="1153">
        <f t="shared" si="6"/>
        <v>2.5000622215585255</v>
      </c>
    </row>
    <row r="11" spans="1:46" x14ac:dyDescent="0.3">
      <c r="I11" s="78"/>
      <c r="J11" s="29"/>
      <c r="AJ11" s="122" t="s">
        <v>108</v>
      </c>
      <c r="AK11" s="123" t="s">
        <v>14</v>
      </c>
      <c r="AL11" s="124">
        <v>20</v>
      </c>
      <c r="AM11" s="196">
        <f t="shared" si="0"/>
        <v>3.8915254237288135</v>
      </c>
      <c r="AN11" s="126">
        <v>1</v>
      </c>
      <c r="AO11" s="118">
        <f t="shared" si="1"/>
        <v>77.830508474576277</v>
      </c>
      <c r="AP11" s="119">
        <f t="shared" si="2"/>
        <v>77.830508474576277</v>
      </c>
      <c r="AQ11" s="1153">
        <f>VLOOKUP(AJ11,Marination_Ordering!$A:$J,6,FALSE)</f>
        <v>1</v>
      </c>
      <c r="AR11" s="1153">
        <f>VLOOKUP(AJ11,Marination_Ordering!$A:$J,10,FALSE)</f>
        <v>8</v>
      </c>
      <c r="AS11" s="174">
        <f t="shared" si="5"/>
        <v>77.830508474576277</v>
      </c>
      <c r="AT11" s="1153">
        <f t="shared" si="6"/>
        <v>0.62264406779661019</v>
      </c>
    </row>
    <row r="12" spans="1:46" ht="14.25" customHeight="1" x14ac:dyDescent="0.3">
      <c r="I12" s="78"/>
      <c r="J12" s="29"/>
      <c r="AJ12" s="122" t="s">
        <v>106</v>
      </c>
      <c r="AK12" s="123" t="s">
        <v>14</v>
      </c>
      <c r="AL12" s="124">
        <v>15</v>
      </c>
      <c r="AM12" s="196">
        <f t="shared" si="0"/>
        <v>3.8915254237288135</v>
      </c>
      <c r="AN12" s="126">
        <v>1</v>
      </c>
      <c r="AO12" s="118">
        <f t="shared" si="1"/>
        <v>58.372881355932201</v>
      </c>
      <c r="AP12" s="119">
        <f t="shared" si="2"/>
        <v>58.372881355932201</v>
      </c>
      <c r="AQ12" s="1153">
        <f>VLOOKUP(AJ12,Marination_Ordering!$A:$J,6,FALSE)</f>
        <v>1</v>
      </c>
      <c r="AR12" s="1153">
        <f>VLOOKUP(AJ12,Marination_Ordering!$A:$J,10,FALSE)</f>
        <v>15</v>
      </c>
      <c r="AS12" s="174">
        <f t="shared" si="5"/>
        <v>58.372881355932201</v>
      </c>
      <c r="AT12" s="1153">
        <f t="shared" si="6"/>
        <v>0.87559322033898301</v>
      </c>
    </row>
    <row r="13" spans="1:46" ht="14.25" customHeight="1" x14ac:dyDescent="0.3">
      <c r="AJ13" s="122" t="s">
        <v>94</v>
      </c>
      <c r="AK13" s="123" t="s">
        <v>14</v>
      </c>
      <c r="AL13" s="124">
        <v>11</v>
      </c>
      <c r="AM13" s="196">
        <f t="shared" si="0"/>
        <v>3.8915254237288135</v>
      </c>
      <c r="AN13" s="126">
        <v>1</v>
      </c>
      <c r="AO13" s="118">
        <f t="shared" si="1"/>
        <v>42.806779661016947</v>
      </c>
      <c r="AP13" s="119">
        <f t="shared" si="2"/>
        <v>42.806779661016947</v>
      </c>
      <c r="AQ13" s="1153">
        <f>VLOOKUP(AJ13,Marination_Ordering!$A:$J,6,FALSE)</f>
        <v>1</v>
      </c>
      <c r="AR13" s="1153">
        <f>VLOOKUP(AJ13,Marination_Ordering!$A:$J,10,FALSE)</f>
        <v>0.74</v>
      </c>
      <c r="AS13" s="174">
        <f t="shared" si="5"/>
        <v>42.806779661016947</v>
      </c>
      <c r="AT13" s="1153">
        <f t="shared" si="6"/>
        <v>3.1677016949152537E-2</v>
      </c>
    </row>
    <row r="14" spans="1:46" ht="14.25" customHeight="1" x14ac:dyDescent="0.3">
      <c r="B14" s="300"/>
      <c r="E14" s="99"/>
      <c r="F14" s="78"/>
      <c r="G14" s="300"/>
      <c r="J14" s="99"/>
      <c r="K14" s="99"/>
      <c r="AJ14" s="122" t="s">
        <v>100</v>
      </c>
      <c r="AK14" s="123" t="s">
        <v>14</v>
      </c>
      <c r="AL14" s="124">
        <v>5</v>
      </c>
      <c r="AM14" s="196">
        <f t="shared" si="0"/>
        <v>3.8915254237288135</v>
      </c>
      <c r="AN14" s="126">
        <v>1</v>
      </c>
      <c r="AO14" s="118">
        <f t="shared" si="1"/>
        <v>19.457627118644069</v>
      </c>
      <c r="AP14" s="119">
        <f t="shared" si="2"/>
        <v>19.457627118644069</v>
      </c>
      <c r="AQ14" s="1153">
        <f>VLOOKUP(AJ14,Marination_Ordering!$A:$J,6,FALSE)</f>
        <v>1</v>
      </c>
      <c r="AR14" s="1153">
        <f>VLOOKUP(AJ14,Marination_Ordering!$A:$J,10,FALSE)</f>
        <v>31</v>
      </c>
      <c r="AS14" s="174">
        <f t="shared" si="5"/>
        <v>19.457627118644069</v>
      </c>
      <c r="AT14" s="1153">
        <f t="shared" si="6"/>
        <v>0.60318644067796612</v>
      </c>
    </row>
    <row r="15" spans="1:46" ht="14.25" customHeight="1" x14ac:dyDescent="0.3">
      <c r="B15" s="300"/>
      <c r="E15" s="99"/>
      <c r="F15" s="78"/>
      <c r="G15" s="300"/>
      <c r="J15" s="99"/>
      <c r="K15" s="99"/>
      <c r="AJ15" s="122" t="s">
        <v>65</v>
      </c>
      <c r="AK15" s="123" t="s">
        <v>14</v>
      </c>
      <c r="AL15" s="124">
        <v>25</v>
      </c>
      <c r="AM15" s="196">
        <f t="shared" si="0"/>
        <v>3.8915254237288135</v>
      </c>
      <c r="AN15" s="126">
        <v>1</v>
      </c>
      <c r="AO15" s="118">
        <f t="shared" si="1"/>
        <v>97.288135593220332</v>
      </c>
      <c r="AP15" s="119">
        <f t="shared" si="2"/>
        <v>97.288135593220332</v>
      </c>
      <c r="AQ15" s="1153">
        <f>VLOOKUP(AJ15,Marination_Ordering!$A:$J,6,FALSE)</f>
        <v>0.65</v>
      </c>
      <c r="AR15" s="1153">
        <f>VLOOKUP(AJ15,Marination_Ordering!$A:$J,10,FALSE)</f>
        <v>3.5</v>
      </c>
      <c r="AS15" s="174">
        <f t="shared" si="5"/>
        <v>149.67405475880051</v>
      </c>
      <c r="AT15" s="1153">
        <f t="shared" si="6"/>
        <v>0.52385919165580175</v>
      </c>
    </row>
    <row r="16" spans="1:46" ht="14.25" customHeight="1" x14ac:dyDescent="0.3">
      <c r="B16" s="300"/>
      <c r="E16" s="99"/>
      <c r="F16" s="78"/>
      <c r="G16" s="300"/>
      <c r="J16" s="99"/>
      <c r="K16" s="99"/>
      <c r="AJ16" s="122" t="s">
        <v>80</v>
      </c>
      <c r="AK16" s="123" t="s">
        <v>14</v>
      </c>
      <c r="AL16" s="124">
        <v>15</v>
      </c>
      <c r="AM16" s="196">
        <f t="shared" si="0"/>
        <v>3.8915254237288135</v>
      </c>
      <c r="AN16" s="126">
        <v>1</v>
      </c>
      <c r="AO16" s="118">
        <f t="shared" si="1"/>
        <v>58.372881355932201</v>
      </c>
      <c r="AP16" s="119">
        <f t="shared" si="2"/>
        <v>58.372881355932201</v>
      </c>
      <c r="AQ16" s="1153">
        <f>VLOOKUP(AJ16,Marination_Ordering!$A:$J,6,FALSE)</f>
        <v>1</v>
      </c>
      <c r="AR16" s="1153">
        <f>VLOOKUP(AJ16,Marination_Ordering!$A:$J,10,FALSE)</f>
        <v>7</v>
      </c>
      <c r="AS16" s="174">
        <f t="shared" si="5"/>
        <v>58.372881355932201</v>
      </c>
      <c r="AT16" s="1153">
        <f t="shared" si="6"/>
        <v>0.4086101694915254</v>
      </c>
    </row>
    <row r="17" spans="2:46" ht="14.25" customHeight="1" x14ac:dyDescent="0.3">
      <c r="B17" s="300"/>
      <c r="E17" s="99"/>
      <c r="F17" s="78"/>
      <c r="G17" s="29"/>
      <c r="AJ17" s="122" t="s">
        <v>185</v>
      </c>
      <c r="AK17" s="123" t="s">
        <v>14</v>
      </c>
      <c r="AL17" s="124">
        <v>50</v>
      </c>
      <c r="AM17" s="196">
        <f t="shared" si="0"/>
        <v>3.8915254237288135</v>
      </c>
      <c r="AN17" s="126">
        <v>1</v>
      </c>
      <c r="AO17" s="118">
        <f t="shared" si="1"/>
        <v>194.57627118644066</v>
      </c>
      <c r="AP17" s="119">
        <f t="shared" si="2"/>
        <v>194.57627118644066</v>
      </c>
      <c r="AQ17" s="1153">
        <f>VLOOKUP(AJ17,Marination_Ordering!$A:$J,6,FALSE)</f>
        <v>1</v>
      </c>
      <c r="AR17" s="1153">
        <f>VLOOKUP(AJ17,Marination_Ordering!$A:$J,10,FALSE)</f>
        <v>17</v>
      </c>
      <c r="AS17" s="174">
        <f t="shared" si="5"/>
        <v>194.57627118644066</v>
      </c>
      <c r="AT17" s="1153">
        <f t="shared" si="6"/>
        <v>3.3077966101694911</v>
      </c>
    </row>
    <row r="18" spans="2:46" ht="14.25" customHeight="1" x14ac:dyDescent="0.3">
      <c r="F18" s="78"/>
      <c r="G18" s="29"/>
      <c r="AJ18" s="122" t="s">
        <v>204</v>
      </c>
      <c r="AK18" s="123" t="s">
        <v>14</v>
      </c>
      <c r="AL18" s="124">
        <v>20</v>
      </c>
      <c r="AM18" s="196">
        <f t="shared" si="0"/>
        <v>3.8915254237288135</v>
      </c>
      <c r="AN18" s="126">
        <v>1</v>
      </c>
      <c r="AO18" s="118">
        <f t="shared" si="1"/>
        <v>77.830508474576277</v>
      </c>
      <c r="AP18" s="119">
        <f t="shared" si="2"/>
        <v>77.830508474576277</v>
      </c>
      <c r="AQ18" s="1153">
        <f>VLOOKUP(AJ18,Marination_Ordering!$A:$J,6,FALSE)</f>
        <v>1</v>
      </c>
      <c r="AR18" s="1153">
        <f>VLOOKUP(AJ18,Marination_Ordering!$A:$J,10,FALSE)</f>
        <v>11.243386243386244</v>
      </c>
      <c r="AS18" s="174">
        <f t="shared" si="5"/>
        <v>77.830508474576277</v>
      </c>
      <c r="AT18" s="1153">
        <f t="shared" si="6"/>
        <v>0.87507846829880731</v>
      </c>
    </row>
    <row r="19" spans="2:46" ht="14.25" customHeight="1" x14ac:dyDescent="0.3">
      <c r="F19" s="78"/>
      <c r="G19" s="29"/>
      <c r="AJ19" s="122" t="s">
        <v>765</v>
      </c>
      <c r="AK19" s="123" t="s">
        <v>14</v>
      </c>
      <c r="AL19" s="124">
        <v>5</v>
      </c>
      <c r="AM19" s="196">
        <f t="shared" si="0"/>
        <v>3.8915254237288135</v>
      </c>
      <c r="AN19" s="126">
        <v>1</v>
      </c>
      <c r="AO19" s="118">
        <f t="shared" si="1"/>
        <v>19.457627118644069</v>
      </c>
      <c r="AP19" s="119">
        <f t="shared" si="2"/>
        <v>19.457627118644069</v>
      </c>
      <c r="AQ19" s="1153">
        <f>VLOOKUP(AJ19,Marination_Ordering!$A:$J,6,FALSE)</f>
        <v>0.52</v>
      </c>
      <c r="AR19" s="1153">
        <f>VLOOKUP(AJ19,Marination_Ordering!$A:$J,10,FALSE)</f>
        <v>100</v>
      </c>
      <c r="AS19" s="174">
        <f t="shared" si="5"/>
        <v>37.418513689700134</v>
      </c>
      <c r="AT19" s="1153">
        <f t="shared" si="6"/>
        <v>3.7418513689700132</v>
      </c>
    </row>
    <row r="20" spans="2:46" ht="14.25" customHeight="1" x14ac:dyDescent="0.3">
      <c r="F20" s="78"/>
      <c r="G20" s="29"/>
      <c r="AJ20" s="122" t="s">
        <v>216</v>
      </c>
      <c r="AK20" s="123" t="s">
        <v>14</v>
      </c>
      <c r="AL20" s="124">
        <v>1</v>
      </c>
      <c r="AM20" s="196">
        <f t="shared" si="0"/>
        <v>3.8915254237288135</v>
      </c>
      <c r="AN20" s="126">
        <v>1</v>
      </c>
      <c r="AO20" s="118">
        <f>AL20*AM20</f>
        <v>3.8915254237288135</v>
      </c>
      <c r="AP20" s="119">
        <f t="shared" si="2"/>
        <v>3.8915254237288135</v>
      </c>
      <c r="AQ20" s="1153">
        <f>VLOOKUP(AJ20,Marination_Ordering!$A:$J,6,FALSE)</f>
        <v>1</v>
      </c>
      <c r="AR20" s="1153">
        <f>VLOOKUP(AJ20,Marination_Ordering!$A:$J,10,FALSE)</f>
        <v>35</v>
      </c>
      <c r="AS20" s="174">
        <f t="shared" si="5"/>
        <v>3.8915254237288135</v>
      </c>
      <c r="AT20" s="1153">
        <f t="shared" si="6"/>
        <v>0.13620338983050848</v>
      </c>
    </row>
    <row r="21" spans="2:46" ht="14.25" customHeight="1" x14ac:dyDescent="0.3">
      <c r="L21" s="296"/>
    </row>
    <row r="22" spans="2:46" ht="14.25" customHeight="1" x14ac:dyDescent="0.3">
      <c r="L22" s="296"/>
      <c r="S22" s="302"/>
    </row>
    <row r="23" spans="2:46" ht="14.25" customHeight="1" x14ac:dyDescent="0.3">
      <c r="L23" s="296"/>
    </row>
    <row r="24" spans="2:46" ht="14.25" customHeight="1" x14ac:dyDescent="0.3">
      <c r="L24" s="296"/>
      <c r="Z24" s="1208"/>
    </row>
    <row r="25" spans="2:46" ht="14.25" customHeight="1" x14ac:dyDescent="0.35">
      <c r="L25" s="296"/>
      <c r="R25" s="1440" t="s">
        <v>315</v>
      </c>
      <c r="S25" s="1444"/>
      <c r="T25" s="1444"/>
      <c r="U25" s="1444"/>
      <c r="V25" s="1132"/>
      <c r="Z25" s="140" t="s">
        <v>256</v>
      </c>
      <c r="AA25" s="141">
        <v>1</v>
      </c>
      <c r="AB25" s="140" t="s">
        <v>253</v>
      </c>
      <c r="AC25" s="142">
        <f>(AA25*AF30)+(AA30*(AB28/R1))</f>
        <v>3.5207230988432668E-2</v>
      </c>
    </row>
    <row r="26" spans="2:46" ht="15.75" customHeight="1" x14ac:dyDescent="0.35">
      <c r="R26" s="1464" t="s">
        <v>295</v>
      </c>
      <c r="S26" s="1446"/>
      <c r="T26" s="1446"/>
      <c r="U26" s="1446"/>
      <c r="V26" s="1132"/>
    </row>
    <row r="27" spans="2:46" ht="14.25" customHeight="1" thickBot="1" x14ac:dyDescent="0.35">
      <c r="R27" s="144" t="s">
        <v>258</v>
      </c>
      <c r="S27" s="145" t="s">
        <v>259</v>
      </c>
      <c r="T27" s="145" t="s">
        <v>316</v>
      </c>
      <c r="U27" s="145" t="s">
        <v>261</v>
      </c>
      <c r="V27" s="145" t="s">
        <v>808</v>
      </c>
      <c r="W27" s="145" t="s">
        <v>817</v>
      </c>
      <c r="Z27" s="140" t="s">
        <v>262</v>
      </c>
      <c r="AA27" s="1166" t="s">
        <v>316</v>
      </c>
      <c r="AB27" s="146" t="s">
        <v>263</v>
      </c>
      <c r="AC27" s="146" t="s">
        <v>264</v>
      </c>
      <c r="AD27" s="146" t="s">
        <v>265</v>
      </c>
      <c r="AE27" s="1167" t="s">
        <v>817</v>
      </c>
      <c r="AF27" s="146" t="s">
        <v>266</v>
      </c>
    </row>
    <row r="28" spans="2:46" ht="14.25" customHeight="1" thickBot="1" x14ac:dyDescent="0.35">
      <c r="B28" s="300"/>
      <c r="E28" s="99"/>
      <c r="F28" s="99"/>
      <c r="R28" s="147" t="s">
        <v>267</v>
      </c>
      <c r="S28" s="1342">
        <f>$Z$1</f>
        <v>21960</v>
      </c>
      <c r="T28" s="1371"/>
      <c r="U28" s="1330">
        <f>S28</f>
        <v>21960</v>
      </c>
      <c r="V28" s="148">
        <f>SUM(AP5:AP13)</f>
        <v>743.28135593220327</v>
      </c>
      <c r="W28" s="148">
        <f>SUM(H37:H38)</f>
        <v>451.29</v>
      </c>
      <c r="Z28" s="150"/>
      <c r="AA28" s="1169"/>
      <c r="AB28" s="1181">
        <f>AA25*$S$40</f>
        <v>1</v>
      </c>
      <c r="AC28" s="151"/>
      <c r="AD28" s="152"/>
      <c r="AE28" s="1169"/>
      <c r="AF28" s="153">
        <f>SUM(AB28:AD28)</f>
        <v>1</v>
      </c>
    </row>
    <row r="29" spans="2:46" s="14" customFormat="1" ht="14.25" customHeight="1" thickBot="1" x14ac:dyDescent="0.35">
      <c r="R29" s="147" t="s">
        <v>268</v>
      </c>
      <c r="S29" s="1374"/>
      <c r="T29" s="148"/>
      <c r="U29" s="1371">
        <f>T29</f>
        <v>0</v>
      </c>
      <c r="V29" s="148"/>
      <c r="W29" s="148"/>
      <c r="Z29" s="150"/>
      <c r="AA29" s="1173"/>
      <c r="AB29" s="155">
        <f>AB28/$AF$28</f>
        <v>1</v>
      </c>
      <c r="AC29" s="155">
        <v>0</v>
      </c>
      <c r="AD29" s="155">
        <v>0</v>
      </c>
      <c r="AE29" s="1173"/>
      <c r="AF29" s="155">
        <f>AF28/$AF$28</f>
        <v>1</v>
      </c>
    </row>
    <row r="30" spans="2:46" ht="21.75" customHeight="1" thickBot="1" x14ac:dyDescent="0.35">
      <c r="B30" s="300"/>
      <c r="E30" s="99"/>
      <c r="F30" s="99"/>
      <c r="R30" s="147" t="s">
        <v>269</v>
      </c>
      <c r="S30" s="1374">
        <f>$AB$1</f>
        <v>1000</v>
      </c>
      <c r="T30" s="1371"/>
      <c r="U30" s="1374">
        <f>S30</f>
        <v>1000</v>
      </c>
      <c r="V30" s="1124"/>
      <c r="W30" s="1124"/>
      <c r="Z30" s="140" t="s">
        <v>270</v>
      </c>
      <c r="AA30" s="1177">
        <f>V35/(S32/R1)</f>
        <v>7.7958076570068644E-4</v>
      </c>
      <c r="AB30" s="156">
        <f>S35/(S32)</f>
        <v>3.3701221915648408E-2</v>
      </c>
      <c r="AC30" s="157"/>
      <c r="AD30" s="157"/>
      <c r="AE30" s="1180">
        <f>W35/U32</f>
        <v>1.8468574108818011E-4</v>
      </c>
      <c r="AF30" s="1182">
        <f>SUMPRODUCT(AB30:AD30,AB29:AD29)+AE30</f>
        <v>3.3885907656736589E-2</v>
      </c>
    </row>
    <row r="31" spans="2:46" ht="26.25" customHeight="1" thickBot="1" x14ac:dyDescent="0.35">
      <c r="B31" s="300"/>
      <c r="E31" s="99"/>
      <c r="F31" s="99"/>
      <c r="R31" s="147" t="s">
        <v>271</v>
      </c>
      <c r="S31" s="154"/>
      <c r="T31" s="148"/>
      <c r="U31" s="148">
        <f>T31</f>
        <v>0</v>
      </c>
      <c r="V31" s="148"/>
      <c r="W31" s="148"/>
    </row>
    <row r="32" spans="2:46" ht="14.25" customHeight="1" thickBot="1" x14ac:dyDescent="0.35">
      <c r="B32" s="300"/>
      <c r="E32" s="99"/>
      <c r="F32" s="99"/>
      <c r="R32" s="159" t="s">
        <v>261</v>
      </c>
      <c r="S32" s="148">
        <f>S28+S30</f>
        <v>22960</v>
      </c>
      <c r="T32" s="148"/>
      <c r="U32" s="148">
        <f>S32</f>
        <v>22960</v>
      </c>
      <c r="V32" s="148"/>
      <c r="W32" s="148">
        <f>SUM(W28:W30)</f>
        <v>451.29</v>
      </c>
    </row>
    <row r="33" spans="2:23" ht="14.25" customHeight="1" thickBot="1" x14ac:dyDescent="0.35">
      <c r="R33" s="160" t="s">
        <v>272</v>
      </c>
      <c r="S33" s="154"/>
      <c r="T33" s="154"/>
      <c r="U33" s="154"/>
      <c r="V33" s="154"/>
      <c r="W33" s="154"/>
    </row>
    <row r="34" spans="2:23" ht="14.25" customHeight="1" thickBot="1" x14ac:dyDescent="0.35">
      <c r="R34" s="161" t="s">
        <v>273</v>
      </c>
      <c r="S34" s="154"/>
      <c r="T34" s="148"/>
      <c r="U34" s="154"/>
      <c r="V34" s="154"/>
      <c r="W34" s="154"/>
    </row>
    <row r="35" spans="2:23" ht="14.25" customHeight="1" thickBot="1" x14ac:dyDescent="0.35">
      <c r="B35" s="1441" t="s">
        <v>651</v>
      </c>
      <c r="C35" s="1441"/>
      <c r="D35" s="1441"/>
      <c r="E35" s="1441"/>
      <c r="F35" s="1441"/>
      <c r="G35" s="877"/>
      <c r="H35" s="877"/>
      <c r="I35" s="877"/>
      <c r="J35" s="877"/>
      <c r="K35" s="877"/>
      <c r="L35" s="877"/>
      <c r="R35" s="162" t="s">
        <v>253</v>
      </c>
      <c r="S35" s="1125">
        <f>$L$5</f>
        <v>773.78005518328746</v>
      </c>
      <c r="T35" s="1125"/>
      <c r="U35" s="1125">
        <f>S35+T35+V35+W35</f>
        <v>808.35802349441406</v>
      </c>
      <c r="V35" s="1125">
        <f>SUM(AT6:AT20)</f>
        <v>30.337583695741969</v>
      </c>
      <c r="W35" s="1184">
        <f>SUM(L37:L38)</f>
        <v>4.240384615384615</v>
      </c>
    </row>
    <row r="36" spans="2:23" ht="61.25" customHeight="1" x14ac:dyDescent="0.3">
      <c r="B36" s="848" t="s">
        <v>245</v>
      </c>
      <c r="C36" s="848" t="s">
        <v>321</v>
      </c>
      <c r="D36" s="850" t="s">
        <v>645</v>
      </c>
      <c r="E36" s="847" t="s">
        <v>646</v>
      </c>
      <c r="F36" s="850" t="s">
        <v>647</v>
      </c>
      <c r="G36" s="870"/>
      <c r="H36" s="850" t="s">
        <v>647</v>
      </c>
      <c r="I36" s="850" t="s">
        <v>250</v>
      </c>
      <c r="J36" s="850" t="s">
        <v>251</v>
      </c>
      <c r="K36" s="850" t="s">
        <v>252</v>
      </c>
      <c r="L36" s="850" t="s">
        <v>253</v>
      </c>
    </row>
    <row r="37" spans="2:23" x14ac:dyDescent="0.3">
      <c r="B37" s="843" t="s">
        <v>716</v>
      </c>
      <c r="C37" s="844" t="s">
        <v>14</v>
      </c>
      <c r="D37" s="845">
        <v>7.0000000000000007E-2</v>
      </c>
      <c r="E37" s="843">
        <f>$AD$1</f>
        <v>147</v>
      </c>
      <c r="F37" s="843">
        <f>D37*E37</f>
        <v>10.290000000000001</v>
      </c>
      <c r="G37"/>
      <c r="H37" s="843">
        <f>F37</f>
        <v>10.290000000000001</v>
      </c>
      <c r="I37" s="843">
        <f>VLOOKUP(B37,All_Ingredients!$A$1:$F$149,6,FALSE())</f>
        <v>0.65</v>
      </c>
      <c r="J37" s="843">
        <f>VLOOKUP(B37,All_Ingredients!$A$1:$J$149,10,FALSE())</f>
        <v>45</v>
      </c>
      <c r="K37" s="843">
        <f>(H37/I37)/1000</f>
        <v>1.5830769230769232E-2</v>
      </c>
      <c r="L37" s="843">
        <f t="shared" ref="L37" si="7">K37*J37</f>
        <v>0.71238461538461539</v>
      </c>
    </row>
    <row r="38" spans="2:23" x14ac:dyDescent="0.3">
      <c r="B38" s="843" t="s">
        <v>729</v>
      </c>
      <c r="C38" s="844" t="s">
        <v>14</v>
      </c>
      <c r="D38" s="845">
        <v>3</v>
      </c>
      <c r="E38" s="843">
        <f>$AD$1</f>
        <v>147</v>
      </c>
      <c r="F38" s="843">
        <f>D38*E38</f>
        <v>441</v>
      </c>
      <c r="G38" s="29"/>
      <c r="H38" s="843">
        <f>F38</f>
        <v>441</v>
      </c>
      <c r="I38" s="843">
        <f>VLOOKUP(B38,All_Ingredients!$A$1:$F$149,6,FALSE())</f>
        <v>1</v>
      </c>
      <c r="J38" s="843">
        <f>VLOOKUP(B38,All_Ingredients!$A$1:$J$149,10,FALSE())</f>
        <v>8</v>
      </c>
      <c r="K38" s="843">
        <f>(H38/I38)/1000</f>
        <v>0.441</v>
      </c>
      <c r="L38" s="843">
        <f t="shared" ref="L38" si="8">K38*J38</f>
        <v>3.528</v>
      </c>
    </row>
    <row r="40" spans="2:23" ht="19.25" customHeight="1" x14ac:dyDescent="0.3">
      <c r="R40" s="164" t="s">
        <v>274</v>
      </c>
      <c r="S40" s="238">
        <v>1</v>
      </c>
      <c r="T40" s="164" t="s">
        <v>275</v>
      </c>
      <c r="U40" s="238">
        <v>0</v>
      </c>
      <c r="V40" s="167">
        <f>S40+U40</f>
        <v>1</v>
      </c>
    </row>
    <row r="41" spans="2:23" ht="14.25" customHeight="1" x14ac:dyDescent="0.3">
      <c r="U41" s="168"/>
    </row>
    <row r="42" spans="2:23" ht="14.25" customHeight="1" x14ac:dyDescent="0.3"/>
    <row r="43" spans="2:23" ht="14.25" customHeight="1" x14ac:dyDescent="0.3">
      <c r="Q43" s="169" t="s">
        <v>276</v>
      </c>
      <c r="R43" s="169" t="s">
        <v>277</v>
      </c>
      <c r="S43" s="169" t="s">
        <v>278</v>
      </c>
      <c r="T43" s="169" t="s">
        <v>279</v>
      </c>
      <c r="U43" s="169" t="s">
        <v>280</v>
      </c>
      <c r="V43" s="169" t="s">
        <v>281</v>
      </c>
      <c r="W43" s="257" t="s">
        <v>282</v>
      </c>
    </row>
    <row r="44" spans="2:23" ht="14.25" customHeight="1" x14ac:dyDescent="0.3">
      <c r="Q44" s="171">
        <v>10000</v>
      </c>
      <c r="R44" s="172">
        <f>D51</f>
        <v>10000</v>
      </c>
      <c r="S44" s="173">
        <v>0</v>
      </c>
      <c r="T44" s="173">
        <v>0</v>
      </c>
      <c r="U44" s="241">
        <f>R44*S44</f>
        <v>0</v>
      </c>
      <c r="V44" s="175">
        <f>R44*T44</f>
        <v>0</v>
      </c>
      <c r="W44" s="259">
        <f>Q44-U44</f>
        <v>10000</v>
      </c>
    </row>
    <row r="50" spans="1:10" x14ac:dyDescent="0.3">
      <c r="B50" s="301"/>
      <c r="C50" s="144" t="s">
        <v>237</v>
      </c>
      <c r="D50" s="144" t="s">
        <v>283</v>
      </c>
      <c r="E50" s="182"/>
      <c r="F50" s="99"/>
      <c r="G50" s="144" t="s">
        <v>284</v>
      </c>
      <c r="H50" s="144" t="s">
        <v>237</v>
      </c>
      <c r="I50" s="144" t="s">
        <v>285</v>
      </c>
      <c r="J50" s="144" t="s">
        <v>286</v>
      </c>
    </row>
    <row r="51" spans="1:10" ht="14" customHeight="1" x14ac:dyDescent="0.3">
      <c r="B51" s="179" t="s">
        <v>287</v>
      </c>
      <c r="C51" s="180">
        <f>10/$K$1</f>
        <v>10.152284263959391</v>
      </c>
      <c r="D51" s="181">
        <f>$C$1*10</f>
        <v>10000</v>
      </c>
      <c r="E51" s="182"/>
      <c r="F51" s="99"/>
      <c r="G51" s="179" t="s">
        <v>287</v>
      </c>
      <c r="H51" s="276">
        <v>10</v>
      </c>
      <c r="I51" s="180">
        <f>J51/$R$1</f>
        <v>16949.152542372882</v>
      </c>
      <c r="J51" s="180">
        <f>$W$44</f>
        <v>10000</v>
      </c>
    </row>
    <row r="52" spans="1:10" ht="14" customHeight="1" x14ac:dyDescent="0.3">
      <c r="B52" s="230" t="s">
        <v>266</v>
      </c>
      <c r="C52" s="231">
        <f>$I$1</f>
        <v>23.309644670050762</v>
      </c>
      <c r="D52" s="232">
        <f>$E$1</f>
        <v>22960</v>
      </c>
      <c r="E52" s="99"/>
      <c r="F52" s="99"/>
      <c r="G52" s="147" t="s">
        <v>266</v>
      </c>
      <c r="H52" s="209">
        <f>I52/$D$5</f>
        <v>22.96</v>
      </c>
      <c r="I52" s="175">
        <f>J52/$R$1</f>
        <v>38915.254237288136</v>
      </c>
      <c r="J52" s="183">
        <f>$S$32</f>
        <v>22960</v>
      </c>
    </row>
    <row r="53" spans="1:10" x14ac:dyDescent="0.3">
      <c r="B53" s="230" t="s">
        <v>288</v>
      </c>
      <c r="C53" s="233">
        <f>MIN(C52, C51)</f>
        <v>10.152284263959391</v>
      </c>
      <c r="D53" s="232">
        <f>(C53*$K$1)*$C$1</f>
        <v>10000</v>
      </c>
      <c r="E53" s="99"/>
      <c r="F53" s="99"/>
      <c r="G53" s="147" t="s">
        <v>288</v>
      </c>
      <c r="H53" s="186">
        <f>MIN(H52,H51)</f>
        <v>10</v>
      </c>
      <c r="I53" s="175">
        <f>J53/$R$1</f>
        <v>16949.152542372882</v>
      </c>
      <c r="J53" s="175">
        <f>MIN(J52,J51)</f>
        <v>10000</v>
      </c>
    </row>
    <row r="54" spans="1:10" x14ac:dyDescent="0.3">
      <c r="B54" s="230" t="s">
        <v>289</v>
      </c>
      <c r="C54" s="233">
        <f>MIN(MAX(C52-C53,0),C51)</f>
        <v>10.152284263959391</v>
      </c>
      <c r="D54" s="232">
        <f>(C54*$K$1)*$C$1</f>
        <v>10000</v>
      </c>
      <c r="E54" s="99"/>
      <c r="F54" s="99"/>
      <c r="G54" s="147" t="s">
        <v>289</v>
      </c>
      <c r="H54" s="186">
        <f>MIN(MAX(H52-H53),H51)</f>
        <v>10</v>
      </c>
      <c r="I54" s="175">
        <f>J54/$R$1</f>
        <v>16949.152542372882</v>
      </c>
      <c r="J54" s="175">
        <f>MIN(MAX(J52-J53),J51)</f>
        <v>10000</v>
      </c>
    </row>
    <row r="55" spans="1:10" x14ac:dyDescent="0.3">
      <c r="B55" s="230" t="s">
        <v>290</v>
      </c>
      <c r="C55" s="233">
        <f>MIN(MAX(C52-C53-C54,0),C51)</f>
        <v>3.0050761421319798</v>
      </c>
      <c r="D55" s="232">
        <f>(C55*$K$1)*$C$1</f>
        <v>2960</v>
      </c>
      <c r="E55" s="99"/>
      <c r="F55" s="99"/>
      <c r="G55" s="144" t="s">
        <v>290</v>
      </c>
      <c r="H55" s="186">
        <f>MIN(MAX(H52-H53-H54),H51)</f>
        <v>2.9600000000000009</v>
      </c>
      <c r="I55" s="175">
        <f>J55/$R$1</f>
        <v>5016.9491525423728</v>
      </c>
      <c r="J55" s="175">
        <f>MIN(MAX(J52-J53-J54),J51)</f>
        <v>2960</v>
      </c>
    </row>
    <row r="56" spans="1:10" ht="14.25" customHeight="1" x14ac:dyDescent="0.3"/>
    <row r="57" spans="1:10" ht="14.25" customHeight="1" x14ac:dyDescent="0.3"/>
    <row r="58" spans="1:10" ht="14.25" customHeight="1" x14ac:dyDescent="0.3"/>
    <row r="60" spans="1:10" ht="48.75" customHeight="1" x14ac:dyDescent="0.3"/>
    <row r="62" spans="1:10" ht="17.75" customHeight="1" x14ac:dyDescent="0.3">
      <c r="A62" s="922"/>
      <c r="B62" s="1447" t="s">
        <v>315</v>
      </c>
      <c r="C62" s="1447"/>
      <c r="D62" s="1447"/>
      <c r="E62" s="1447"/>
      <c r="F62" s="1447"/>
      <c r="G62" s="1447"/>
      <c r="H62" s="1447"/>
    </row>
    <row r="63" spans="1:10" ht="14" customHeight="1" x14ac:dyDescent="0.3">
      <c r="A63" s="922"/>
      <c r="B63" s="1438"/>
      <c r="C63" s="1438"/>
      <c r="D63" s="1438"/>
      <c r="E63" s="1438"/>
      <c r="F63" s="1438"/>
      <c r="G63" s="1438"/>
      <c r="H63" s="1438"/>
    </row>
    <row r="64" spans="1:10" ht="42" customHeight="1" x14ac:dyDescent="0.25">
      <c r="A64" s="90"/>
      <c r="B64" s="90" t="s">
        <v>245</v>
      </c>
      <c r="C64" s="106" t="s">
        <v>246</v>
      </c>
      <c r="D64" s="90" t="s">
        <v>235</v>
      </c>
      <c r="E64" s="107" t="s">
        <v>238</v>
      </c>
      <c r="F64" s="107" t="s">
        <v>247</v>
      </c>
      <c r="G64" s="90" t="s">
        <v>248</v>
      </c>
      <c r="H64" s="108" t="s">
        <v>249</v>
      </c>
    </row>
    <row r="65" spans="1:10" ht="14.25" customHeight="1" x14ac:dyDescent="0.3">
      <c r="A65" s="127" t="s">
        <v>225</v>
      </c>
      <c r="B65" s="268" t="str">
        <f>B5</f>
        <v>Chicken - دجاج</v>
      </c>
      <c r="C65" s="123" t="str">
        <f>C5</f>
        <v>gm</v>
      </c>
      <c r="D65" s="115">
        <f>D5</f>
        <v>1694.9152542372881</v>
      </c>
      <c r="E65" s="125">
        <f>H52</f>
        <v>22.96</v>
      </c>
      <c r="F65" s="126">
        <f>F5</f>
        <v>1</v>
      </c>
      <c r="G65" s="118">
        <f>D65*E65</f>
        <v>38915.254237288136</v>
      </c>
      <c r="H65" s="119">
        <f>G65*F65</f>
        <v>38915.254237288136</v>
      </c>
    </row>
    <row r="66" spans="1:10" ht="14.25" customHeight="1" x14ac:dyDescent="0.3">
      <c r="A66" s="127"/>
      <c r="B66" s="268"/>
      <c r="C66" s="123"/>
      <c r="D66" s="124"/>
      <c r="E66" s="125"/>
      <c r="F66" s="126"/>
      <c r="G66" s="118"/>
      <c r="H66" s="119"/>
    </row>
    <row r="67" spans="1:10" ht="31.25" customHeight="1" x14ac:dyDescent="0.4">
      <c r="A67" s="203"/>
      <c r="B67" s="481"/>
      <c r="C67" s="482"/>
      <c r="D67" s="483"/>
      <c r="E67" s="482"/>
      <c r="F67" s="483"/>
      <c r="G67" s="482"/>
      <c r="H67" s="484"/>
    </row>
    <row r="68" spans="1:10" ht="14.25" customHeight="1" x14ac:dyDescent="0.3">
      <c r="B68" s="885"/>
      <c r="C68" s="132"/>
      <c r="D68" s="253"/>
      <c r="E68" s="134"/>
      <c r="F68" s="135"/>
      <c r="G68" s="136"/>
      <c r="H68" s="137"/>
    </row>
    <row r="69" spans="1:10" ht="14.25" customHeight="1" x14ac:dyDescent="0.3">
      <c r="B69" s="885"/>
      <c r="C69" s="132"/>
      <c r="D69" s="253"/>
      <c r="E69" s="134"/>
      <c r="F69" s="135"/>
      <c r="G69" s="136"/>
      <c r="H69" s="137"/>
    </row>
    <row r="70" spans="1:10" ht="14.25" customHeight="1" x14ac:dyDescent="0.3">
      <c r="B70" s="885"/>
      <c r="C70" s="132"/>
      <c r="D70" s="253"/>
      <c r="E70" s="134"/>
      <c r="F70" s="135"/>
      <c r="G70" s="136"/>
      <c r="H70" s="137"/>
    </row>
    <row r="71" spans="1:10" ht="14.25" customHeight="1" x14ac:dyDescent="0.3">
      <c r="B71" s="885"/>
      <c r="C71" s="132"/>
      <c r="D71" s="253"/>
      <c r="E71" s="134"/>
      <c r="F71" s="135"/>
      <c r="G71" s="136"/>
      <c r="H71" s="137"/>
    </row>
    <row r="72" spans="1:10" ht="14.25" customHeight="1" x14ac:dyDescent="0.3">
      <c r="B72" s="885"/>
      <c r="C72" s="132"/>
      <c r="D72" s="253"/>
      <c r="E72" s="134"/>
      <c r="F72" s="135"/>
      <c r="G72" s="136"/>
      <c r="H72" s="137"/>
    </row>
    <row r="73" spans="1:10" ht="14" customHeight="1" x14ac:dyDescent="0.3">
      <c r="B73" s="885"/>
      <c r="C73" s="132"/>
      <c r="D73" s="253"/>
      <c r="E73" s="134"/>
      <c r="F73" s="135"/>
      <c r="G73" s="136"/>
      <c r="H73" s="137"/>
    </row>
    <row r="74" spans="1:10" ht="14" customHeight="1" x14ac:dyDescent="0.3">
      <c r="B74" s="885"/>
      <c r="C74" s="132"/>
      <c r="D74" s="253"/>
      <c r="E74" s="134"/>
      <c r="F74" s="135"/>
      <c r="G74" s="136"/>
      <c r="H74" s="137"/>
    </row>
    <row r="75" spans="1:10" ht="14.25" customHeight="1" x14ac:dyDescent="0.3">
      <c r="B75" s="885"/>
      <c r="C75" s="132"/>
      <c r="D75" s="253"/>
      <c r="E75" s="134"/>
      <c r="F75" s="135"/>
      <c r="G75" s="136"/>
      <c r="H75" s="137"/>
    </row>
    <row r="76" spans="1:10" ht="20.25" customHeight="1" x14ac:dyDescent="0.4">
      <c r="B76" s="885"/>
      <c r="C76" s="132"/>
      <c r="D76" s="253"/>
      <c r="E76" s="134"/>
      <c r="F76" s="135"/>
      <c r="G76" s="136"/>
      <c r="H76" s="137"/>
      <c r="I76" s="203"/>
      <c r="J76" s="202"/>
    </row>
    <row r="77" spans="1:10" ht="14.25" customHeight="1" x14ac:dyDescent="0.3">
      <c r="B77" s="885"/>
      <c r="C77" s="132"/>
      <c r="D77" s="253"/>
      <c r="E77" s="134"/>
      <c r="F77" s="135"/>
      <c r="G77" s="136"/>
      <c r="H77" s="137"/>
    </row>
    <row r="78" spans="1:10" ht="14.25" customHeight="1" x14ac:dyDescent="0.3">
      <c r="B78" s="885"/>
      <c r="C78" s="132"/>
      <c r="D78" s="253"/>
      <c r="E78" s="134"/>
      <c r="F78" s="135"/>
      <c r="G78" s="136"/>
      <c r="H78" s="137"/>
    </row>
    <row r="79" spans="1:10" ht="14.25" customHeight="1" x14ac:dyDescent="0.3">
      <c r="B79" s="885"/>
      <c r="C79" s="132"/>
      <c r="D79" s="253"/>
      <c r="E79" s="134"/>
      <c r="F79" s="135"/>
      <c r="G79" s="136"/>
      <c r="H79" s="137"/>
    </row>
    <row r="80" spans="1:10" ht="14.25" customHeight="1" x14ac:dyDescent="0.3">
      <c r="B80" s="885"/>
      <c r="C80" s="132"/>
      <c r="D80" s="253"/>
      <c r="E80" s="134"/>
      <c r="F80" s="135"/>
      <c r="G80" s="136"/>
      <c r="H80" s="137"/>
    </row>
    <row r="81" spans="1:8" ht="20.25" customHeight="1" x14ac:dyDescent="0.4">
      <c r="H81" s="202"/>
    </row>
    <row r="82" spans="1:8" ht="14.25" customHeight="1" x14ac:dyDescent="0.3">
      <c r="B82" s="99"/>
      <c r="C82" s="207"/>
      <c r="D82" s="208"/>
      <c r="E82" s="99"/>
      <c r="F82" s="99"/>
    </row>
    <row r="83" spans="1:8" ht="14.25" customHeight="1" x14ac:dyDescent="0.3">
      <c r="B83" s="300"/>
      <c r="E83" s="99"/>
      <c r="F83" s="99"/>
    </row>
    <row r="84" spans="1:8" ht="14.25" customHeight="1" x14ac:dyDescent="0.3">
      <c r="B84" s="300"/>
      <c r="C84" s="99"/>
      <c r="D84" s="99"/>
      <c r="E84" s="99"/>
      <c r="F84" s="99"/>
      <c r="G84" s="99"/>
      <c r="H84" s="99"/>
    </row>
    <row r="85" spans="1:8" ht="14.25" customHeight="1" x14ac:dyDescent="0.3">
      <c r="B85" s="300"/>
      <c r="C85" s="99"/>
      <c r="D85" s="99"/>
      <c r="E85" s="99"/>
      <c r="F85" s="99"/>
      <c r="G85" s="99"/>
      <c r="H85" s="99"/>
    </row>
    <row r="86" spans="1:8" ht="17.75" customHeight="1" x14ac:dyDescent="0.3">
      <c r="B86" s="1465"/>
      <c r="C86" s="1460"/>
      <c r="D86" s="1460"/>
      <c r="E86" s="1460"/>
      <c r="F86" s="1460"/>
      <c r="G86" s="1460"/>
      <c r="H86" s="1460"/>
    </row>
    <row r="87" spans="1:8" ht="17.75" customHeight="1" x14ac:dyDescent="0.3">
      <c r="B87" s="1465"/>
      <c r="C87" s="1458"/>
      <c r="D87" s="1458"/>
      <c r="E87" s="1458"/>
      <c r="F87" s="1458"/>
      <c r="G87" s="1458"/>
      <c r="H87" s="1458"/>
    </row>
    <row r="88" spans="1:8" ht="25.5" customHeight="1" x14ac:dyDescent="0.25">
      <c r="A88" s="370"/>
      <c r="B88" s="370"/>
      <c r="C88" s="347"/>
      <c r="D88" s="370"/>
      <c r="E88" s="370"/>
      <c r="F88" s="370"/>
      <c r="G88" s="370"/>
      <c r="H88" s="346"/>
    </row>
    <row r="89" spans="1:8" ht="14.25" customHeight="1" x14ac:dyDescent="0.3">
      <c r="B89" s="885"/>
      <c r="C89" s="91"/>
      <c r="D89" s="136"/>
      <c r="E89" s="134"/>
      <c r="F89" s="135"/>
      <c r="G89" s="136"/>
      <c r="H89" s="137"/>
    </row>
    <row r="90" spans="1:8" ht="14.25" customHeight="1" x14ac:dyDescent="0.3">
      <c r="B90" s="885"/>
      <c r="C90" s="91"/>
      <c r="D90" s="91"/>
      <c r="E90" s="134"/>
      <c r="F90" s="135"/>
      <c r="G90" s="136"/>
      <c r="H90" s="137"/>
    </row>
    <row r="91" spans="1:8" ht="14.25" customHeight="1" x14ac:dyDescent="0.3">
      <c r="B91" s="885"/>
      <c r="C91" s="91"/>
      <c r="D91" s="91"/>
      <c r="E91" s="134"/>
      <c r="F91" s="135"/>
      <c r="G91" s="136"/>
      <c r="H91" s="137"/>
    </row>
    <row r="92" spans="1:8" ht="14.25" customHeight="1" x14ac:dyDescent="0.3">
      <c r="B92" s="885"/>
      <c r="C92" s="91"/>
      <c r="D92" s="91"/>
      <c r="E92" s="134"/>
      <c r="F92" s="135"/>
      <c r="G92" s="136"/>
      <c r="H92" s="137"/>
    </row>
    <row r="93" spans="1:8" ht="14.25" customHeight="1" x14ac:dyDescent="0.3">
      <c r="B93" s="885"/>
      <c r="C93" s="91"/>
      <c r="D93" s="91"/>
      <c r="E93" s="134"/>
      <c r="F93" s="135"/>
      <c r="G93" s="136"/>
      <c r="H93" s="137"/>
    </row>
    <row r="94" spans="1:8" ht="14.25" customHeight="1" x14ac:dyDescent="0.3">
      <c r="B94" s="885"/>
      <c r="C94" s="91"/>
      <c r="D94" s="91"/>
      <c r="E94" s="134"/>
      <c r="F94" s="135"/>
      <c r="G94" s="136"/>
      <c r="H94" s="137"/>
    </row>
    <row r="95" spans="1:8" ht="14.25" customHeight="1" x14ac:dyDescent="0.3">
      <c r="B95" s="885"/>
      <c r="C95" s="91"/>
      <c r="D95" s="91"/>
      <c r="E95" s="134"/>
      <c r="F95" s="135"/>
      <c r="G95" s="136"/>
      <c r="H95" s="137"/>
    </row>
    <row r="96" spans="1:8" ht="14.25" customHeight="1" x14ac:dyDescent="0.3">
      <c r="B96" s="885"/>
      <c r="C96" s="91"/>
      <c r="D96" s="91"/>
      <c r="E96" s="134"/>
      <c r="F96" s="135"/>
      <c r="G96" s="136"/>
      <c r="H96" s="137"/>
    </row>
    <row r="97" spans="2:8" ht="14.25" customHeight="1" x14ac:dyDescent="0.3">
      <c r="B97" s="885"/>
      <c r="C97" s="91"/>
      <c r="D97" s="91"/>
      <c r="E97" s="134"/>
      <c r="F97" s="135"/>
      <c r="G97" s="136"/>
      <c r="H97" s="137"/>
    </row>
    <row r="98" spans="2:8" ht="14.25" customHeight="1" x14ac:dyDescent="0.3">
      <c r="B98" s="885"/>
      <c r="C98" s="91"/>
      <c r="D98" s="91"/>
      <c r="E98" s="134"/>
      <c r="F98" s="135"/>
      <c r="G98" s="136"/>
      <c r="H98" s="137"/>
    </row>
    <row r="99" spans="2:8" ht="14.25" customHeight="1" x14ac:dyDescent="0.3">
      <c r="B99" s="885"/>
      <c r="C99" s="91"/>
      <c r="D99" s="91"/>
      <c r="E99" s="134"/>
      <c r="F99" s="135"/>
      <c r="G99" s="136"/>
      <c r="H99" s="137"/>
    </row>
    <row r="100" spans="2:8" ht="14.25" customHeight="1" x14ac:dyDescent="0.3">
      <c r="B100" s="885"/>
      <c r="C100" s="91"/>
      <c r="D100" s="91"/>
      <c r="E100" s="134"/>
      <c r="F100" s="135"/>
      <c r="G100" s="136"/>
      <c r="H100" s="137"/>
    </row>
    <row r="101" spans="2:8" ht="14.25" customHeight="1" x14ac:dyDescent="0.3">
      <c r="B101" s="885"/>
      <c r="C101" s="91"/>
      <c r="D101" s="91"/>
      <c r="E101" s="134"/>
      <c r="F101" s="135"/>
      <c r="G101" s="136"/>
      <c r="H101" s="137"/>
    </row>
    <row r="102" spans="2:8" ht="14.25" customHeight="1" x14ac:dyDescent="0.3">
      <c r="B102" s="885"/>
      <c r="C102" s="91"/>
      <c r="D102" s="91"/>
      <c r="E102" s="134"/>
      <c r="F102" s="135"/>
      <c r="G102" s="136"/>
      <c r="H102" s="137"/>
    </row>
    <row r="103" spans="2:8" ht="14.25" customHeight="1" x14ac:dyDescent="0.3">
      <c r="B103" s="885"/>
      <c r="C103" s="91"/>
      <c r="D103" s="91"/>
      <c r="E103" s="134"/>
      <c r="F103" s="135"/>
      <c r="G103" s="136"/>
      <c r="H103" s="137"/>
    </row>
    <row r="104" spans="2:8" ht="14.25" customHeight="1" x14ac:dyDescent="0.3">
      <c r="B104" s="885"/>
      <c r="C104" s="91"/>
      <c r="D104" s="91"/>
      <c r="E104" s="134"/>
      <c r="F104" s="135"/>
      <c r="G104" s="136"/>
      <c r="H104" s="137"/>
    </row>
    <row r="105" spans="2:8" ht="20.25" customHeight="1" x14ac:dyDescent="0.4">
      <c r="B105" s="203"/>
      <c r="C105" s="481"/>
      <c r="D105" s="482"/>
      <c r="E105" s="483"/>
      <c r="F105" s="482"/>
      <c r="G105" s="484"/>
      <c r="H105" s="202"/>
    </row>
  </sheetData>
  <mergeCells count="9">
    <mergeCell ref="AL2:AM2"/>
    <mergeCell ref="AE2:AG3"/>
    <mergeCell ref="R26:U26"/>
    <mergeCell ref="B87:H87"/>
    <mergeCell ref="R25:U25"/>
    <mergeCell ref="B86:H86"/>
    <mergeCell ref="B2:H3"/>
    <mergeCell ref="B35:F35"/>
    <mergeCell ref="B62:H63"/>
  </mergeCells>
  <printOptions horizontalCentered="1"/>
  <pageMargins left="0.5" right="0.5" top="1" bottom="0.5" header="0.3" footer="0.511811023622047"/>
  <pageSetup paperSize="9" scale="32"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B050"/>
    <pageSetUpPr fitToPage="1"/>
  </sheetPr>
  <dimension ref="A1:AF974"/>
  <sheetViews>
    <sheetView zoomScale="82" zoomScaleNormal="115" workbookViewId="0">
      <selection activeCell="B22" sqref="B22:L22"/>
    </sheetView>
  </sheetViews>
  <sheetFormatPr defaultColWidth="12.5" defaultRowHeight="12.5" x14ac:dyDescent="0.25"/>
  <cols>
    <col min="1" max="1" width="12.5" style="14" customWidth="1"/>
    <col min="2" max="2" width="44.5" style="14" customWidth="1"/>
    <col min="3" max="3" width="24"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3.6640625" style="14" customWidth="1"/>
    <col min="15" max="15" width="16.75" style="14" customWidth="1"/>
    <col min="16" max="17" width="12.5" style="14" customWidth="1"/>
    <col min="18" max="18" width="23" style="14" bestFit="1" customWidth="1"/>
    <col min="19" max="19" width="15.9140625" style="14" customWidth="1"/>
    <col min="20" max="20" width="14.25" style="14" bestFit="1" customWidth="1"/>
    <col min="21" max="25" width="12.5" style="14" customWidth="1"/>
    <col min="26" max="27" width="13.33203125" style="14" bestFit="1" customWidth="1"/>
    <col min="28" max="28" width="11.9140625" style="14" bestFit="1" customWidth="1"/>
    <col min="29" max="29" width="13.33203125" style="14" bestFit="1" customWidth="1"/>
    <col min="30" max="30" width="12.5" style="14" customWidth="1"/>
    <col min="31" max="16384" width="12.5" style="14"/>
  </cols>
  <sheetData>
    <row r="1" spans="1:32" ht="28.5" customHeight="1" x14ac:dyDescent="0.3">
      <c r="B1" s="79" t="s">
        <v>335</v>
      </c>
      <c r="C1" s="80">
        <v>1</v>
      </c>
      <c r="D1" s="81" t="s">
        <v>236</v>
      </c>
      <c r="E1" s="116">
        <f>U32</f>
        <v>166</v>
      </c>
      <c r="F1" s="79" t="s">
        <v>237</v>
      </c>
      <c r="G1" s="116">
        <f>E1/C1</f>
        <v>166</v>
      </c>
      <c r="H1" s="79" t="s">
        <v>238</v>
      </c>
      <c r="I1" s="116"/>
      <c r="J1" s="325" t="s">
        <v>239</v>
      </c>
      <c r="K1" s="326"/>
      <c r="L1" s="99"/>
      <c r="M1" s="99"/>
      <c r="N1" s="99"/>
      <c r="O1" s="90" t="s">
        <v>240</v>
      </c>
      <c r="P1" s="91" t="s">
        <v>336</v>
      </c>
      <c r="Q1" s="92" t="s">
        <v>242</v>
      </c>
      <c r="R1" s="91">
        <v>0.52</v>
      </c>
      <c r="S1" s="92" t="s">
        <v>337</v>
      </c>
      <c r="T1" s="327">
        <v>100</v>
      </c>
      <c r="U1" s="99"/>
      <c r="V1" s="99"/>
      <c r="Y1" s="90" t="s">
        <v>463</v>
      </c>
      <c r="Z1" s="835">
        <v>161</v>
      </c>
      <c r="AA1" s="90" t="s">
        <v>578</v>
      </c>
      <c r="AB1" s="835">
        <v>5</v>
      </c>
      <c r="AC1" s="90" t="s">
        <v>567</v>
      </c>
      <c r="AD1" s="835">
        <v>161</v>
      </c>
      <c r="AE1" s="90" t="s">
        <v>558</v>
      </c>
      <c r="AF1" s="835">
        <f>Z1+AB1</f>
        <v>166</v>
      </c>
    </row>
    <row r="2" spans="1:32" ht="12.75" customHeight="1" x14ac:dyDescent="0.25">
      <c r="A2" s="329"/>
      <c r="B2" s="1449" t="s">
        <v>338</v>
      </c>
      <c r="C2" s="1449"/>
      <c r="D2" s="1449"/>
      <c r="E2" s="1449"/>
      <c r="F2" s="1449"/>
      <c r="G2" s="1449"/>
      <c r="H2" s="1449"/>
      <c r="I2" s="643"/>
      <c r="J2" s="643"/>
      <c r="K2" s="643"/>
      <c r="L2" s="292"/>
      <c r="M2" s="130"/>
      <c r="O2" s="99"/>
      <c r="P2" s="99"/>
      <c r="Q2" s="99"/>
      <c r="R2" s="99"/>
      <c r="S2" s="99"/>
      <c r="T2" s="99"/>
      <c r="U2" s="99"/>
    </row>
    <row r="3" spans="1:32" ht="12.75" customHeight="1" x14ac:dyDescent="0.3">
      <c r="A3" s="329"/>
      <c r="B3" s="1450"/>
      <c r="C3" s="1450"/>
      <c r="D3" s="1450"/>
      <c r="E3" s="1450"/>
      <c r="F3" s="1450"/>
      <c r="G3" s="1450"/>
      <c r="H3" s="1450"/>
      <c r="I3" s="644"/>
      <c r="J3" s="644"/>
      <c r="K3" s="644"/>
      <c r="L3" s="292"/>
      <c r="M3" s="130"/>
      <c r="O3" s="99"/>
      <c r="P3" s="99"/>
      <c r="Q3" s="99"/>
      <c r="R3" s="99"/>
      <c r="S3" s="99"/>
      <c r="T3" s="99"/>
      <c r="U3" s="99"/>
    </row>
    <row r="4" spans="1:32" ht="68.75" customHeight="1" x14ac:dyDescent="0.25">
      <c r="A4" s="90" t="s">
        <v>1</v>
      </c>
      <c r="B4" s="90" t="s">
        <v>245</v>
      </c>
      <c r="C4" s="106" t="s">
        <v>246</v>
      </c>
      <c r="D4" s="90" t="s">
        <v>502</v>
      </c>
      <c r="E4" s="107" t="s">
        <v>238</v>
      </c>
      <c r="F4" s="107" t="s">
        <v>247</v>
      </c>
      <c r="G4" s="90" t="s">
        <v>248</v>
      </c>
      <c r="H4" s="330" t="s">
        <v>339</v>
      </c>
      <c r="I4" s="90" t="s">
        <v>250</v>
      </c>
      <c r="J4" s="90" t="s">
        <v>251</v>
      </c>
      <c r="K4" s="90" t="s">
        <v>252</v>
      </c>
      <c r="L4" s="90" t="s">
        <v>253</v>
      </c>
      <c r="M4" s="130"/>
      <c r="O4" s="99"/>
      <c r="P4" s="99"/>
      <c r="Q4" s="99"/>
      <c r="R4" s="99"/>
      <c r="S4" s="99"/>
    </row>
    <row r="5" spans="1:32" ht="14.25" customHeight="1" x14ac:dyDescent="0.25">
      <c r="A5" s="294" t="s">
        <v>225</v>
      </c>
      <c r="B5" s="124" t="s">
        <v>224</v>
      </c>
      <c r="C5" s="123" t="s">
        <v>14</v>
      </c>
      <c r="D5" s="267">
        <f>T1/R1</f>
        <v>192.30769230769229</v>
      </c>
      <c r="E5" s="115">
        <f>G1</f>
        <v>166</v>
      </c>
      <c r="F5" s="126">
        <v>1</v>
      </c>
      <c r="G5" s="120">
        <f>D5*E5</f>
        <v>31923.076923076922</v>
      </c>
      <c r="H5" s="119">
        <f>G5*F5</f>
        <v>31923.076923076922</v>
      </c>
      <c r="I5" s="80">
        <f>VLOOKUP(B5,All_Ingredients!$A$1:$F$149,6,FALSE())</f>
        <v>0.86</v>
      </c>
      <c r="J5" s="118">
        <f>VLOOKUP(B5,All_Ingredients!$A$1:$J$149,10,FALSE())</f>
        <v>17.100000000000001</v>
      </c>
      <c r="K5" s="121">
        <f>(H5/I5)/1000</f>
        <v>37.119856887298745</v>
      </c>
      <c r="L5" s="121">
        <f>K5*J5</f>
        <v>634.74955277280856</v>
      </c>
      <c r="M5" s="130"/>
    </row>
    <row r="6" spans="1:32" ht="14.25" customHeight="1" x14ac:dyDescent="0.25">
      <c r="B6" s="322" t="s">
        <v>370</v>
      </c>
      <c r="C6" s="114" t="s">
        <v>14</v>
      </c>
      <c r="D6" s="115">
        <v>10</v>
      </c>
      <c r="E6" s="115">
        <f>$G$1</f>
        <v>166</v>
      </c>
      <c r="F6" s="126">
        <v>1</v>
      </c>
      <c r="G6" s="118">
        <f>D6*E6</f>
        <v>1660</v>
      </c>
      <c r="H6" s="119">
        <f>G6*F6</f>
        <v>1660</v>
      </c>
      <c r="I6" s="80">
        <f>VLOOKUP(B6,All_Ingredients!$A$1:$F$149,6,FALSE())</f>
        <v>0.56999999999999995</v>
      </c>
      <c r="J6" s="118">
        <f>VLOOKUP(B6,All_Ingredients!$A$1:$J$149,10,FALSE())</f>
        <v>8.5</v>
      </c>
      <c r="K6" s="121">
        <f>(H6/I6)/1000</f>
        <v>2.9122807017543866</v>
      </c>
      <c r="L6" s="121">
        <f>K6*J6</f>
        <v>24.754385964912284</v>
      </c>
      <c r="M6" s="130"/>
      <c r="P6" s="130"/>
    </row>
    <row r="7" spans="1:32" ht="14.25" customHeight="1" x14ac:dyDescent="0.25">
      <c r="B7" s="322" t="s">
        <v>878</v>
      </c>
      <c r="C7" s="123" t="s">
        <v>234</v>
      </c>
      <c r="D7" s="115">
        <v>1</v>
      </c>
      <c r="E7" s="115">
        <f>$Z$1+$AB$1</f>
        <v>166</v>
      </c>
      <c r="F7" s="126">
        <v>1</v>
      </c>
      <c r="G7" s="120">
        <f>D7*($Z$1+$AB$1)</f>
        <v>166</v>
      </c>
      <c r="H7" s="119">
        <f>G7*F7</f>
        <v>166</v>
      </c>
      <c r="I7" s="80">
        <f>VLOOKUP(B7,All_Ingredients!$A$1:$F$149,6,FALSE())</f>
        <v>1</v>
      </c>
      <c r="J7" s="118">
        <f>VLOOKUP(B7,All_Ingredients!$A$1:$J$149,10,FALSE())</f>
        <v>0.5</v>
      </c>
      <c r="K7" s="174">
        <f>H7*I7</f>
        <v>166</v>
      </c>
      <c r="L7" s="121">
        <f>K7*J7</f>
        <v>83</v>
      </c>
      <c r="M7" s="130"/>
      <c r="O7" s="1126"/>
      <c r="P7" s="130"/>
    </row>
    <row r="8" spans="1:32" ht="31.5" customHeight="1" x14ac:dyDescent="0.25">
      <c r="B8" s="211"/>
      <c r="C8" s="331"/>
      <c r="D8" s="211"/>
      <c r="E8" s="332"/>
      <c r="F8" s="135"/>
      <c r="G8" s="136"/>
      <c r="H8" s="137"/>
      <c r="I8" s="91"/>
      <c r="J8" s="136"/>
      <c r="K8" s="130"/>
      <c r="L8" s="130"/>
      <c r="P8" s="130"/>
    </row>
    <row r="9" spans="1:32" ht="28.5" customHeight="1" x14ac:dyDescent="0.25">
      <c r="B9" s="93" t="s">
        <v>254</v>
      </c>
      <c r="C9" s="93">
        <v>10000</v>
      </c>
      <c r="D9" s="623" t="s">
        <v>503</v>
      </c>
      <c r="E9" s="624">
        <f>$S$32*100</f>
        <v>16600</v>
      </c>
      <c r="F9" s="93" t="s">
        <v>243</v>
      </c>
      <c r="G9" s="645">
        <f>(($S$32*$T$1)/$R$1)/$C$9</f>
        <v>3.1923076923076921</v>
      </c>
      <c r="H9" s="94"/>
      <c r="I9" s="91"/>
      <c r="J9" s="136"/>
      <c r="K9" s="130"/>
      <c r="L9" s="130"/>
      <c r="P9" s="130"/>
    </row>
    <row r="10" spans="1:32" ht="14.25" customHeight="1" x14ac:dyDescent="0.25">
      <c r="B10" s="641"/>
      <c r="C10" s="1442" t="s">
        <v>338</v>
      </c>
      <c r="D10" s="1442"/>
      <c r="E10" s="1442"/>
      <c r="F10" s="1442"/>
      <c r="G10" s="100"/>
      <c r="H10" s="100"/>
      <c r="I10" s="91"/>
      <c r="J10" s="136"/>
      <c r="K10" s="130"/>
      <c r="L10" s="130"/>
    </row>
    <row r="11" spans="1:32" ht="35" customHeight="1" x14ac:dyDescent="0.25">
      <c r="B11" s="103"/>
      <c r="C11" s="103"/>
      <c r="D11" s="104"/>
      <c r="E11" s="104"/>
      <c r="F11" s="104"/>
      <c r="G11" s="103"/>
      <c r="H11" s="103"/>
      <c r="I11" s="91"/>
      <c r="J11" s="136"/>
      <c r="K11" s="130"/>
      <c r="L11" s="130"/>
    </row>
    <row r="12" spans="1:32" ht="41" customHeight="1" x14ac:dyDescent="0.25">
      <c r="B12" s="109" t="s">
        <v>245</v>
      </c>
      <c r="C12" s="110" t="s">
        <v>246</v>
      </c>
      <c r="D12" s="109" t="s">
        <v>254</v>
      </c>
      <c r="E12" s="109" t="s">
        <v>238</v>
      </c>
      <c r="F12" s="109" t="s">
        <v>247</v>
      </c>
      <c r="G12" s="109" t="s">
        <v>248</v>
      </c>
      <c r="H12" s="111" t="s">
        <v>249</v>
      </c>
      <c r="I12" s="90" t="s">
        <v>250</v>
      </c>
      <c r="J12" s="90" t="s">
        <v>251</v>
      </c>
      <c r="K12" s="90" t="s">
        <v>252</v>
      </c>
      <c r="L12" s="90" t="s">
        <v>253</v>
      </c>
      <c r="M12" s="130"/>
    </row>
    <row r="13" spans="1:32" ht="14.25" customHeight="1" x14ac:dyDescent="0.25">
      <c r="B13" s="122"/>
      <c r="C13" s="123"/>
      <c r="D13" s="124"/>
      <c r="E13" s="196"/>
      <c r="F13" s="126"/>
      <c r="G13" s="118"/>
      <c r="H13" s="119"/>
      <c r="I13" s="80"/>
      <c r="J13" s="118"/>
      <c r="K13" s="121"/>
      <c r="L13" s="121"/>
      <c r="M13" s="130"/>
    </row>
    <row r="14" spans="1:32" ht="14.25" customHeight="1" x14ac:dyDescent="0.25">
      <c r="B14" s="122" t="s">
        <v>55</v>
      </c>
      <c r="C14" s="333" t="s">
        <v>14</v>
      </c>
      <c r="D14" s="334">
        <v>100</v>
      </c>
      <c r="E14" s="196">
        <f>$G$9</f>
        <v>3.1923076923076921</v>
      </c>
      <c r="F14" s="126">
        <v>1</v>
      </c>
      <c r="G14" s="118">
        <f>D14*E14</f>
        <v>319.23076923076923</v>
      </c>
      <c r="H14" s="119">
        <f>F14*G14</f>
        <v>319.23076923076923</v>
      </c>
      <c r="I14" s="80">
        <f>VLOOKUP(B14,All_Ingredients!$A$1:$F$149,6,FALSE())</f>
        <v>0.87</v>
      </c>
      <c r="J14" s="118">
        <f>VLOOKUP(B14,All_Ingredients!$A$1:$J$149,10,FALSE())</f>
        <v>7</v>
      </c>
      <c r="K14" s="121">
        <f t="shared" ref="K14:K28" si="0">(H14/I14)/1000</f>
        <v>0.36693191865605662</v>
      </c>
      <c r="L14" s="121">
        <f t="shared" ref="L14:L28" si="1">K14*J14</f>
        <v>2.5685234305923963</v>
      </c>
      <c r="M14" s="130"/>
    </row>
    <row r="15" spans="1:32" ht="14.25" customHeight="1" x14ac:dyDescent="0.25">
      <c r="B15" s="122" t="s">
        <v>762</v>
      </c>
      <c r="C15" s="333" t="s">
        <v>14</v>
      </c>
      <c r="D15" s="334">
        <v>100</v>
      </c>
      <c r="E15" s="196">
        <f t="shared" ref="E15:E28" si="2">$G$9</f>
        <v>3.1923076923076921</v>
      </c>
      <c r="F15" s="126">
        <v>1</v>
      </c>
      <c r="G15" s="118">
        <f t="shared" ref="G15:G27" si="3">D15*E15</f>
        <v>319.23076923076923</v>
      </c>
      <c r="H15" s="119">
        <f t="shared" ref="H15:H27" si="4">F15*G15</f>
        <v>319.23076923076923</v>
      </c>
      <c r="I15" s="80">
        <f>VLOOKUP(B15,All_Ingredients!$A$1:$F$149,6,FALSE())</f>
        <v>1</v>
      </c>
      <c r="J15" s="118">
        <f>VLOOKUP(B15,All_Ingredients!$A$1:$J$149,10,FALSE())</f>
        <v>10.5</v>
      </c>
      <c r="K15" s="121">
        <f t="shared" si="0"/>
        <v>0.31923076923076921</v>
      </c>
      <c r="L15" s="121">
        <f t="shared" si="1"/>
        <v>3.3519230769230766</v>
      </c>
      <c r="M15" s="130"/>
    </row>
    <row r="16" spans="1:32" ht="14.25" customHeight="1" x14ac:dyDescent="0.25">
      <c r="B16" s="122" t="s">
        <v>106</v>
      </c>
      <c r="C16" s="333" t="s">
        <v>14</v>
      </c>
      <c r="D16" s="334">
        <v>10</v>
      </c>
      <c r="E16" s="196">
        <f t="shared" si="2"/>
        <v>3.1923076923076921</v>
      </c>
      <c r="F16" s="126">
        <v>1</v>
      </c>
      <c r="G16" s="118">
        <f t="shared" si="3"/>
        <v>31.92307692307692</v>
      </c>
      <c r="H16" s="119">
        <f t="shared" si="4"/>
        <v>31.92307692307692</v>
      </c>
      <c r="I16" s="80">
        <f>VLOOKUP(B16,All_Ingredients!$A$1:$F$149,6,FALSE())</f>
        <v>1</v>
      </c>
      <c r="J16" s="118">
        <f>VLOOKUP(B16,All_Ingredients!$A$1:$J$149,10,FALSE())</f>
        <v>15</v>
      </c>
      <c r="K16" s="121">
        <f t="shared" si="0"/>
        <v>3.1923076923076922E-2</v>
      </c>
      <c r="L16" s="121">
        <f t="shared" si="1"/>
        <v>0.47884615384615381</v>
      </c>
      <c r="M16" s="130"/>
    </row>
    <row r="17" spans="2:32" ht="14.25" customHeight="1" x14ac:dyDescent="0.25">
      <c r="B17" s="122" t="s">
        <v>108</v>
      </c>
      <c r="C17" s="333" t="s">
        <v>14</v>
      </c>
      <c r="D17" s="334">
        <v>10</v>
      </c>
      <c r="E17" s="196">
        <f t="shared" si="2"/>
        <v>3.1923076923076921</v>
      </c>
      <c r="F17" s="126">
        <v>1</v>
      </c>
      <c r="G17" s="118">
        <f t="shared" si="3"/>
        <v>31.92307692307692</v>
      </c>
      <c r="H17" s="119">
        <f t="shared" si="4"/>
        <v>31.92307692307692</v>
      </c>
      <c r="I17" s="80">
        <f>VLOOKUP(B17,All_Ingredients!$A$1:$F$149,6,FALSE())</f>
        <v>1</v>
      </c>
      <c r="J17" s="118">
        <f>VLOOKUP(B17,All_Ingredients!$A$1:$J$149,10,FALSE())</f>
        <v>8</v>
      </c>
      <c r="K17" s="121">
        <f t="shared" si="0"/>
        <v>3.1923076923076922E-2</v>
      </c>
      <c r="L17" s="121">
        <f t="shared" si="1"/>
        <v>0.25538461538461538</v>
      </c>
      <c r="M17" s="130"/>
    </row>
    <row r="18" spans="2:32" ht="14.25" customHeight="1" x14ac:dyDescent="0.25">
      <c r="B18" s="122" t="s">
        <v>94</v>
      </c>
      <c r="C18" s="333" t="s">
        <v>14</v>
      </c>
      <c r="D18" s="334">
        <v>15</v>
      </c>
      <c r="E18" s="196">
        <f t="shared" si="2"/>
        <v>3.1923076923076921</v>
      </c>
      <c r="F18" s="126">
        <v>1</v>
      </c>
      <c r="G18" s="118">
        <f t="shared" si="3"/>
        <v>47.88461538461538</v>
      </c>
      <c r="H18" s="119">
        <f t="shared" si="4"/>
        <v>47.88461538461538</v>
      </c>
      <c r="I18" s="80">
        <f>VLOOKUP(B18,All_Ingredients!$A$1:$F$149,6,FALSE())</f>
        <v>1</v>
      </c>
      <c r="J18" s="118">
        <f>VLOOKUP(B18,All_Ingredients!$A$1:$J$149,10,FALSE())</f>
        <v>0.74</v>
      </c>
      <c r="K18" s="121">
        <f t="shared" si="0"/>
        <v>4.788461538461538E-2</v>
      </c>
      <c r="L18" s="121">
        <f t="shared" si="1"/>
        <v>3.5434615384615384E-2</v>
      </c>
      <c r="M18" s="130"/>
    </row>
    <row r="19" spans="2:32" ht="14.25" customHeight="1" x14ac:dyDescent="0.25">
      <c r="B19" s="122" t="s">
        <v>102</v>
      </c>
      <c r="C19" s="333" t="s">
        <v>14</v>
      </c>
      <c r="D19" s="334">
        <v>10</v>
      </c>
      <c r="E19" s="196">
        <f t="shared" si="2"/>
        <v>3.1923076923076921</v>
      </c>
      <c r="F19" s="126">
        <v>1</v>
      </c>
      <c r="G19" s="118">
        <f t="shared" si="3"/>
        <v>31.92307692307692</v>
      </c>
      <c r="H19" s="119">
        <f t="shared" si="4"/>
        <v>31.92307692307692</v>
      </c>
      <c r="I19" s="80">
        <f>VLOOKUP(B19,All_Ingredients!$A$1:$F$149,6,FALSE())</f>
        <v>1</v>
      </c>
      <c r="J19" s="118">
        <f>VLOOKUP(B19,All_Ingredients!$A$1:$J$149,10,FALSE())</f>
        <v>47</v>
      </c>
      <c r="K19" s="121">
        <f t="shared" si="0"/>
        <v>3.1923076923076922E-2</v>
      </c>
      <c r="L19" s="121">
        <f t="shared" si="1"/>
        <v>1.5003846153846154</v>
      </c>
      <c r="M19" s="136"/>
      <c r="N19" s="130"/>
      <c r="O19" s="130"/>
    </row>
    <row r="20" spans="2:32" ht="14.25" customHeight="1" x14ac:dyDescent="0.25">
      <c r="B20" s="122" t="s">
        <v>174</v>
      </c>
      <c r="C20" s="333" t="s">
        <v>14</v>
      </c>
      <c r="D20" s="334">
        <v>100</v>
      </c>
      <c r="E20" s="196">
        <f t="shared" si="2"/>
        <v>3.1923076923076921</v>
      </c>
      <c r="F20" s="126">
        <v>1</v>
      </c>
      <c r="G20" s="118">
        <f t="shared" si="3"/>
        <v>319.23076923076923</v>
      </c>
      <c r="H20" s="119">
        <f t="shared" si="4"/>
        <v>319.23076923076923</v>
      </c>
      <c r="I20" s="80">
        <f>VLOOKUP(B20,All_Ingredients!$A$1:$F$149,6,FALSE())</f>
        <v>1</v>
      </c>
      <c r="J20" s="118">
        <f>VLOOKUP(B20,All_Ingredients!$A$1:$J$149,10,FALSE())</f>
        <v>17.934782608695652</v>
      </c>
      <c r="K20" s="121">
        <f t="shared" si="0"/>
        <v>0.31923076923076921</v>
      </c>
      <c r="L20" s="121">
        <f t="shared" si="1"/>
        <v>5.7253344481605346</v>
      </c>
      <c r="M20" s="136"/>
      <c r="N20" s="130"/>
      <c r="O20" s="130"/>
    </row>
    <row r="21" spans="2:32" ht="12.75" customHeight="1" x14ac:dyDescent="0.25">
      <c r="B21" s="122" t="s">
        <v>214</v>
      </c>
      <c r="C21" s="333" t="s">
        <v>161</v>
      </c>
      <c r="D21" s="334">
        <v>200</v>
      </c>
      <c r="E21" s="196">
        <f t="shared" si="2"/>
        <v>3.1923076923076921</v>
      </c>
      <c r="F21" s="126">
        <v>1</v>
      </c>
      <c r="G21" s="118">
        <f t="shared" si="3"/>
        <v>638.46153846153845</v>
      </c>
      <c r="H21" s="119">
        <f t="shared" si="4"/>
        <v>638.46153846153845</v>
      </c>
      <c r="I21" s="80">
        <f>VLOOKUP(B21,All_Ingredients!$A$1:$F$149,6,FALSE())</f>
        <v>1</v>
      </c>
      <c r="J21" s="118">
        <f>VLOOKUP(B21,All_Ingredients!$A$1:$J$149,10,FALSE())</f>
        <v>5</v>
      </c>
      <c r="K21" s="121">
        <f t="shared" si="0"/>
        <v>0.63846153846153841</v>
      </c>
      <c r="L21" s="121">
        <f t="shared" si="1"/>
        <v>3.1923076923076921</v>
      </c>
      <c r="M21" s="136"/>
      <c r="N21" s="130"/>
      <c r="O21" s="130"/>
    </row>
    <row r="22" spans="2:32" ht="12.75" customHeight="1" x14ac:dyDescent="0.25">
      <c r="B22" s="122" t="s">
        <v>763</v>
      </c>
      <c r="C22" s="333" t="s">
        <v>14</v>
      </c>
      <c r="D22" s="334">
        <v>50</v>
      </c>
      <c r="E22" s="196">
        <f t="shared" si="2"/>
        <v>3.1923076923076921</v>
      </c>
      <c r="F22" s="126">
        <v>1</v>
      </c>
      <c r="G22" s="118">
        <f t="shared" si="3"/>
        <v>159.61538461538461</v>
      </c>
      <c r="H22" s="119">
        <f t="shared" si="4"/>
        <v>159.61538461538461</v>
      </c>
      <c r="I22" s="80">
        <f>VLOOKUP(B22,All_Ingredients!$A$1:$F$149,6,FALSE())</f>
        <v>1</v>
      </c>
      <c r="J22" s="118">
        <f>VLOOKUP(B22,All_Ingredients!$A$1:$J$149,10,FALSE())</f>
        <v>40.74074074074074</v>
      </c>
      <c r="K22" s="121">
        <f t="shared" si="0"/>
        <v>0.1596153846153846</v>
      </c>
      <c r="L22" s="121">
        <f t="shared" si="1"/>
        <v>6.5028490028490022</v>
      </c>
      <c r="M22" s="136"/>
      <c r="N22" s="130"/>
      <c r="O22" s="130"/>
    </row>
    <row r="23" spans="2:32" ht="14" x14ac:dyDescent="0.25">
      <c r="B23" s="122" t="s">
        <v>167</v>
      </c>
      <c r="C23" s="333" t="s">
        <v>161</v>
      </c>
      <c r="D23" s="334">
        <v>1000</v>
      </c>
      <c r="E23" s="196">
        <f t="shared" si="2"/>
        <v>3.1923076923076921</v>
      </c>
      <c r="F23" s="126">
        <v>1</v>
      </c>
      <c r="G23" s="118">
        <f t="shared" si="3"/>
        <v>3192.3076923076919</v>
      </c>
      <c r="H23" s="119">
        <f t="shared" si="4"/>
        <v>3192.3076923076919</v>
      </c>
      <c r="I23" s="80">
        <f>VLOOKUP(B23,All_Ingredients!$A$1:$F$149,6,FALSE())</f>
        <v>1</v>
      </c>
      <c r="J23" s="118">
        <f>VLOOKUP(B23,All_Ingredients!$A$1:$J$149,10,FALSE())</f>
        <v>12.666666666666666</v>
      </c>
      <c r="K23" s="121">
        <f t="shared" si="0"/>
        <v>3.1923076923076921</v>
      </c>
      <c r="L23" s="121">
        <f t="shared" si="1"/>
        <v>40.435897435897431</v>
      </c>
    </row>
    <row r="24" spans="2:32" ht="14" x14ac:dyDescent="0.25">
      <c r="B24" s="122" t="s">
        <v>129</v>
      </c>
      <c r="C24" s="333" t="s">
        <v>14</v>
      </c>
      <c r="D24" s="334">
        <v>10</v>
      </c>
      <c r="E24" s="196">
        <f t="shared" si="2"/>
        <v>3.1923076923076921</v>
      </c>
      <c r="F24" s="126">
        <v>1</v>
      </c>
      <c r="G24" s="118">
        <f t="shared" si="3"/>
        <v>31.92307692307692</v>
      </c>
      <c r="H24" s="119">
        <f t="shared" si="4"/>
        <v>31.92307692307692</v>
      </c>
      <c r="I24" s="80">
        <f>VLOOKUP(B24,All_Ingredients!$A$1:$F$149,6,FALSE())</f>
        <v>1</v>
      </c>
      <c r="J24" s="118">
        <f>VLOOKUP(B24,All_Ingredients!$A$1:$J$149,10,FALSE())</f>
        <v>107</v>
      </c>
      <c r="K24" s="121">
        <f t="shared" si="0"/>
        <v>3.1923076923076922E-2</v>
      </c>
      <c r="L24" s="121">
        <f t="shared" si="1"/>
        <v>3.4157692307692304</v>
      </c>
    </row>
    <row r="25" spans="2:32" ht="14" customHeight="1" x14ac:dyDescent="0.3">
      <c r="B25" s="122" t="s">
        <v>164</v>
      </c>
      <c r="C25" s="333" t="s">
        <v>14</v>
      </c>
      <c r="D25" s="334">
        <v>200</v>
      </c>
      <c r="E25" s="196">
        <f t="shared" si="2"/>
        <v>3.1923076923076921</v>
      </c>
      <c r="F25" s="126">
        <v>1</v>
      </c>
      <c r="G25" s="118">
        <f t="shared" si="3"/>
        <v>638.46153846153845</v>
      </c>
      <c r="H25" s="119">
        <f t="shared" si="4"/>
        <v>638.46153846153845</v>
      </c>
      <c r="I25" s="80">
        <f>VLOOKUP(B25,All_Ingredients!$A$1:$F$149,6,FALSE())</f>
        <v>1</v>
      </c>
      <c r="J25" s="118">
        <f>VLOOKUP(B25,All_Ingredients!$A$1:$J$149,10,FALSE())</f>
        <v>6.6959999999999997</v>
      </c>
      <c r="K25" s="121">
        <f t="shared" si="0"/>
        <v>0.63846153846153841</v>
      </c>
      <c r="L25" s="121">
        <f t="shared" si="1"/>
        <v>4.2751384615384609</v>
      </c>
      <c r="R25" s="1467" t="s">
        <v>338</v>
      </c>
      <c r="S25" s="1444"/>
      <c r="T25" s="1444"/>
      <c r="U25" s="1444"/>
      <c r="V25" s="1187"/>
      <c r="W25" s="1187"/>
      <c r="X25" s="1187"/>
      <c r="Z25" s="140" t="s">
        <v>822</v>
      </c>
      <c r="AA25" s="141">
        <v>1</v>
      </c>
      <c r="AB25" s="140" t="s">
        <v>253</v>
      </c>
      <c r="AC25" s="142">
        <f>AF30*AA25</f>
        <v>5.0612562237451382</v>
      </c>
    </row>
    <row r="26" spans="2:32" ht="14" customHeight="1" x14ac:dyDescent="0.25">
      <c r="B26" s="122" t="s">
        <v>61</v>
      </c>
      <c r="C26" s="333" t="s">
        <v>14</v>
      </c>
      <c r="D26" s="334">
        <v>10</v>
      </c>
      <c r="E26" s="196">
        <f t="shared" si="2"/>
        <v>3.1923076923076921</v>
      </c>
      <c r="F26" s="126">
        <v>1</v>
      </c>
      <c r="G26" s="118">
        <f t="shared" si="3"/>
        <v>31.92307692307692</v>
      </c>
      <c r="H26" s="119">
        <f t="shared" si="4"/>
        <v>31.92307692307692</v>
      </c>
      <c r="I26" s="80">
        <f>VLOOKUP(B26,All_Ingredients!$A$1:$F$149,6,FALSE())</f>
        <v>0.94</v>
      </c>
      <c r="J26" s="118">
        <f>VLOOKUP(B26,All_Ingredients!$A$1:$J$149,10,FALSE())</f>
        <v>3.6363636363636367</v>
      </c>
      <c r="K26" s="121">
        <f t="shared" si="0"/>
        <v>3.3960720130932896E-2</v>
      </c>
      <c r="L26" s="121">
        <f t="shared" si="1"/>
        <v>0.12349352774884691</v>
      </c>
      <c r="R26" s="1451" t="s">
        <v>295</v>
      </c>
      <c r="S26" s="1460"/>
      <c r="T26" s="1460"/>
      <c r="U26" s="1460"/>
      <c r="V26" s="1187"/>
      <c r="W26" s="1187"/>
      <c r="X26" s="1187"/>
    </row>
    <row r="27" spans="2:32" ht="14" customHeight="1" thickBot="1" x14ac:dyDescent="0.35">
      <c r="B27" s="122" t="s">
        <v>34</v>
      </c>
      <c r="C27" s="333" t="s">
        <v>14</v>
      </c>
      <c r="D27" s="334">
        <v>35</v>
      </c>
      <c r="E27" s="196">
        <f t="shared" si="2"/>
        <v>3.1923076923076921</v>
      </c>
      <c r="F27" s="126">
        <v>1</v>
      </c>
      <c r="G27" s="118">
        <f t="shared" si="3"/>
        <v>111.73076923076923</v>
      </c>
      <c r="H27" s="119">
        <f t="shared" si="4"/>
        <v>111.73076923076923</v>
      </c>
      <c r="I27" s="80">
        <f>VLOOKUP(B27,All_Ingredients!$A$1:$F$149,6,FALSE())</f>
        <v>0.86</v>
      </c>
      <c r="J27" s="118">
        <f>VLOOKUP(B27,All_Ingredients!$A$1:$J$149,10,FALSE())</f>
        <v>14</v>
      </c>
      <c r="K27" s="121">
        <f t="shared" si="0"/>
        <v>0.12991949910554562</v>
      </c>
      <c r="L27" s="121">
        <f t="shared" si="1"/>
        <v>1.8188729874776386</v>
      </c>
      <c r="R27" s="144" t="s">
        <v>258</v>
      </c>
      <c r="S27" s="144" t="s">
        <v>363</v>
      </c>
      <c r="T27" s="144" t="s">
        <v>260</v>
      </c>
      <c r="U27" s="144" t="s">
        <v>261</v>
      </c>
      <c r="V27" s="145" t="s">
        <v>316</v>
      </c>
      <c r="W27" s="145" t="s">
        <v>823</v>
      </c>
      <c r="X27" s="145" t="s">
        <v>818</v>
      </c>
      <c r="Z27" s="140" t="s">
        <v>262</v>
      </c>
      <c r="AA27" s="1166" t="s">
        <v>316</v>
      </c>
      <c r="AB27" s="146" t="s">
        <v>263</v>
      </c>
      <c r="AC27" s="146" t="s">
        <v>264</v>
      </c>
      <c r="AD27" s="146" t="s">
        <v>821</v>
      </c>
      <c r="AE27" s="146" t="s">
        <v>818</v>
      </c>
      <c r="AF27" s="146" t="s">
        <v>266</v>
      </c>
    </row>
    <row r="28" spans="2:32" ht="14" customHeight="1" thickBot="1" x14ac:dyDescent="0.35">
      <c r="B28" s="122" t="s">
        <v>32</v>
      </c>
      <c r="C28" s="333" t="s">
        <v>14</v>
      </c>
      <c r="D28" s="334">
        <v>50</v>
      </c>
      <c r="E28" s="196">
        <f t="shared" si="2"/>
        <v>3.1923076923076921</v>
      </c>
      <c r="F28" s="126">
        <v>1</v>
      </c>
      <c r="G28" s="118">
        <f>D28*E28</f>
        <v>159.61538461538461</v>
      </c>
      <c r="H28" s="119">
        <f>F28*G28</f>
        <v>159.61538461538461</v>
      </c>
      <c r="I28" s="80">
        <f>VLOOKUP(B28,All_Ingredients!$A$1:$F$149,6,FALSE())</f>
        <v>0.69</v>
      </c>
      <c r="J28" s="118">
        <f>VLOOKUP(B28,All_Ingredients!$A$1:$J$149,10,FALSE())</f>
        <v>4</v>
      </c>
      <c r="K28" s="121">
        <f t="shared" si="0"/>
        <v>0.23132664437012262</v>
      </c>
      <c r="L28" s="121">
        <f t="shared" si="1"/>
        <v>0.9253065774804905</v>
      </c>
      <c r="M28" s="337"/>
      <c r="R28" s="144" t="s">
        <v>267</v>
      </c>
      <c r="S28" s="1362">
        <f>$Z$1</f>
        <v>161</v>
      </c>
      <c r="T28" s="1372"/>
      <c r="U28" s="1372"/>
      <c r="V28" s="148">
        <f>SUM(H14:H28)</f>
        <v>6065.3846153846152</v>
      </c>
      <c r="W28" s="148">
        <f>K6</f>
        <v>2.9122807017543866</v>
      </c>
      <c r="X28" s="148">
        <f>Z1+AB1</f>
        <v>166</v>
      </c>
      <c r="Z28" s="150"/>
      <c r="AA28" s="1169"/>
      <c r="AB28" s="151">
        <f>AA25*$S$40</f>
        <v>1</v>
      </c>
      <c r="AC28" s="151">
        <f>AA25-AB28</f>
        <v>0</v>
      </c>
      <c r="AD28" s="1186"/>
      <c r="AE28" s="1186"/>
      <c r="AF28" s="153">
        <f>SUM(AB28:AC28)</f>
        <v>1</v>
      </c>
    </row>
    <row r="29" spans="2:32" ht="14" customHeight="1" thickBot="1" x14ac:dyDescent="0.35">
      <c r="C29"/>
      <c r="R29" s="144" t="s">
        <v>268</v>
      </c>
      <c r="S29" s="1381"/>
      <c r="T29" s="338"/>
      <c r="U29" s="1372">
        <f>T29</f>
        <v>0</v>
      </c>
      <c r="V29" s="148"/>
      <c r="W29" s="148"/>
      <c r="X29" s="148"/>
      <c r="Z29" s="150"/>
      <c r="AA29" s="1173"/>
      <c r="AB29" s="155">
        <f>AB28/$AF$28</f>
        <v>1</v>
      </c>
      <c r="AC29" s="155">
        <f>AC28/$AF$28</f>
        <v>0</v>
      </c>
      <c r="AD29" s="1186"/>
      <c r="AE29" s="1186"/>
      <c r="AF29" s="155">
        <f>AF28/$AF$28</f>
        <v>1</v>
      </c>
    </row>
    <row r="30" spans="2:32" ht="14" customHeight="1" thickBot="1" x14ac:dyDescent="0.35">
      <c r="R30" s="144" t="s">
        <v>269</v>
      </c>
      <c r="S30" s="1363">
        <f>$AB$1</f>
        <v>5</v>
      </c>
      <c r="T30" s="1372"/>
      <c r="U30" s="1372"/>
      <c r="V30" s="1124"/>
      <c r="W30" s="1124"/>
      <c r="X30" s="1124"/>
      <c r="Z30" s="140" t="s">
        <v>270</v>
      </c>
      <c r="AA30" s="1177">
        <f>V35/AF1</f>
        <v>0.44943051729966738</v>
      </c>
      <c r="AB30" s="156">
        <f>S35/AD1</f>
        <v>3.942543806042289</v>
      </c>
      <c r="AC30" s="1185">
        <f>T35/AD1</f>
        <v>0</v>
      </c>
      <c r="AD30" s="1126">
        <f>W35/AD1</f>
        <v>0.15375395009262288</v>
      </c>
      <c r="AE30" s="1126">
        <f>X35/AD1</f>
        <v>0.51552795031055898</v>
      </c>
      <c r="AF30" s="1183">
        <f>SUMPRODUCT(AB30:AC30,AB29:AC29)+AA30+AD30+AE30</f>
        <v>5.0612562237451382</v>
      </c>
    </row>
    <row r="31" spans="2:32" ht="14" customHeight="1" thickBot="1" x14ac:dyDescent="0.35">
      <c r="R31" s="144" t="s">
        <v>271</v>
      </c>
      <c r="S31" s="293" t="s">
        <v>314</v>
      </c>
      <c r="T31" s="338">
        <f>T28+T29</f>
        <v>0</v>
      </c>
      <c r="U31" s="338">
        <f>T31</f>
        <v>0</v>
      </c>
      <c r="V31" s="148"/>
      <c r="W31" s="148"/>
      <c r="X31" s="148"/>
    </row>
    <row r="32" spans="2:32" ht="14" customHeight="1" thickBot="1" x14ac:dyDescent="0.35">
      <c r="R32" s="145" t="s">
        <v>261</v>
      </c>
      <c r="S32" s="339">
        <f>S28+S30</f>
        <v>166</v>
      </c>
      <c r="T32" s="339">
        <f>SUM(T28:T30)</f>
        <v>0</v>
      </c>
      <c r="U32" s="339">
        <f>T32+S32</f>
        <v>166</v>
      </c>
      <c r="V32" s="148"/>
      <c r="W32" s="148">
        <f>SUM(W28:W30)</f>
        <v>2.9122807017543866</v>
      </c>
      <c r="X32" s="148"/>
    </row>
    <row r="33" spans="2:24" ht="14" customHeight="1" thickBot="1" x14ac:dyDescent="0.35">
      <c r="R33" s="340" t="s">
        <v>258</v>
      </c>
      <c r="S33" s="341"/>
      <c r="T33" s="341">
        <f>F40+F59</f>
        <v>0</v>
      </c>
      <c r="U33" s="342"/>
      <c r="V33" s="154"/>
      <c r="W33" s="154"/>
      <c r="X33" s="154"/>
    </row>
    <row r="34" spans="2:24" ht="14" customHeight="1" thickBot="1" x14ac:dyDescent="0.35">
      <c r="R34" s="177" t="s">
        <v>273</v>
      </c>
      <c r="S34" s="343"/>
      <c r="T34" s="344">
        <f>T33-(T28+T29)</f>
        <v>0</v>
      </c>
      <c r="U34" s="343"/>
      <c r="V34" s="154"/>
      <c r="W34" s="154"/>
      <c r="X34" s="154"/>
    </row>
    <row r="35" spans="2:24" ht="12.75" customHeight="1" thickBot="1" x14ac:dyDescent="0.35">
      <c r="R35" s="162" t="s">
        <v>253</v>
      </c>
      <c r="S35" s="1125">
        <f>$L$5</f>
        <v>634.74955277280856</v>
      </c>
      <c r="T35" s="1125">
        <f>SUM(O6:O19)</f>
        <v>0</v>
      </c>
      <c r="U35" s="1125">
        <f>S35+T35</f>
        <v>634.74955277280856</v>
      </c>
      <c r="V35" s="1125">
        <f>SUM(L14:L28)</f>
        <v>74.605465871744784</v>
      </c>
      <c r="W35" s="1184">
        <f>L6</f>
        <v>24.754385964912284</v>
      </c>
      <c r="X35" s="1184">
        <f>L7</f>
        <v>83</v>
      </c>
    </row>
    <row r="36" spans="2:24" ht="12.75" customHeight="1" x14ac:dyDescent="0.25"/>
    <row r="37" spans="2:24" ht="12.75" customHeight="1" x14ac:dyDescent="0.25"/>
    <row r="38" spans="2:24" ht="12.75" customHeight="1" x14ac:dyDescent="0.25"/>
    <row r="39" spans="2:24" ht="12.75" customHeight="1" x14ac:dyDescent="0.25">
      <c r="B39" s="99"/>
      <c r="E39" s="99"/>
      <c r="F39" s="99"/>
    </row>
    <row r="40" spans="2:24" ht="46.5" customHeight="1" x14ac:dyDescent="0.3">
      <c r="B40" s="99"/>
      <c r="C40" s="99"/>
      <c r="D40" s="345"/>
      <c r="E40" s="99"/>
      <c r="F40" s="99"/>
      <c r="G40" s="99"/>
      <c r="H40" s="99"/>
      <c r="I40" s="99"/>
      <c r="J40" s="99"/>
      <c r="R40" s="164" t="s">
        <v>274</v>
      </c>
      <c r="S40" s="165">
        <v>1</v>
      </c>
      <c r="T40" s="164" t="s">
        <v>275</v>
      </c>
      <c r="U40" s="166">
        <v>0</v>
      </c>
      <c r="V40" s="167">
        <f>S40+U40</f>
        <v>1</v>
      </c>
    </row>
    <row r="41" spans="2:24" ht="17.75" customHeight="1" x14ac:dyDescent="0.25">
      <c r="B41" s="99"/>
      <c r="C41" s="99"/>
      <c r="D41" s="99"/>
      <c r="E41" s="99"/>
      <c r="F41" s="99"/>
      <c r="G41" s="99"/>
      <c r="H41" s="99"/>
      <c r="I41" s="99"/>
      <c r="J41" s="99"/>
      <c r="U41" s="168"/>
    </row>
    <row r="42" spans="2:24" ht="17.75" customHeight="1" x14ac:dyDescent="0.25">
      <c r="B42" s="283"/>
    </row>
    <row r="43" spans="2:24" ht="12.75" customHeight="1" x14ac:dyDescent="0.3">
      <c r="B43" s="261"/>
      <c r="Q43" s="169" t="s">
        <v>276</v>
      </c>
      <c r="R43" s="169" t="s">
        <v>277</v>
      </c>
      <c r="S43" s="169" t="s">
        <v>278</v>
      </c>
      <c r="T43" s="169" t="s">
        <v>279</v>
      </c>
      <c r="U43" s="169" t="s">
        <v>280</v>
      </c>
      <c r="V43" s="169" t="s">
        <v>281</v>
      </c>
      <c r="W43" s="169" t="s">
        <v>282</v>
      </c>
    </row>
    <row r="44" spans="2:24" ht="14" customHeight="1" x14ac:dyDescent="0.3">
      <c r="B44" s="346"/>
      <c r="C44" s="347"/>
      <c r="D44" s="346"/>
      <c r="E44" s="346"/>
      <c r="F44" s="346"/>
      <c r="G44" s="346"/>
      <c r="H44" s="346"/>
      <c r="I44" s="346"/>
      <c r="J44" s="346"/>
      <c r="Q44" s="171">
        <v>18841</v>
      </c>
      <c r="R44" s="172">
        <f>E53</f>
        <v>0</v>
      </c>
      <c r="S44" s="173">
        <v>0</v>
      </c>
      <c r="T44" s="173">
        <v>0</v>
      </c>
      <c r="U44" s="241">
        <f>R44*S44</f>
        <v>0</v>
      </c>
      <c r="V44" s="175">
        <f>R44*T44</f>
        <v>0</v>
      </c>
      <c r="W44" s="175">
        <f>Q44-U44</f>
        <v>18841</v>
      </c>
    </row>
    <row r="45" spans="2:24" ht="14" customHeight="1" x14ac:dyDescent="0.25">
      <c r="B45" s="348"/>
      <c r="C45" s="348"/>
      <c r="D45" s="332"/>
      <c r="E45" s="332"/>
      <c r="F45" s="135"/>
      <c r="G45" s="136"/>
      <c r="H45" s="137"/>
      <c r="I45" s="91"/>
      <c r="J45" s="138"/>
    </row>
    <row r="46" spans="2:24" ht="14.25" customHeight="1" x14ac:dyDescent="0.25">
      <c r="B46" s="348"/>
      <c r="C46" s="348"/>
      <c r="D46" s="332"/>
      <c r="E46" s="332"/>
      <c r="F46" s="135"/>
      <c r="G46" s="136"/>
      <c r="H46" s="137"/>
      <c r="I46" s="91"/>
      <c r="J46" s="138"/>
    </row>
    <row r="47" spans="2:24" ht="14.25" customHeight="1" x14ac:dyDescent="0.25">
      <c r="B47" s="348"/>
      <c r="C47" s="348"/>
      <c r="D47" s="332"/>
      <c r="E47" s="332"/>
      <c r="F47" s="135"/>
      <c r="G47" s="136"/>
      <c r="H47" s="137"/>
      <c r="I47" s="91"/>
      <c r="J47" s="138"/>
    </row>
    <row r="48" spans="2:24" ht="14.25" customHeight="1" x14ac:dyDescent="0.25">
      <c r="B48" s="348"/>
      <c r="C48" s="348"/>
      <c r="D48" s="332"/>
      <c r="E48" s="332"/>
      <c r="F48" s="135"/>
      <c r="G48" s="136"/>
      <c r="H48" s="137"/>
      <c r="I48" s="91"/>
      <c r="J48" s="138"/>
    </row>
    <row r="49" spans="2:10" ht="14.25" customHeight="1" x14ac:dyDescent="0.25">
      <c r="B49" s="348"/>
      <c r="C49" s="348"/>
      <c r="D49" s="332"/>
      <c r="E49" s="332"/>
      <c r="F49" s="135"/>
      <c r="G49" s="136"/>
      <c r="H49" s="137"/>
      <c r="I49" s="91"/>
      <c r="J49" s="138"/>
    </row>
    <row r="50" spans="2:10" ht="14.25" customHeight="1" x14ac:dyDescent="0.25">
      <c r="B50" s="348"/>
      <c r="C50" s="348"/>
      <c r="D50" s="332"/>
      <c r="E50" s="332"/>
      <c r="F50" s="135"/>
      <c r="G50" s="99"/>
      <c r="H50" s="99"/>
      <c r="I50" s="99"/>
      <c r="J50" s="99"/>
    </row>
    <row r="51" spans="2:10" ht="14.25" customHeight="1" x14ac:dyDescent="0.25">
      <c r="B51" s="348"/>
      <c r="C51" s="348"/>
      <c r="D51" s="332"/>
      <c r="E51" s="332"/>
      <c r="F51" s="135"/>
    </row>
    <row r="52" spans="2:10" ht="14.25" customHeight="1" x14ac:dyDescent="0.3">
      <c r="B52" s="178"/>
      <c r="C52" s="178"/>
      <c r="D52" s="178"/>
      <c r="E52" s="99"/>
      <c r="F52" s="99"/>
    </row>
    <row r="53" spans="2:10" ht="14.25" customHeight="1" x14ac:dyDescent="0.3">
      <c r="B53" s="178"/>
      <c r="C53" s="887"/>
      <c r="D53" s="914">
        <f>(C53*$K$1)*$C$1</f>
        <v>0</v>
      </c>
      <c r="E53" s="182"/>
      <c r="F53" s="99"/>
      <c r="G53" s="346"/>
      <c r="H53" s="346"/>
      <c r="I53" s="346"/>
      <c r="J53" s="346"/>
    </row>
    <row r="54" spans="2:10" ht="14.25" customHeight="1" x14ac:dyDescent="0.3">
      <c r="B54" s="11"/>
      <c r="C54" s="335"/>
      <c r="D54" s="478">
        <f>(C54*$K$1)*$C$1</f>
        <v>0</v>
      </c>
      <c r="E54" s="99"/>
      <c r="F54" s="99"/>
      <c r="G54" s="136"/>
      <c r="H54" s="137"/>
      <c r="I54" s="91"/>
      <c r="J54" s="138"/>
    </row>
    <row r="55" spans="2:10" ht="14.25" customHeight="1" x14ac:dyDescent="0.3">
      <c r="B55" s="11"/>
      <c r="C55" s="335"/>
      <c r="D55" s="478">
        <f>(C55*$K$1)*$C$1</f>
        <v>0</v>
      </c>
      <c r="E55" s="99"/>
      <c r="F55" s="99"/>
      <c r="G55" s="136"/>
      <c r="H55" s="137"/>
      <c r="I55" s="91"/>
      <c r="J55" s="138"/>
    </row>
    <row r="56" spans="2:10" ht="14.25" customHeight="1" x14ac:dyDescent="0.3">
      <c r="B56" s="11"/>
      <c r="C56" s="335"/>
      <c r="D56" s="336"/>
      <c r="E56" s="99"/>
      <c r="F56" s="99"/>
      <c r="G56" s="136"/>
      <c r="H56" s="137"/>
      <c r="I56" s="91"/>
      <c r="J56" s="138"/>
    </row>
    <row r="57" spans="2:10" ht="17.75" customHeight="1" x14ac:dyDescent="0.3">
      <c r="B57" s="11"/>
      <c r="C57" s="335"/>
      <c r="D57" s="336"/>
      <c r="E57" s="99"/>
      <c r="F57" s="99"/>
      <c r="G57" s="136"/>
      <c r="H57" s="137"/>
      <c r="I57" s="91"/>
      <c r="J57" s="138"/>
    </row>
    <row r="58" spans="2:10" ht="12.75" customHeight="1" x14ac:dyDescent="0.25">
      <c r="B58" s="261"/>
    </row>
    <row r="59" spans="2:10" ht="14.25" customHeight="1" x14ac:dyDescent="0.25">
      <c r="B59" s="346"/>
      <c r="C59" s="347"/>
      <c r="D59" s="346"/>
      <c r="E59" s="346"/>
      <c r="F59" s="346"/>
      <c r="G59" s="346"/>
      <c r="H59" s="346"/>
      <c r="I59" s="346"/>
      <c r="J59" s="346"/>
    </row>
    <row r="60" spans="2:10" ht="14.25" customHeight="1" x14ac:dyDescent="0.25">
      <c r="B60" s="348"/>
      <c r="C60" s="348"/>
      <c r="D60" s="348"/>
      <c r="E60" s="332"/>
      <c r="F60" s="135"/>
      <c r="G60" s="136"/>
      <c r="H60" s="137"/>
      <c r="I60" s="91"/>
      <c r="J60" s="138"/>
    </row>
    <row r="61" spans="2:10" ht="14.25" customHeight="1" x14ac:dyDescent="0.25">
      <c r="B61" s="348"/>
      <c r="C61" s="348"/>
      <c r="D61" s="348"/>
      <c r="E61" s="332"/>
      <c r="F61" s="135"/>
      <c r="G61" s="136"/>
      <c r="H61" s="137"/>
      <c r="I61" s="91"/>
      <c r="J61" s="138"/>
    </row>
    <row r="62" spans="2:10" ht="12.75" customHeight="1" x14ac:dyDescent="0.25">
      <c r="B62" s="348"/>
      <c r="C62" s="348"/>
      <c r="D62" s="348"/>
      <c r="E62" s="332"/>
      <c r="F62" s="135"/>
      <c r="G62" s="136"/>
      <c r="H62" s="137"/>
      <c r="I62" s="91"/>
      <c r="J62" s="138"/>
    </row>
    <row r="63" spans="2:10" ht="18" customHeight="1" x14ac:dyDescent="0.25">
      <c r="B63" s="1465"/>
      <c r="C63" s="1465"/>
      <c r="D63" s="1465"/>
      <c r="E63" s="1465"/>
      <c r="F63" s="1465"/>
      <c r="G63" s="1465"/>
      <c r="H63" s="1465"/>
    </row>
    <row r="64" spans="2:10" ht="36" customHeight="1" x14ac:dyDescent="0.25">
      <c r="B64" s="1465"/>
      <c r="C64" s="1465"/>
      <c r="D64" s="1465"/>
      <c r="E64" s="1465"/>
      <c r="F64" s="1465"/>
      <c r="G64" s="1465"/>
      <c r="H64" s="1465"/>
    </row>
    <row r="65" spans="1:12" ht="14" customHeight="1" x14ac:dyDescent="0.25">
      <c r="A65" s="370"/>
      <c r="B65" s="346"/>
      <c r="C65" s="347"/>
      <c r="D65" s="346"/>
      <c r="E65" s="346"/>
      <c r="F65" s="346"/>
      <c r="G65" s="346"/>
      <c r="H65" s="346"/>
    </row>
    <row r="66" spans="1:12" ht="14.25" customHeight="1" x14ac:dyDescent="0.25">
      <c r="B66" s="348"/>
      <c r="C66" s="348"/>
      <c r="D66" s="886"/>
      <c r="E66" s="295"/>
      <c r="F66" s="135"/>
      <c r="G66" s="139"/>
      <c r="H66" s="137"/>
      <c r="I66" s="91"/>
      <c r="J66" s="136"/>
      <c r="K66" s="91"/>
      <c r="L66" s="136"/>
    </row>
    <row r="67" spans="1:12" ht="14.25" customHeight="1" x14ac:dyDescent="0.25">
      <c r="B67" s="348"/>
      <c r="C67" s="348"/>
      <c r="D67" s="348"/>
      <c r="E67" s="480"/>
      <c r="F67" s="135"/>
      <c r="G67" s="136"/>
      <c r="H67" s="137"/>
    </row>
    <row r="68" spans="1:12" ht="14.25" customHeight="1" x14ac:dyDescent="0.25">
      <c r="B68" s="348"/>
      <c r="C68" s="348"/>
      <c r="D68" s="348"/>
      <c r="E68" s="480"/>
      <c r="F68" s="135"/>
      <c r="G68" s="136"/>
      <c r="H68" s="137"/>
    </row>
    <row r="69" spans="1:12" ht="14.25" customHeight="1" x14ac:dyDescent="0.25">
      <c r="B69" s="348"/>
      <c r="C69" s="348"/>
      <c r="D69" s="348"/>
      <c r="E69" s="480"/>
      <c r="F69" s="135"/>
      <c r="G69" s="136"/>
      <c r="H69" s="137"/>
    </row>
    <row r="70" spans="1:12" ht="14.25" customHeight="1" x14ac:dyDescent="0.25">
      <c r="B70" s="348"/>
      <c r="C70" s="348"/>
      <c r="D70" s="348"/>
      <c r="E70" s="480"/>
      <c r="F70" s="135"/>
      <c r="G70" s="136"/>
      <c r="H70" s="137"/>
    </row>
    <row r="71" spans="1:12" ht="14.25" customHeight="1" x14ac:dyDescent="0.25">
      <c r="B71" s="348"/>
      <c r="C71" s="348"/>
      <c r="D71" s="348"/>
      <c r="E71" s="480"/>
      <c r="F71" s="135"/>
      <c r="G71" s="136"/>
      <c r="H71" s="137"/>
    </row>
    <row r="72" spans="1:12" ht="14.25" customHeight="1" x14ac:dyDescent="0.25">
      <c r="B72" s="348"/>
      <c r="C72" s="348"/>
      <c r="D72" s="348"/>
      <c r="E72" s="480"/>
      <c r="F72" s="135"/>
      <c r="G72" s="136"/>
      <c r="H72" s="137"/>
    </row>
    <row r="73" spans="1:12" ht="14.25" customHeight="1" x14ac:dyDescent="0.25">
      <c r="B73" s="348"/>
      <c r="C73" s="348"/>
      <c r="D73" s="348"/>
      <c r="E73" s="480"/>
      <c r="F73" s="135"/>
      <c r="G73" s="136"/>
      <c r="H73" s="137"/>
    </row>
    <row r="74" spans="1:12" ht="14.25" customHeight="1" x14ac:dyDescent="0.25">
      <c r="B74" s="348"/>
      <c r="C74" s="348"/>
      <c r="D74" s="348"/>
      <c r="E74" s="480"/>
      <c r="F74" s="135"/>
      <c r="G74" s="136"/>
      <c r="H74" s="137"/>
    </row>
    <row r="75" spans="1:12" ht="14.25" customHeight="1" x14ac:dyDescent="0.25">
      <c r="B75" s="348"/>
      <c r="C75" s="348"/>
      <c r="D75" s="348"/>
      <c r="E75" s="480"/>
      <c r="F75" s="135"/>
      <c r="G75" s="136"/>
      <c r="H75" s="137"/>
    </row>
    <row r="76" spans="1:12" ht="20.25" customHeight="1" x14ac:dyDescent="0.25">
      <c r="B76" s="348"/>
      <c r="C76" s="348"/>
      <c r="D76" s="348"/>
      <c r="E76" s="480"/>
      <c r="F76" s="135"/>
      <c r="G76" s="136"/>
      <c r="H76" s="137"/>
    </row>
    <row r="77" spans="1:12" ht="20" x14ac:dyDescent="0.4">
      <c r="B77" s="203"/>
      <c r="C77" s="481"/>
      <c r="D77" s="482"/>
      <c r="E77" s="483"/>
      <c r="F77" s="482"/>
      <c r="G77" s="484"/>
    </row>
    <row r="78" spans="1:12" ht="12.75" customHeight="1" x14ac:dyDescent="0.25"/>
    <row r="79" spans="1:12" ht="12.75" customHeight="1" x14ac:dyDescent="0.25">
      <c r="E79" s="99"/>
      <c r="F79" s="99"/>
    </row>
    <row r="80" spans="1:12" ht="12.75" customHeight="1" x14ac:dyDescent="0.25">
      <c r="E80" s="99"/>
      <c r="F80" s="99"/>
    </row>
    <row r="81" spans="2:6" ht="12.75" customHeight="1" x14ac:dyDescent="0.25">
      <c r="B81" s="99"/>
      <c r="E81" s="99"/>
      <c r="F81" s="99"/>
    </row>
    <row r="82" spans="2:6" ht="12.75" customHeight="1" x14ac:dyDescent="0.25">
      <c r="B82" s="99"/>
      <c r="E82" s="99"/>
      <c r="F82" s="99"/>
    </row>
    <row r="83" spans="2:6" ht="12.75" customHeight="1" x14ac:dyDescent="0.25">
      <c r="B83" s="99"/>
      <c r="E83" s="99"/>
      <c r="F83" s="99"/>
    </row>
    <row r="84" spans="2:6" ht="12.75" customHeight="1" x14ac:dyDescent="0.25">
      <c r="B84" s="99"/>
      <c r="E84" s="99"/>
      <c r="F84" s="99"/>
    </row>
    <row r="85" spans="2:6" ht="12.75" customHeight="1" x14ac:dyDescent="0.25">
      <c r="B85" s="99"/>
      <c r="E85" s="99"/>
      <c r="F85" s="99"/>
    </row>
    <row r="86" spans="2:6" ht="12.75" customHeight="1" x14ac:dyDescent="0.25">
      <c r="B86" s="99"/>
      <c r="E86" s="99"/>
      <c r="F86" s="99"/>
    </row>
    <row r="87" spans="2:6" ht="12.75" customHeight="1" x14ac:dyDescent="0.25">
      <c r="B87" s="99"/>
      <c r="E87" s="99"/>
      <c r="F87" s="99"/>
    </row>
    <row r="88" spans="2:6" ht="12.75" customHeight="1" x14ac:dyDescent="0.25">
      <c r="B88" s="99"/>
      <c r="E88" s="99"/>
      <c r="F88" s="99"/>
    </row>
    <row r="89" spans="2:6" ht="12.75" customHeight="1" x14ac:dyDescent="0.25">
      <c r="B89" s="99"/>
      <c r="E89" s="99"/>
      <c r="F89" s="99"/>
    </row>
    <row r="90" spans="2:6" ht="12.75" customHeight="1" x14ac:dyDescent="0.25">
      <c r="B90" s="99"/>
      <c r="E90" s="99"/>
      <c r="F90" s="99"/>
    </row>
    <row r="91" spans="2:6" ht="12.75" customHeight="1" x14ac:dyDescent="0.25">
      <c r="B91" s="99"/>
      <c r="E91" s="99"/>
      <c r="F91" s="99"/>
    </row>
    <row r="92" spans="2:6" ht="12.75" customHeight="1" x14ac:dyDescent="0.25">
      <c r="B92" s="99"/>
      <c r="E92" s="99"/>
      <c r="F92" s="99"/>
    </row>
    <row r="93" spans="2:6" ht="12.75" customHeight="1" x14ac:dyDescent="0.25">
      <c r="B93" s="99"/>
      <c r="E93" s="99"/>
      <c r="F93" s="99"/>
    </row>
    <row r="94" spans="2:6" ht="12.75" customHeight="1" x14ac:dyDescent="0.25">
      <c r="B94" s="99"/>
      <c r="E94" s="99"/>
      <c r="F94" s="99"/>
    </row>
    <row r="95" spans="2:6" ht="12.75" customHeight="1" x14ac:dyDescent="0.25">
      <c r="B95" s="99"/>
      <c r="E95" s="99"/>
      <c r="F95" s="99"/>
    </row>
    <row r="96" spans="2:6" ht="12.75" customHeight="1" x14ac:dyDescent="0.25">
      <c r="B96" s="99"/>
      <c r="E96" s="99"/>
      <c r="F96" s="99"/>
    </row>
    <row r="97" spans="2:6" ht="12.75" customHeight="1" x14ac:dyDescent="0.25">
      <c r="B97" s="99"/>
      <c r="E97" s="99"/>
      <c r="F97" s="99"/>
    </row>
    <row r="98" spans="2:6" ht="12.75" customHeight="1" x14ac:dyDescent="0.25">
      <c r="B98" s="99"/>
      <c r="E98" s="99"/>
      <c r="F98" s="99"/>
    </row>
    <row r="99" spans="2:6" ht="12.75" customHeight="1" x14ac:dyDescent="0.25">
      <c r="B99" s="99"/>
      <c r="E99" s="99"/>
      <c r="F99" s="99"/>
    </row>
    <row r="100" spans="2:6" ht="12.75" customHeight="1" x14ac:dyDescent="0.25">
      <c r="B100" s="99"/>
      <c r="E100" s="99"/>
      <c r="F100" s="99"/>
    </row>
    <row r="101" spans="2:6" ht="12.75" customHeight="1" x14ac:dyDescent="0.25">
      <c r="B101" s="99"/>
      <c r="E101" s="99"/>
      <c r="F101" s="99"/>
    </row>
    <row r="102" spans="2:6" ht="12.75" customHeight="1" x14ac:dyDescent="0.25">
      <c r="B102" s="99"/>
      <c r="E102" s="99"/>
      <c r="F102" s="99"/>
    </row>
    <row r="103" spans="2:6" ht="12.75" customHeight="1" x14ac:dyDescent="0.25">
      <c r="B103" s="99"/>
      <c r="E103" s="99"/>
      <c r="F103" s="99"/>
    </row>
    <row r="104" spans="2:6" ht="12.75" customHeight="1" x14ac:dyDescent="0.25">
      <c r="B104" s="99"/>
      <c r="E104" s="99"/>
      <c r="F104" s="99"/>
    </row>
    <row r="105" spans="2:6" ht="12.75" customHeight="1" x14ac:dyDescent="0.25">
      <c r="B105" s="99"/>
      <c r="E105" s="99"/>
      <c r="F105" s="99"/>
    </row>
    <row r="106" spans="2:6" ht="12.75" customHeight="1" x14ac:dyDescent="0.25">
      <c r="B106" s="99"/>
      <c r="E106" s="99"/>
      <c r="F106" s="99"/>
    </row>
    <row r="107" spans="2:6" ht="12.75" customHeight="1" x14ac:dyDescent="0.25">
      <c r="B107" s="99"/>
      <c r="E107" s="99"/>
      <c r="F107" s="99"/>
    </row>
    <row r="108" spans="2:6" ht="12.75" customHeight="1" x14ac:dyDescent="0.25">
      <c r="B108" s="99"/>
      <c r="E108" s="99"/>
      <c r="F108" s="99"/>
    </row>
    <row r="109" spans="2:6" ht="12.75" customHeight="1" x14ac:dyDescent="0.25">
      <c r="B109" s="99"/>
      <c r="E109" s="99"/>
      <c r="F109" s="99"/>
    </row>
    <row r="110" spans="2:6" ht="12.75" customHeight="1" x14ac:dyDescent="0.25">
      <c r="B110" s="99"/>
      <c r="E110" s="99"/>
      <c r="F110" s="99"/>
    </row>
    <row r="111" spans="2:6" ht="12.75" customHeight="1" x14ac:dyDescent="0.25">
      <c r="B111" s="99"/>
      <c r="E111" s="99"/>
      <c r="F111" s="99"/>
    </row>
    <row r="112" spans="2:6" ht="12.75" customHeight="1" x14ac:dyDescent="0.25">
      <c r="B112" s="99"/>
      <c r="E112" s="99"/>
      <c r="F112" s="99"/>
    </row>
    <row r="113" spans="2:6" ht="12.75" customHeight="1" x14ac:dyDescent="0.25">
      <c r="B113" s="99"/>
      <c r="E113" s="99"/>
      <c r="F113" s="99"/>
    </row>
    <row r="114" spans="2:6" ht="12.75" customHeight="1" x14ac:dyDescent="0.25">
      <c r="B114" s="99"/>
      <c r="E114" s="99"/>
      <c r="F114" s="99"/>
    </row>
    <row r="115" spans="2:6" ht="12.75" customHeight="1" x14ac:dyDescent="0.25">
      <c r="B115" s="99"/>
      <c r="E115" s="99"/>
      <c r="F115" s="99"/>
    </row>
    <row r="116" spans="2:6" ht="12.75" customHeight="1" x14ac:dyDescent="0.25">
      <c r="B116" s="99"/>
      <c r="E116" s="99"/>
      <c r="F116" s="99"/>
    </row>
    <row r="117" spans="2:6" ht="12.75" customHeight="1" x14ac:dyDescent="0.25">
      <c r="B117" s="99"/>
      <c r="E117" s="99"/>
      <c r="F117" s="99"/>
    </row>
    <row r="118" spans="2:6" ht="12.75" customHeight="1" x14ac:dyDescent="0.25">
      <c r="B118" s="99"/>
      <c r="E118" s="99"/>
      <c r="F118" s="99"/>
    </row>
    <row r="119" spans="2:6" ht="12.75" customHeight="1" x14ac:dyDescent="0.25">
      <c r="B119" s="99"/>
      <c r="E119" s="99"/>
      <c r="F119" s="99"/>
    </row>
    <row r="120" spans="2:6" ht="12.75" customHeight="1" x14ac:dyDescent="0.25">
      <c r="B120" s="99"/>
      <c r="E120" s="99"/>
      <c r="F120" s="99"/>
    </row>
    <row r="121" spans="2:6" ht="12.75" customHeight="1" x14ac:dyDescent="0.25">
      <c r="B121" s="99"/>
      <c r="E121" s="99"/>
      <c r="F121" s="99"/>
    </row>
    <row r="122" spans="2:6" ht="12.75" customHeight="1" x14ac:dyDescent="0.25">
      <c r="B122" s="99"/>
      <c r="E122" s="99"/>
      <c r="F122" s="99"/>
    </row>
    <row r="123" spans="2:6" ht="12.75" customHeight="1" x14ac:dyDescent="0.25">
      <c r="B123" s="99"/>
      <c r="E123" s="99"/>
      <c r="F123" s="99"/>
    </row>
    <row r="124" spans="2:6" ht="12.75" customHeight="1" x14ac:dyDescent="0.25">
      <c r="B124" s="99"/>
      <c r="E124" s="99"/>
      <c r="F124" s="99"/>
    </row>
    <row r="125" spans="2:6" ht="12.75" customHeight="1" x14ac:dyDescent="0.25">
      <c r="B125" s="99"/>
      <c r="E125" s="99"/>
      <c r="F125" s="99"/>
    </row>
    <row r="126" spans="2:6" ht="12.75" customHeight="1" x14ac:dyDescent="0.25">
      <c r="B126" s="99"/>
      <c r="E126" s="99"/>
      <c r="F126" s="99"/>
    </row>
    <row r="127" spans="2:6" ht="12.75" customHeight="1" x14ac:dyDescent="0.25">
      <c r="B127" s="99"/>
      <c r="E127" s="99"/>
      <c r="F127" s="99"/>
    </row>
    <row r="128" spans="2:6" ht="12.75" customHeight="1" x14ac:dyDescent="0.25">
      <c r="B128" s="99"/>
      <c r="E128" s="99"/>
      <c r="F128" s="99"/>
    </row>
    <row r="129" spans="2:6" ht="12.75" customHeight="1" x14ac:dyDescent="0.25">
      <c r="B129" s="99"/>
      <c r="E129" s="99"/>
      <c r="F129" s="99"/>
    </row>
    <row r="130" spans="2:6" ht="12.75" customHeight="1" x14ac:dyDescent="0.25">
      <c r="B130" s="99"/>
      <c r="E130" s="99"/>
      <c r="F130" s="99"/>
    </row>
    <row r="131" spans="2:6" ht="12.75" customHeight="1" x14ac:dyDescent="0.25">
      <c r="B131" s="99"/>
      <c r="E131" s="99"/>
      <c r="F131" s="99"/>
    </row>
    <row r="132" spans="2:6" ht="12.75" customHeight="1" x14ac:dyDescent="0.25">
      <c r="B132" s="99"/>
      <c r="E132" s="99"/>
      <c r="F132" s="99"/>
    </row>
    <row r="133" spans="2:6" ht="12.75" customHeight="1" x14ac:dyDescent="0.25">
      <c r="B133" s="99"/>
      <c r="E133" s="99"/>
      <c r="F133" s="99"/>
    </row>
    <row r="134" spans="2:6" ht="12.75" customHeight="1" x14ac:dyDescent="0.25">
      <c r="B134" s="99"/>
      <c r="E134" s="99"/>
      <c r="F134" s="99"/>
    </row>
    <row r="135" spans="2:6" ht="12.75" customHeight="1" x14ac:dyDescent="0.25">
      <c r="B135" s="99"/>
      <c r="E135" s="99"/>
      <c r="F135" s="99"/>
    </row>
    <row r="136" spans="2:6" ht="12.75" customHeight="1" x14ac:dyDescent="0.25">
      <c r="B136" s="99"/>
      <c r="E136" s="99"/>
      <c r="F136" s="99"/>
    </row>
    <row r="137" spans="2:6" ht="12.75" customHeight="1" x14ac:dyDescent="0.25">
      <c r="B137" s="99"/>
      <c r="E137" s="99"/>
      <c r="F137" s="99"/>
    </row>
    <row r="138" spans="2:6" ht="12.75" customHeight="1" x14ac:dyDescent="0.25">
      <c r="B138" s="99"/>
      <c r="E138" s="99"/>
      <c r="F138" s="99"/>
    </row>
    <row r="139" spans="2:6" ht="12.75" customHeight="1" x14ac:dyDescent="0.25">
      <c r="B139" s="99"/>
      <c r="E139" s="99"/>
      <c r="F139" s="99"/>
    </row>
    <row r="140" spans="2:6" ht="12.75" customHeight="1" x14ac:dyDescent="0.25">
      <c r="B140" s="99"/>
      <c r="E140" s="99"/>
      <c r="F140" s="99"/>
    </row>
    <row r="141" spans="2:6" ht="12.75" customHeight="1" x14ac:dyDescent="0.25">
      <c r="B141" s="99"/>
      <c r="E141" s="99"/>
      <c r="F141" s="99"/>
    </row>
    <row r="142" spans="2:6" ht="12.75" customHeight="1" x14ac:dyDescent="0.25">
      <c r="B142" s="99"/>
      <c r="E142" s="99"/>
      <c r="F142" s="99"/>
    </row>
    <row r="143" spans="2:6" ht="12.75" customHeight="1" x14ac:dyDescent="0.25">
      <c r="B143" s="99"/>
      <c r="E143" s="99"/>
      <c r="F143" s="99"/>
    </row>
    <row r="144" spans="2:6" ht="12.75" customHeight="1" x14ac:dyDescent="0.25">
      <c r="B144" s="99"/>
      <c r="E144" s="99"/>
      <c r="F144" s="99"/>
    </row>
    <row r="145" spans="2:6" ht="12.75" customHeight="1" x14ac:dyDescent="0.25">
      <c r="B145" s="99"/>
      <c r="E145" s="99"/>
      <c r="F145" s="99"/>
    </row>
    <row r="146" spans="2:6" ht="12.75" customHeight="1" x14ac:dyDescent="0.25">
      <c r="B146" s="99"/>
      <c r="E146" s="99"/>
      <c r="F146" s="99"/>
    </row>
    <row r="147" spans="2:6" ht="12.75" customHeight="1" x14ac:dyDescent="0.25">
      <c r="B147" s="99"/>
      <c r="E147" s="99"/>
      <c r="F147" s="99"/>
    </row>
    <row r="148" spans="2:6" ht="12.75" customHeight="1" x14ac:dyDescent="0.25">
      <c r="B148" s="99"/>
      <c r="E148" s="99"/>
      <c r="F148" s="99"/>
    </row>
    <row r="149" spans="2:6" ht="12.75" customHeight="1" x14ac:dyDescent="0.25">
      <c r="B149" s="99"/>
      <c r="E149" s="99"/>
      <c r="F149" s="99"/>
    </row>
    <row r="150" spans="2:6" ht="12.75" customHeight="1" x14ac:dyDescent="0.25">
      <c r="B150" s="99"/>
      <c r="E150" s="99"/>
      <c r="F150" s="99"/>
    </row>
    <row r="151" spans="2:6" ht="12.75" customHeight="1" x14ac:dyDescent="0.25">
      <c r="B151" s="99"/>
      <c r="E151" s="99"/>
      <c r="F151" s="99"/>
    </row>
    <row r="152" spans="2:6" ht="12.75" customHeight="1" x14ac:dyDescent="0.25">
      <c r="B152" s="99"/>
      <c r="E152" s="99"/>
      <c r="F152" s="99"/>
    </row>
    <row r="153" spans="2:6" ht="12.75" customHeight="1" x14ac:dyDescent="0.25">
      <c r="B153" s="99"/>
      <c r="E153" s="99"/>
      <c r="F153" s="99"/>
    </row>
    <row r="154" spans="2:6" ht="12.75" customHeight="1" x14ac:dyDescent="0.25">
      <c r="B154" s="99"/>
      <c r="E154" s="99"/>
      <c r="F154" s="99"/>
    </row>
    <row r="155" spans="2:6" ht="12.75" customHeight="1" x14ac:dyDescent="0.25">
      <c r="B155" s="99"/>
      <c r="E155" s="99"/>
      <c r="F155" s="99"/>
    </row>
    <row r="156" spans="2:6" ht="12.75" customHeight="1" x14ac:dyDescent="0.25">
      <c r="B156" s="99"/>
      <c r="E156" s="99"/>
      <c r="F156" s="99"/>
    </row>
    <row r="157" spans="2:6" ht="12.75" customHeight="1" x14ac:dyDescent="0.25">
      <c r="B157" s="99"/>
      <c r="E157" s="99"/>
      <c r="F157" s="99"/>
    </row>
    <row r="158" spans="2:6" ht="12.75" customHeight="1" x14ac:dyDescent="0.25">
      <c r="B158" s="99"/>
      <c r="E158" s="99"/>
      <c r="F158" s="99"/>
    </row>
    <row r="159" spans="2:6" ht="12.75" customHeight="1" x14ac:dyDescent="0.25">
      <c r="B159" s="99"/>
      <c r="E159" s="99"/>
      <c r="F159" s="99"/>
    </row>
    <row r="160" spans="2:6" ht="12.75" customHeight="1" x14ac:dyDescent="0.25">
      <c r="B160" s="99"/>
      <c r="E160" s="99"/>
      <c r="F160" s="99"/>
    </row>
    <row r="161" spans="2:6" ht="12.75" customHeight="1" x14ac:dyDescent="0.25">
      <c r="B161" s="99"/>
      <c r="E161" s="99"/>
      <c r="F161" s="99"/>
    </row>
    <row r="162" spans="2:6" ht="12.75" customHeight="1" x14ac:dyDescent="0.25">
      <c r="B162" s="99"/>
      <c r="E162" s="99"/>
      <c r="F162" s="99"/>
    </row>
    <row r="163" spans="2:6" ht="12.75" customHeight="1" x14ac:dyDescent="0.25">
      <c r="B163" s="99"/>
      <c r="E163" s="99"/>
      <c r="F163" s="99"/>
    </row>
    <row r="164" spans="2:6" ht="12.75" customHeight="1" x14ac:dyDescent="0.25">
      <c r="B164" s="99"/>
      <c r="E164" s="99"/>
      <c r="F164" s="99"/>
    </row>
    <row r="165" spans="2:6" ht="12.75" customHeight="1" x14ac:dyDescent="0.25">
      <c r="B165" s="99"/>
      <c r="E165" s="99"/>
      <c r="F165" s="99"/>
    </row>
    <row r="166" spans="2:6" ht="12.75" customHeight="1" x14ac:dyDescent="0.25">
      <c r="B166" s="99"/>
      <c r="E166" s="99"/>
      <c r="F166" s="99"/>
    </row>
    <row r="167" spans="2:6" ht="12.75" customHeight="1" x14ac:dyDescent="0.25">
      <c r="B167" s="99"/>
      <c r="E167" s="99"/>
      <c r="F167" s="99"/>
    </row>
    <row r="168" spans="2:6" ht="12.75" customHeight="1" x14ac:dyDescent="0.25">
      <c r="B168" s="99"/>
      <c r="E168" s="99"/>
      <c r="F168" s="99"/>
    </row>
    <row r="169" spans="2:6" ht="12.75" customHeight="1" x14ac:dyDescent="0.25">
      <c r="B169" s="99"/>
      <c r="E169" s="99"/>
      <c r="F169" s="99"/>
    </row>
    <row r="170" spans="2:6" ht="12.75" customHeight="1" x14ac:dyDescent="0.25">
      <c r="B170" s="99"/>
      <c r="E170" s="99"/>
      <c r="F170" s="99"/>
    </row>
    <row r="171" spans="2:6" ht="12.75" customHeight="1" x14ac:dyDescent="0.25">
      <c r="B171" s="99"/>
      <c r="E171" s="99"/>
      <c r="F171" s="99"/>
    </row>
    <row r="172" spans="2:6" ht="12.75" customHeight="1" x14ac:dyDescent="0.25">
      <c r="B172" s="99"/>
      <c r="E172" s="99"/>
      <c r="F172" s="99"/>
    </row>
    <row r="173" spans="2:6" ht="12.75" customHeight="1" x14ac:dyDescent="0.25">
      <c r="B173" s="99"/>
      <c r="E173" s="99"/>
      <c r="F173" s="99"/>
    </row>
    <row r="174" spans="2:6" ht="12.75" customHeight="1" x14ac:dyDescent="0.25">
      <c r="B174" s="99"/>
      <c r="E174" s="99"/>
      <c r="F174" s="99"/>
    </row>
    <row r="175" spans="2:6" ht="12.75" customHeight="1" x14ac:dyDescent="0.25">
      <c r="B175" s="99"/>
      <c r="E175" s="99"/>
      <c r="F175" s="99"/>
    </row>
    <row r="176" spans="2:6" ht="12.75" customHeight="1" x14ac:dyDescent="0.25">
      <c r="B176" s="99"/>
      <c r="E176" s="99"/>
      <c r="F176" s="99"/>
    </row>
    <row r="177" spans="2:6" ht="12.75" customHeight="1" x14ac:dyDescent="0.25">
      <c r="B177" s="99"/>
      <c r="E177" s="99"/>
      <c r="F177" s="99"/>
    </row>
    <row r="178" spans="2:6" ht="12.75" customHeight="1" x14ac:dyDescent="0.25">
      <c r="B178" s="99"/>
      <c r="E178" s="99"/>
      <c r="F178" s="99"/>
    </row>
    <row r="179" spans="2:6" ht="12.75" customHeight="1" x14ac:dyDescent="0.25">
      <c r="B179" s="99"/>
      <c r="E179" s="99"/>
      <c r="F179" s="99"/>
    </row>
    <row r="180" spans="2:6" ht="12.75" customHeight="1" x14ac:dyDescent="0.25">
      <c r="B180" s="99"/>
      <c r="E180" s="99"/>
      <c r="F180" s="99"/>
    </row>
    <row r="181" spans="2:6" ht="12.75" customHeight="1" x14ac:dyDescent="0.25">
      <c r="B181" s="99"/>
      <c r="E181" s="99"/>
      <c r="F181" s="99"/>
    </row>
    <row r="182" spans="2:6" ht="12.75" customHeight="1" x14ac:dyDescent="0.25">
      <c r="B182" s="99"/>
      <c r="E182" s="99"/>
      <c r="F182" s="99"/>
    </row>
    <row r="183" spans="2:6" ht="12.75" customHeight="1" x14ac:dyDescent="0.25">
      <c r="B183" s="99"/>
      <c r="E183" s="99"/>
      <c r="F183" s="99"/>
    </row>
    <row r="184" spans="2:6" ht="12.75" customHeight="1" x14ac:dyDescent="0.25">
      <c r="B184" s="99"/>
      <c r="E184" s="99"/>
      <c r="F184" s="99"/>
    </row>
    <row r="185" spans="2:6" ht="12.75" customHeight="1" x14ac:dyDescent="0.25">
      <c r="B185" s="99"/>
      <c r="E185" s="99"/>
      <c r="F185" s="99"/>
    </row>
    <row r="186" spans="2:6" ht="12.75" customHeight="1" x14ac:dyDescent="0.25">
      <c r="B186" s="99"/>
      <c r="E186" s="99"/>
      <c r="F186" s="99"/>
    </row>
    <row r="187" spans="2:6" ht="12.75" customHeight="1" x14ac:dyDescent="0.25">
      <c r="B187" s="99"/>
      <c r="E187" s="99"/>
      <c r="F187" s="99"/>
    </row>
    <row r="188" spans="2:6" ht="12.75" customHeight="1" x14ac:dyDescent="0.25">
      <c r="B188" s="99"/>
      <c r="E188" s="99"/>
      <c r="F188" s="99"/>
    </row>
    <row r="189" spans="2:6" ht="12.75" customHeight="1" x14ac:dyDescent="0.25">
      <c r="B189" s="99"/>
      <c r="E189" s="99"/>
      <c r="F189" s="99"/>
    </row>
    <row r="190" spans="2:6" ht="12.75" customHeight="1" x14ac:dyDescent="0.25">
      <c r="B190" s="99"/>
      <c r="E190" s="99"/>
      <c r="F190" s="99"/>
    </row>
    <row r="191" spans="2:6" ht="12.75" customHeight="1" x14ac:dyDescent="0.25">
      <c r="B191" s="99"/>
      <c r="E191" s="99"/>
      <c r="F191" s="99"/>
    </row>
    <row r="192" spans="2:6" ht="12.75" customHeight="1" x14ac:dyDescent="0.25">
      <c r="B192" s="99"/>
      <c r="E192" s="99"/>
      <c r="F192" s="99"/>
    </row>
    <row r="193" spans="2:6" ht="12.75" customHeight="1" x14ac:dyDescent="0.25">
      <c r="B193" s="99"/>
      <c r="E193" s="99"/>
      <c r="F193" s="99"/>
    </row>
    <row r="194" spans="2:6" ht="12.75" customHeight="1" x14ac:dyDescent="0.25">
      <c r="B194" s="99"/>
      <c r="E194" s="99"/>
      <c r="F194" s="99"/>
    </row>
    <row r="195" spans="2:6" ht="12.75" customHeight="1" x14ac:dyDescent="0.25">
      <c r="B195" s="99"/>
      <c r="E195" s="99"/>
      <c r="F195" s="99"/>
    </row>
    <row r="196" spans="2:6" ht="12.75" customHeight="1" x14ac:dyDescent="0.25">
      <c r="B196" s="99"/>
      <c r="E196" s="99"/>
      <c r="F196" s="99"/>
    </row>
    <row r="197" spans="2:6" ht="12.75" customHeight="1" x14ac:dyDescent="0.25">
      <c r="B197" s="99"/>
      <c r="E197" s="99"/>
      <c r="F197" s="99"/>
    </row>
    <row r="198" spans="2:6" ht="12.75" customHeight="1" x14ac:dyDescent="0.25">
      <c r="B198" s="99"/>
      <c r="E198" s="99"/>
      <c r="F198" s="99"/>
    </row>
    <row r="199" spans="2:6" ht="12.75" customHeight="1" x14ac:dyDescent="0.25">
      <c r="B199" s="99"/>
      <c r="E199" s="99"/>
      <c r="F199" s="99"/>
    </row>
    <row r="200" spans="2:6" ht="12.75" customHeight="1" x14ac:dyDescent="0.25">
      <c r="B200" s="99"/>
      <c r="E200" s="99"/>
      <c r="F200" s="99"/>
    </row>
    <row r="201" spans="2:6" ht="12.75" customHeight="1" x14ac:dyDescent="0.25">
      <c r="B201" s="99"/>
      <c r="E201" s="99"/>
      <c r="F201" s="99"/>
    </row>
    <row r="202" spans="2:6" ht="12.75" customHeight="1" x14ac:dyDescent="0.25">
      <c r="B202" s="99"/>
      <c r="E202" s="99"/>
      <c r="F202" s="99"/>
    </row>
    <row r="203" spans="2:6" ht="12.75" customHeight="1" x14ac:dyDescent="0.25">
      <c r="B203" s="99"/>
      <c r="E203" s="99"/>
      <c r="F203" s="99"/>
    </row>
    <row r="204" spans="2:6" ht="12.75" customHeight="1" x14ac:dyDescent="0.25">
      <c r="B204" s="99"/>
      <c r="E204" s="99"/>
      <c r="F204" s="99"/>
    </row>
    <row r="205" spans="2:6" ht="12.75" customHeight="1" x14ac:dyDescent="0.25">
      <c r="B205" s="99"/>
      <c r="E205" s="99"/>
      <c r="F205" s="99"/>
    </row>
    <row r="206" spans="2:6" ht="12.75" customHeight="1" x14ac:dyDescent="0.25">
      <c r="B206" s="99"/>
      <c r="E206" s="99"/>
      <c r="F206" s="99"/>
    </row>
    <row r="207" spans="2:6" ht="12.75" customHeight="1" x14ac:dyDescent="0.25">
      <c r="B207" s="99"/>
      <c r="E207" s="99"/>
      <c r="F207" s="99"/>
    </row>
    <row r="208" spans="2:6" ht="12.75" customHeight="1" x14ac:dyDescent="0.25">
      <c r="B208" s="99"/>
      <c r="E208" s="99"/>
      <c r="F208" s="99"/>
    </row>
    <row r="209" spans="2:6" ht="12.75" customHeight="1" x14ac:dyDescent="0.25">
      <c r="B209" s="99"/>
      <c r="E209" s="99"/>
      <c r="F209" s="99"/>
    </row>
    <row r="210" spans="2:6" ht="12.75" customHeight="1" x14ac:dyDescent="0.25">
      <c r="B210" s="99"/>
      <c r="E210" s="99"/>
      <c r="F210" s="99"/>
    </row>
    <row r="211" spans="2:6" ht="12.75" customHeight="1" x14ac:dyDescent="0.25">
      <c r="B211" s="99"/>
      <c r="E211" s="99"/>
      <c r="F211" s="99"/>
    </row>
    <row r="212" spans="2:6" ht="12.75" customHeight="1" x14ac:dyDescent="0.25">
      <c r="B212" s="99"/>
      <c r="E212" s="99"/>
      <c r="F212" s="99"/>
    </row>
    <row r="213" spans="2:6" ht="12.75" customHeight="1" x14ac:dyDescent="0.25">
      <c r="B213" s="99"/>
      <c r="E213" s="99"/>
      <c r="F213" s="99"/>
    </row>
    <row r="214" spans="2:6" ht="12.75" customHeight="1" x14ac:dyDescent="0.25">
      <c r="B214" s="99"/>
      <c r="E214" s="99"/>
      <c r="F214" s="99"/>
    </row>
    <row r="215" spans="2:6" ht="12.75" customHeight="1" x14ac:dyDescent="0.25">
      <c r="B215" s="99"/>
      <c r="E215" s="99"/>
      <c r="F215" s="99"/>
    </row>
    <row r="216" spans="2:6" ht="12.75" customHeight="1" x14ac:dyDescent="0.25">
      <c r="B216" s="99"/>
      <c r="E216" s="99"/>
      <c r="F216" s="99"/>
    </row>
    <row r="217" spans="2:6" ht="12.75" customHeight="1" x14ac:dyDescent="0.25">
      <c r="B217" s="99"/>
      <c r="E217" s="99"/>
      <c r="F217" s="99"/>
    </row>
    <row r="218" spans="2:6" ht="12.75" customHeight="1" x14ac:dyDescent="0.25">
      <c r="B218" s="99"/>
      <c r="E218" s="99"/>
      <c r="F218" s="99"/>
    </row>
    <row r="219" spans="2:6" ht="12.75" customHeight="1" x14ac:dyDescent="0.25">
      <c r="B219" s="99"/>
      <c r="E219" s="99"/>
      <c r="F219" s="99"/>
    </row>
    <row r="220" spans="2:6" ht="12.75" customHeight="1" x14ac:dyDescent="0.25">
      <c r="B220" s="99"/>
      <c r="E220" s="99"/>
      <c r="F220" s="99"/>
    </row>
    <row r="221" spans="2:6" ht="12.75" customHeight="1" x14ac:dyDescent="0.25">
      <c r="B221" s="99"/>
      <c r="E221" s="99"/>
      <c r="F221" s="99"/>
    </row>
    <row r="222" spans="2:6" ht="12.75" customHeight="1" x14ac:dyDescent="0.25">
      <c r="B222" s="99"/>
      <c r="E222" s="99"/>
      <c r="F222" s="99"/>
    </row>
    <row r="223" spans="2:6" ht="12.75" customHeight="1" x14ac:dyDescent="0.25">
      <c r="B223" s="99"/>
      <c r="E223" s="99"/>
      <c r="F223" s="99"/>
    </row>
    <row r="224" spans="2:6" ht="12.75" customHeight="1" x14ac:dyDescent="0.25">
      <c r="B224" s="99"/>
      <c r="E224" s="99"/>
      <c r="F224" s="99"/>
    </row>
    <row r="225" spans="2:6" ht="12.75" customHeight="1" x14ac:dyDescent="0.25">
      <c r="B225" s="99"/>
      <c r="E225" s="99"/>
      <c r="F225" s="99"/>
    </row>
    <row r="226" spans="2:6" ht="12.75" customHeight="1" x14ac:dyDescent="0.25">
      <c r="B226" s="99"/>
      <c r="E226" s="99"/>
      <c r="F226" s="99"/>
    </row>
    <row r="227" spans="2:6" ht="12.75" customHeight="1" x14ac:dyDescent="0.25">
      <c r="B227" s="99"/>
      <c r="E227" s="99"/>
      <c r="F227" s="99"/>
    </row>
    <row r="228" spans="2:6" ht="12.75" customHeight="1" x14ac:dyDescent="0.25">
      <c r="B228" s="99"/>
      <c r="E228" s="99"/>
      <c r="F228" s="99"/>
    </row>
    <row r="229" spans="2:6" ht="12.75" customHeight="1" x14ac:dyDescent="0.25">
      <c r="B229" s="99"/>
      <c r="E229" s="99"/>
      <c r="F229" s="99"/>
    </row>
    <row r="230" spans="2:6" ht="12.75" customHeight="1" x14ac:dyDescent="0.25">
      <c r="B230" s="99"/>
      <c r="E230" s="99"/>
      <c r="F230" s="99"/>
    </row>
    <row r="231" spans="2:6" ht="12.75" customHeight="1" x14ac:dyDescent="0.25">
      <c r="B231" s="99"/>
      <c r="E231" s="99"/>
      <c r="F231" s="99"/>
    </row>
    <row r="232" spans="2:6" ht="12.75" customHeight="1" x14ac:dyDescent="0.25">
      <c r="B232" s="99"/>
      <c r="E232" s="99"/>
      <c r="F232" s="99"/>
    </row>
    <row r="233" spans="2:6" ht="12.75" customHeight="1" x14ac:dyDescent="0.25">
      <c r="B233" s="99"/>
      <c r="E233" s="99"/>
      <c r="F233" s="99"/>
    </row>
    <row r="234" spans="2:6" ht="12.75" customHeight="1" x14ac:dyDescent="0.25">
      <c r="B234" s="99"/>
      <c r="E234" s="99"/>
      <c r="F234" s="99"/>
    </row>
    <row r="235" spans="2:6" ht="12.75" customHeight="1" x14ac:dyDescent="0.25">
      <c r="B235" s="99"/>
      <c r="E235" s="99"/>
      <c r="F235" s="99"/>
    </row>
    <row r="236" spans="2:6" ht="12.75" customHeight="1" x14ac:dyDescent="0.25">
      <c r="B236" s="99"/>
      <c r="E236" s="99"/>
      <c r="F236" s="99"/>
    </row>
    <row r="237" spans="2:6" ht="12.75" customHeight="1" x14ac:dyDescent="0.25">
      <c r="B237" s="99"/>
      <c r="E237" s="99"/>
      <c r="F237" s="99"/>
    </row>
    <row r="238" spans="2:6" ht="12.75" customHeight="1" x14ac:dyDescent="0.25">
      <c r="B238" s="99"/>
      <c r="E238" s="99"/>
      <c r="F238" s="99"/>
    </row>
    <row r="239" spans="2:6" ht="12.75" customHeight="1" x14ac:dyDescent="0.25">
      <c r="B239" s="99"/>
      <c r="E239" s="99"/>
      <c r="F239" s="99"/>
    </row>
    <row r="240" spans="2:6" ht="12.75" customHeight="1" x14ac:dyDescent="0.25">
      <c r="B240" s="99"/>
      <c r="E240" s="99"/>
      <c r="F240" s="99"/>
    </row>
    <row r="241" spans="2:6" ht="12.75" customHeight="1" x14ac:dyDescent="0.25">
      <c r="B241" s="99"/>
      <c r="E241" s="99"/>
      <c r="F241" s="99"/>
    </row>
    <row r="242" spans="2:6" ht="12.75" customHeight="1" x14ac:dyDescent="0.25">
      <c r="B242" s="99"/>
      <c r="E242" s="99"/>
      <c r="F242" s="99"/>
    </row>
    <row r="243" spans="2:6" ht="12.75" customHeight="1" x14ac:dyDescent="0.25">
      <c r="B243" s="99"/>
      <c r="E243" s="99"/>
      <c r="F243" s="99"/>
    </row>
    <row r="244" spans="2:6" ht="12.75" customHeight="1" x14ac:dyDescent="0.25">
      <c r="B244" s="99"/>
      <c r="E244" s="99"/>
      <c r="F244" s="99"/>
    </row>
    <row r="245" spans="2:6" ht="12.75" customHeight="1" x14ac:dyDescent="0.25">
      <c r="B245" s="99"/>
      <c r="E245" s="99"/>
      <c r="F245" s="99"/>
    </row>
    <row r="246" spans="2:6" ht="12.75" customHeight="1" x14ac:dyDescent="0.25">
      <c r="B246" s="99"/>
      <c r="E246" s="99"/>
      <c r="F246" s="99"/>
    </row>
    <row r="247" spans="2:6" ht="12.75" customHeight="1" x14ac:dyDescent="0.25">
      <c r="B247" s="99"/>
      <c r="E247" s="99"/>
      <c r="F247" s="99"/>
    </row>
    <row r="248" spans="2:6" ht="12.75" customHeight="1" x14ac:dyDescent="0.25">
      <c r="B248" s="99"/>
      <c r="E248" s="99"/>
      <c r="F248" s="99"/>
    </row>
    <row r="249" spans="2:6" ht="12.75" customHeight="1" x14ac:dyDescent="0.25">
      <c r="B249" s="99"/>
      <c r="E249" s="99"/>
      <c r="F249" s="99"/>
    </row>
    <row r="250" spans="2:6" ht="12.75" customHeight="1" x14ac:dyDescent="0.25">
      <c r="B250" s="99"/>
      <c r="E250" s="99"/>
      <c r="F250" s="99"/>
    </row>
    <row r="251" spans="2:6" ht="12.75" customHeight="1" x14ac:dyDescent="0.25">
      <c r="B251" s="99"/>
      <c r="E251" s="99"/>
      <c r="F251" s="99"/>
    </row>
    <row r="252" spans="2:6" ht="12.75" customHeight="1" x14ac:dyDescent="0.25">
      <c r="B252" s="99"/>
      <c r="E252" s="99"/>
      <c r="F252" s="99"/>
    </row>
    <row r="253" spans="2:6" ht="12.75" customHeight="1" x14ac:dyDescent="0.25">
      <c r="B253" s="99"/>
      <c r="E253" s="99"/>
      <c r="F253" s="99"/>
    </row>
    <row r="254" spans="2:6" ht="12.75" customHeight="1" x14ac:dyDescent="0.25">
      <c r="B254" s="99"/>
      <c r="E254" s="99"/>
      <c r="F254" s="99"/>
    </row>
    <row r="255" spans="2:6" ht="12.75" customHeight="1" x14ac:dyDescent="0.25">
      <c r="B255" s="99"/>
      <c r="E255" s="99"/>
      <c r="F255" s="99"/>
    </row>
    <row r="256" spans="2:6" ht="12.75" customHeight="1" x14ac:dyDescent="0.25">
      <c r="B256" s="99"/>
      <c r="E256" s="99"/>
      <c r="F256" s="99"/>
    </row>
    <row r="257" spans="2:6" ht="12.75" customHeight="1" x14ac:dyDescent="0.25">
      <c r="B257" s="99"/>
      <c r="E257" s="99"/>
      <c r="F257" s="99"/>
    </row>
    <row r="258" spans="2:6" ht="12.75" customHeight="1" x14ac:dyDescent="0.25">
      <c r="B258" s="99"/>
      <c r="E258" s="99"/>
      <c r="F258" s="99"/>
    </row>
    <row r="259" spans="2:6" ht="12.75" customHeight="1" x14ac:dyDescent="0.25">
      <c r="B259" s="99"/>
      <c r="E259" s="99"/>
      <c r="F259" s="99"/>
    </row>
    <row r="260" spans="2:6" ht="12.75" customHeight="1" x14ac:dyDescent="0.25">
      <c r="B260" s="99"/>
      <c r="E260" s="99"/>
      <c r="F260" s="99"/>
    </row>
    <row r="261" spans="2:6" ht="12.75" customHeight="1" x14ac:dyDescent="0.25">
      <c r="B261" s="99"/>
      <c r="E261" s="99"/>
      <c r="F261" s="99"/>
    </row>
    <row r="262" spans="2:6" ht="12.75" customHeight="1" x14ac:dyDescent="0.25">
      <c r="B262" s="99"/>
      <c r="E262" s="99"/>
      <c r="F262" s="99"/>
    </row>
    <row r="263" spans="2:6" ht="12.75" customHeight="1" x14ac:dyDescent="0.25">
      <c r="B263" s="99"/>
      <c r="E263" s="99"/>
      <c r="F263" s="99"/>
    </row>
    <row r="264" spans="2:6" ht="12.75" customHeight="1" x14ac:dyDescent="0.25">
      <c r="B264" s="99"/>
      <c r="E264" s="99"/>
      <c r="F264" s="99"/>
    </row>
    <row r="265" spans="2:6" ht="12.75" customHeight="1" x14ac:dyDescent="0.25">
      <c r="B265" s="99"/>
      <c r="E265" s="99"/>
      <c r="F265" s="99"/>
    </row>
    <row r="266" spans="2:6" ht="12.75" customHeight="1" x14ac:dyDescent="0.25">
      <c r="B266" s="99"/>
      <c r="E266" s="99"/>
      <c r="F266" s="99"/>
    </row>
    <row r="267" spans="2:6" ht="12.75" customHeight="1" x14ac:dyDescent="0.25">
      <c r="B267" s="99"/>
      <c r="E267" s="99"/>
      <c r="F267" s="99"/>
    </row>
    <row r="268" spans="2:6" ht="12.75" customHeight="1" x14ac:dyDescent="0.25">
      <c r="B268" s="99"/>
      <c r="E268" s="99"/>
      <c r="F268" s="99"/>
    </row>
    <row r="269" spans="2:6" ht="12.75" customHeight="1" x14ac:dyDescent="0.25">
      <c r="B269" s="99"/>
      <c r="E269" s="99"/>
      <c r="F269" s="99"/>
    </row>
    <row r="270" spans="2:6" ht="12.75" customHeight="1" x14ac:dyDescent="0.25">
      <c r="B270" s="99"/>
      <c r="E270" s="99"/>
      <c r="F270" s="99"/>
    </row>
    <row r="271" spans="2:6" ht="12.75" customHeight="1" x14ac:dyDescent="0.25">
      <c r="B271" s="99"/>
      <c r="E271" s="99"/>
      <c r="F271" s="99"/>
    </row>
    <row r="272" spans="2:6" ht="12.75" customHeight="1" x14ac:dyDescent="0.25">
      <c r="B272" s="99"/>
      <c r="E272" s="99"/>
      <c r="F272" s="99"/>
    </row>
    <row r="273" spans="2:6" ht="12.75" customHeight="1" x14ac:dyDescent="0.25">
      <c r="B273" s="99"/>
      <c r="E273" s="99"/>
      <c r="F273" s="99"/>
    </row>
    <row r="274" spans="2:6" ht="12.75" customHeight="1" x14ac:dyDescent="0.25">
      <c r="B274" s="99"/>
      <c r="E274" s="99"/>
      <c r="F274" s="99"/>
    </row>
    <row r="275" spans="2:6" ht="12.75" customHeight="1" x14ac:dyDescent="0.25">
      <c r="B275" s="99"/>
      <c r="E275" s="99"/>
      <c r="F275" s="99"/>
    </row>
    <row r="276" spans="2:6" ht="12.75" customHeight="1" x14ac:dyDescent="0.25">
      <c r="B276" s="99"/>
      <c r="E276" s="99"/>
      <c r="F276" s="99"/>
    </row>
    <row r="277" spans="2:6" ht="12.75" customHeight="1" x14ac:dyDescent="0.25">
      <c r="B277" s="99"/>
      <c r="E277" s="99"/>
      <c r="F277" s="99"/>
    </row>
    <row r="278" spans="2:6" ht="12.75" customHeight="1" x14ac:dyDescent="0.25">
      <c r="B278" s="99"/>
      <c r="E278" s="99"/>
      <c r="F278" s="99"/>
    </row>
    <row r="279" spans="2:6" ht="12.75" customHeight="1" x14ac:dyDescent="0.25">
      <c r="B279" s="99"/>
      <c r="E279" s="99"/>
      <c r="F279" s="99"/>
    </row>
    <row r="280" spans="2:6" ht="12.75" customHeight="1" x14ac:dyDescent="0.25">
      <c r="B280" s="99"/>
      <c r="E280" s="99"/>
      <c r="F280" s="99"/>
    </row>
    <row r="281" spans="2:6" ht="12.75" customHeight="1" x14ac:dyDescent="0.25">
      <c r="B281" s="99"/>
      <c r="E281" s="99"/>
      <c r="F281" s="99"/>
    </row>
    <row r="282" spans="2:6" ht="12.75" customHeight="1" x14ac:dyDescent="0.25">
      <c r="B282" s="99"/>
      <c r="E282" s="99"/>
      <c r="F282" s="99"/>
    </row>
    <row r="283" spans="2:6" ht="12.75" customHeight="1" x14ac:dyDescent="0.25">
      <c r="B283" s="99"/>
      <c r="E283" s="99"/>
      <c r="F283" s="99"/>
    </row>
    <row r="284" spans="2:6" ht="12.75" customHeight="1" x14ac:dyDescent="0.25">
      <c r="B284" s="99"/>
      <c r="E284" s="99"/>
      <c r="F284" s="99"/>
    </row>
    <row r="285" spans="2:6" ht="12.75" customHeight="1" x14ac:dyDescent="0.25">
      <c r="B285" s="99"/>
      <c r="E285" s="99"/>
      <c r="F285" s="99"/>
    </row>
    <row r="286" spans="2:6" ht="12.75" customHeight="1" x14ac:dyDescent="0.25">
      <c r="B286" s="99"/>
      <c r="E286" s="99"/>
      <c r="F286" s="99"/>
    </row>
    <row r="287" spans="2:6" ht="12.75" customHeight="1" x14ac:dyDescent="0.25">
      <c r="B287" s="99"/>
      <c r="E287" s="99"/>
      <c r="F287" s="99"/>
    </row>
    <row r="288" spans="2:6" ht="12.75" customHeight="1" x14ac:dyDescent="0.25">
      <c r="B288" s="99"/>
      <c r="E288" s="99"/>
      <c r="F288" s="99"/>
    </row>
    <row r="289" spans="2:6" ht="12.75" customHeight="1" x14ac:dyDescent="0.25">
      <c r="B289" s="99"/>
      <c r="E289" s="99"/>
      <c r="F289" s="99"/>
    </row>
    <row r="290" spans="2:6" ht="12.75" customHeight="1" x14ac:dyDescent="0.25">
      <c r="B290" s="99"/>
      <c r="E290" s="99"/>
      <c r="F290" s="99"/>
    </row>
    <row r="291" spans="2:6" ht="12.75" customHeight="1" x14ac:dyDescent="0.25">
      <c r="B291" s="99"/>
      <c r="E291" s="99"/>
      <c r="F291" s="99"/>
    </row>
    <row r="292" spans="2:6" ht="12.75" customHeight="1" x14ac:dyDescent="0.25">
      <c r="B292" s="99"/>
      <c r="E292" s="99"/>
      <c r="F292" s="99"/>
    </row>
    <row r="293" spans="2:6" ht="12.75" customHeight="1" x14ac:dyDescent="0.25">
      <c r="B293" s="99"/>
      <c r="E293" s="99"/>
      <c r="F293" s="99"/>
    </row>
    <row r="294" spans="2:6" ht="12.75" customHeight="1" x14ac:dyDescent="0.25">
      <c r="B294" s="99"/>
      <c r="E294" s="99"/>
      <c r="F294" s="99"/>
    </row>
    <row r="295" spans="2:6" ht="12.75" customHeight="1" x14ac:dyDescent="0.25">
      <c r="B295" s="99"/>
      <c r="E295" s="99"/>
      <c r="F295" s="99"/>
    </row>
    <row r="296" spans="2:6" ht="12.75" customHeight="1" x14ac:dyDescent="0.25">
      <c r="B296" s="99"/>
      <c r="E296" s="99"/>
      <c r="F296" s="99"/>
    </row>
    <row r="297" spans="2:6" ht="12.75" customHeight="1" x14ac:dyDescent="0.25">
      <c r="B297" s="99"/>
      <c r="E297" s="99"/>
      <c r="F297" s="99"/>
    </row>
    <row r="298" spans="2:6" ht="12.75" customHeight="1" x14ac:dyDescent="0.25">
      <c r="B298" s="99"/>
      <c r="E298" s="99"/>
      <c r="F298" s="99"/>
    </row>
    <row r="299" spans="2:6" ht="12.75" customHeight="1" x14ac:dyDescent="0.25">
      <c r="B299" s="99"/>
      <c r="E299" s="99"/>
      <c r="F299" s="99"/>
    </row>
    <row r="300" spans="2:6" ht="12.75" customHeight="1" x14ac:dyDescent="0.25">
      <c r="B300" s="99"/>
      <c r="E300" s="99"/>
      <c r="F300" s="99"/>
    </row>
    <row r="301" spans="2:6" ht="12.75" customHeight="1" x14ac:dyDescent="0.25">
      <c r="B301" s="99"/>
      <c r="E301" s="99"/>
      <c r="F301" s="99"/>
    </row>
    <row r="302" spans="2:6" ht="12.75" customHeight="1" x14ac:dyDescent="0.25">
      <c r="B302" s="99"/>
      <c r="E302" s="99"/>
      <c r="F302" s="99"/>
    </row>
    <row r="303" spans="2:6" ht="12.75" customHeight="1" x14ac:dyDescent="0.25">
      <c r="B303" s="99"/>
      <c r="E303" s="99"/>
      <c r="F303" s="99"/>
    </row>
    <row r="304" spans="2:6" ht="12.75" customHeight="1" x14ac:dyDescent="0.25">
      <c r="B304" s="99"/>
      <c r="E304" s="99"/>
      <c r="F304" s="99"/>
    </row>
    <row r="305" spans="2:6" ht="12.75" customHeight="1" x14ac:dyDescent="0.25">
      <c r="B305" s="99"/>
      <c r="E305" s="99"/>
      <c r="F305" s="99"/>
    </row>
    <row r="306" spans="2:6" ht="12.75" customHeight="1" x14ac:dyDescent="0.25">
      <c r="B306" s="99"/>
      <c r="E306" s="99"/>
      <c r="F306" s="99"/>
    </row>
    <row r="307" spans="2:6" ht="12.75" customHeight="1" x14ac:dyDescent="0.25">
      <c r="B307" s="99"/>
      <c r="E307" s="99"/>
      <c r="F307" s="99"/>
    </row>
    <row r="308" spans="2:6" ht="12.75" customHeight="1" x14ac:dyDescent="0.25">
      <c r="B308" s="99"/>
      <c r="E308" s="99"/>
      <c r="F308" s="99"/>
    </row>
    <row r="309" spans="2:6" ht="12.75" customHeight="1" x14ac:dyDescent="0.25">
      <c r="B309" s="99"/>
      <c r="E309" s="99"/>
      <c r="F309" s="99"/>
    </row>
    <row r="310" spans="2:6" ht="12.75" customHeight="1" x14ac:dyDescent="0.25">
      <c r="B310" s="99"/>
      <c r="E310" s="99"/>
      <c r="F310" s="99"/>
    </row>
    <row r="311" spans="2:6" ht="12.75" customHeight="1" x14ac:dyDescent="0.25">
      <c r="B311" s="99"/>
      <c r="E311" s="99"/>
      <c r="F311" s="99"/>
    </row>
    <row r="312" spans="2:6" ht="12.75" customHeight="1" x14ac:dyDescent="0.25">
      <c r="B312" s="99"/>
      <c r="E312" s="99"/>
      <c r="F312" s="99"/>
    </row>
    <row r="313" spans="2:6" ht="12.75" customHeight="1" x14ac:dyDescent="0.25">
      <c r="B313" s="99"/>
      <c r="E313" s="99"/>
      <c r="F313" s="99"/>
    </row>
    <row r="314" spans="2:6" ht="12.75" customHeight="1" x14ac:dyDescent="0.25">
      <c r="B314" s="99"/>
      <c r="E314" s="99"/>
      <c r="F314" s="99"/>
    </row>
    <row r="315" spans="2:6" ht="12.75" customHeight="1" x14ac:dyDescent="0.25">
      <c r="B315" s="99"/>
      <c r="E315" s="99"/>
      <c r="F315" s="99"/>
    </row>
    <row r="316" spans="2:6" ht="12.75" customHeight="1" x14ac:dyDescent="0.25">
      <c r="B316" s="99"/>
      <c r="E316" s="99"/>
      <c r="F316" s="99"/>
    </row>
    <row r="317" spans="2:6" ht="12.75" customHeight="1" x14ac:dyDescent="0.25">
      <c r="B317" s="99"/>
      <c r="E317" s="99"/>
      <c r="F317" s="99"/>
    </row>
    <row r="318" spans="2:6" ht="12.75" customHeight="1" x14ac:dyDescent="0.25">
      <c r="B318" s="99"/>
      <c r="E318" s="99"/>
      <c r="F318" s="99"/>
    </row>
    <row r="319" spans="2:6" ht="12.75" customHeight="1" x14ac:dyDescent="0.25">
      <c r="B319" s="99"/>
      <c r="E319" s="99"/>
      <c r="F319" s="99"/>
    </row>
    <row r="320" spans="2:6" ht="12.75" customHeight="1" x14ac:dyDescent="0.25">
      <c r="B320" s="99"/>
      <c r="E320" s="99"/>
      <c r="F320" s="99"/>
    </row>
    <row r="321" spans="2:6" ht="12.75" customHeight="1" x14ac:dyDescent="0.25">
      <c r="B321" s="99"/>
      <c r="E321" s="99"/>
      <c r="F321" s="99"/>
    </row>
    <row r="322" spans="2:6" ht="12.75" customHeight="1" x14ac:dyDescent="0.25">
      <c r="B322" s="99"/>
      <c r="E322" s="99"/>
      <c r="F322" s="99"/>
    </row>
    <row r="323" spans="2:6" ht="12.75" customHeight="1" x14ac:dyDescent="0.25">
      <c r="B323" s="99"/>
      <c r="E323" s="99"/>
      <c r="F323" s="99"/>
    </row>
    <row r="324" spans="2:6" ht="12.75" customHeight="1" x14ac:dyDescent="0.25">
      <c r="B324" s="99"/>
      <c r="E324" s="99"/>
      <c r="F324" s="99"/>
    </row>
    <row r="325" spans="2:6" ht="12.75" customHeight="1" x14ac:dyDescent="0.25">
      <c r="B325" s="99"/>
      <c r="E325" s="99"/>
      <c r="F325" s="99"/>
    </row>
    <row r="326" spans="2:6" ht="12.75" customHeight="1" x14ac:dyDescent="0.25">
      <c r="B326" s="99"/>
      <c r="E326" s="99"/>
      <c r="F326" s="99"/>
    </row>
    <row r="327" spans="2:6" ht="12.75" customHeight="1" x14ac:dyDescent="0.25">
      <c r="B327" s="99"/>
      <c r="E327" s="99"/>
      <c r="F327" s="99"/>
    </row>
    <row r="328" spans="2:6" ht="12.75" customHeight="1" x14ac:dyDescent="0.25">
      <c r="B328" s="99"/>
      <c r="E328" s="99"/>
      <c r="F328" s="99"/>
    </row>
    <row r="329" spans="2:6" ht="12.75" customHeight="1" x14ac:dyDescent="0.25">
      <c r="B329" s="99"/>
      <c r="E329" s="99"/>
      <c r="F329" s="99"/>
    </row>
    <row r="330" spans="2:6" ht="12.75" customHeight="1" x14ac:dyDescent="0.25">
      <c r="B330" s="99"/>
      <c r="E330" s="99"/>
      <c r="F330" s="99"/>
    </row>
    <row r="331" spans="2:6" ht="12.75" customHeight="1" x14ac:dyDescent="0.25">
      <c r="B331" s="99"/>
      <c r="E331" s="99"/>
      <c r="F331" s="99"/>
    </row>
    <row r="332" spans="2:6" ht="12.75" customHeight="1" x14ac:dyDescent="0.25">
      <c r="B332" s="99"/>
      <c r="E332" s="99"/>
      <c r="F332" s="99"/>
    </row>
    <row r="333" spans="2:6" ht="12.75" customHeight="1" x14ac:dyDescent="0.25">
      <c r="B333" s="99"/>
      <c r="E333" s="99"/>
      <c r="F333" s="99"/>
    </row>
    <row r="334" spans="2:6" ht="12.75" customHeight="1" x14ac:dyDescent="0.25">
      <c r="B334" s="99"/>
      <c r="E334" s="99"/>
      <c r="F334" s="99"/>
    </row>
    <row r="335" spans="2:6" ht="12.75" customHeight="1" x14ac:dyDescent="0.25">
      <c r="B335" s="99"/>
      <c r="E335" s="99"/>
      <c r="F335" s="99"/>
    </row>
    <row r="336" spans="2:6" ht="12.75" customHeight="1" x14ac:dyDescent="0.25">
      <c r="B336" s="99"/>
      <c r="E336" s="99"/>
      <c r="F336" s="99"/>
    </row>
    <row r="337" spans="2:6" ht="12.75" customHeight="1" x14ac:dyDescent="0.25">
      <c r="B337" s="99"/>
      <c r="E337" s="99"/>
      <c r="F337" s="99"/>
    </row>
    <row r="338" spans="2:6" ht="12.75" customHeight="1" x14ac:dyDescent="0.25">
      <c r="B338" s="99"/>
      <c r="E338" s="99"/>
      <c r="F338" s="99"/>
    </row>
    <row r="339" spans="2:6" ht="12.75" customHeight="1" x14ac:dyDescent="0.25">
      <c r="B339" s="99"/>
      <c r="E339" s="99"/>
      <c r="F339" s="99"/>
    </row>
    <row r="340" spans="2:6" ht="12.75" customHeight="1" x14ac:dyDescent="0.25">
      <c r="B340" s="99"/>
      <c r="E340" s="99"/>
      <c r="F340" s="99"/>
    </row>
    <row r="341" spans="2:6" ht="12.75" customHeight="1" x14ac:dyDescent="0.25">
      <c r="B341" s="99"/>
      <c r="E341" s="99"/>
      <c r="F341" s="99"/>
    </row>
    <row r="342" spans="2:6" ht="12.75" customHeight="1" x14ac:dyDescent="0.25">
      <c r="B342" s="99"/>
      <c r="E342" s="99"/>
      <c r="F342" s="99"/>
    </row>
    <row r="343" spans="2:6" ht="12.75" customHeight="1" x14ac:dyDescent="0.25">
      <c r="B343" s="99"/>
      <c r="E343" s="99"/>
      <c r="F343" s="99"/>
    </row>
    <row r="344" spans="2:6" ht="12.75" customHeight="1" x14ac:dyDescent="0.25">
      <c r="B344" s="99"/>
      <c r="E344" s="99"/>
      <c r="F344" s="99"/>
    </row>
    <row r="345" spans="2:6" ht="12.75" customHeight="1" x14ac:dyDescent="0.25">
      <c r="B345" s="99"/>
      <c r="E345" s="99"/>
      <c r="F345" s="99"/>
    </row>
    <row r="346" spans="2:6" ht="12.75" customHeight="1" x14ac:dyDescent="0.25">
      <c r="B346" s="99"/>
      <c r="E346" s="99"/>
      <c r="F346" s="99"/>
    </row>
    <row r="347" spans="2:6" ht="12.75" customHeight="1" x14ac:dyDescent="0.25">
      <c r="B347" s="99"/>
      <c r="E347" s="99"/>
      <c r="F347" s="99"/>
    </row>
    <row r="348" spans="2:6" ht="12.75" customHeight="1" x14ac:dyDescent="0.25">
      <c r="B348" s="99"/>
      <c r="E348" s="99"/>
      <c r="F348" s="99"/>
    </row>
    <row r="349" spans="2:6" ht="12.75" customHeight="1" x14ac:dyDescent="0.25">
      <c r="B349" s="99"/>
      <c r="E349" s="99"/>
      <c r="F349" s="99"/>
    </row>
    <row r="350" spans="2:6" ht="12.75" customHeight="1" x14ac:dyDescent="0.25">
      <c r="B350" s="99"/>
      <c r="E350" s="99"/>
      <c r="F350" s="99"/>
    </row>
    <row r="351" spans="2:6" ht="12.75" customHeight="1" x14ac:dyDescent="0.25">
      <c r="B351" s="99"/>
      <c r="E351" s="99"/>
      <c r="F351" s="99"/>
    </row>
    <row r="352" spans="2:6" ht="12.75" customHeight="1" x14ac:dyDescent="0.25">
      <c r="B352" s="99"/>
      <c r="E352" s="99"/>
      <c r="F352" s="99"/>
    </row>
    <row r="353" spans="2:6" ht="12.75" customHeight="1" x14ac:dyDescent="0.25">
      <c r="B353" s="99"/>
      <c r="E353" s="99"/>
      <c r="F353" s="99"/>
    </row>
    <row r="354" spans="2:6" ht="12.75" customHeight="1" x14ac:dyDescent="0.25">
      <c r="B354" s="99"/>
      <c r="E354" s="99"/>
      <c r="F354" s="99"/>
    </row>
    <row r="355" spans="2:6" ht="12.75" customHeight="1" x14ac:dyDescent="0.25">
      <c r="B355" s="99"/>
      <c r="E355" s="99"/>
      <c r="F355" s="99"/>
    </row>
    <row r="356" spans="2:6" ht="12.75" customHeight="1" x14ac:dyDescent="0.25">
      <c r="B356" s="99"/>
      <c r="E356" s="99"/>
      <c r="F356" s="99"/>
    </row>
    <row r="357" spans="2:6" ht="12.75" customHeight="1" x14ac:dyDescent="0.25">
      <c r="B357" s="99"/>
      <c r="E357" s="99"/>
      <c r="F357" s="99"/>
    </row>
    <row r="358" spans="2:6" ht="12.75" customHeight="1" x14ac:dyDescent="0.25">
      <c r="B358" s="99"/>
      <c r="E358" s="99"/>
      <c r="F358" s="99"/>
    </row>
    <row r="359" spans="2:6" ht="12.75" customHeight="1" x14ac:dyDescent="0.25">
      <c r="B359" s="99"/>
      <c r="E359" s="99"/>
      <c r="F359" s="99"/>
    </row>
    <row r="360" spans="2:6" ht="12.75" customHeight="1" x14ac:dyDescent="0.25">
      <c r="B360" s="99"/>
      <c r="E360" s="99"/>
      <c r="F360" s="99"/>
    </row>
    <row r="361" spans="2:6" ht="12.75" customHeight="1" x14ac:dyDescent="0.25">
      <c r="B361" s="99"/>
      <c r="E361" s="99"/>
      <c r="F361" s="99"/>
    </row>
    <row r="362" spans="2:6" ht="12.75" customHeight="1" x14ac:dyDescent="0.25">
      <c r="B362" s="99"/>
      <c r="E362" s="99"/>
      <c r="F362" s="99"/>
    </row>
    <row r="363" spans="2:6" ht="12.75" customHeight="1" x14ac:dyDescent="0.25">
      <c r="B363" s="99"/>
      <c r="E363" s="99"/>
      <c r="F363" s="99"/>
    </row>
    <row r="364" spans="2:6" ht="12.75" customHeight="1" x14ac:dyDescent="0.25">
      <c r="B364" s="99"/>
      <c r="E364" s="99"/>
      <c r="F364" s="99"/>
    </row>
    <row r="365" spans="2:6" ht="12.75" customHeight="1" x14ac:dyDescent="0.25">
      <c r="B365" s="99"/>
      <c r="E365" s="99"/>
      <c r="F365" s="99"/>
    </row>
    <row r="366" spans="2:6" ht="12.75" customHeight="1" x14ac:dyDescent="0.25">
      <c r="B366" s="99"/>
      <c r="E366" s="99"/>
      <c r="F366" s="99"/>
    </row>
    <row r="367" spans="2:6" ht="12.75" customHeight="1" x14ac:dyDescent="0.25">
      <c r="B367" s="99"/>
      <c r="E367" s="99"/>
      <c r="F367" s="99"/>
    </row>
    <row r="368" spans="2:6" ht="12.75" customHeight="1" x14ac:dyDescent="0.25">
      <c r="B368" s="99"/>
      <c r="E368" s="99"/>
      <c r="F368" s="99"/>
    </row>
    <row r="369" spans="2:6" ht="12.75" customHeight="1" x14ac:dyDescent="0.25">
      <c r="B369" s="99"/>
      <c r="E369" s="99"/>
      <c r="F369" s="99"/>
    </row>
    <row r="370" spans="2:6" ht="12.75" customHeight="1" x14ac:dyDescent="0.25">
      <c r="B370" s="99"/>
      <c r="E370" s="99"/>
      <c r="F370" s="99"/>
    </row>
    <row r="371" spans="2:6" ht="12.75" customHeight="1" x14ac:dyDescent="0.25">
      <c r="B371" s="99"/>
      <c r="E371" s="99"/>
      <c r="F371" s="99"/>
    </row>
    <row r="372" spans="2:6" ht="12.75" customHeight="1" x14ac:dyDescent="0.25">
      <c r="B372" s="99"/>
      <c r="E372" s="99"/>
      <c r="F372" s="99"/>
    </row>
    <row r="373" spans="2:6" ht="12.75" customHeight="1" x14ac:dyDescent="0.25">
      <c r="B373" s="99"/>
      <c r="E373" s="99"/>
      <c r="F373" s="99"/>
    </row>
    <row r="374" spans="2:6" ht="12.75" customHeight="1" x14ac:dyDescent="0.25">
      <c r="B374" s="99"/>
      <c r="E374" s="99"/>
      <c r="F374" s="99"/>
    </row>
    <row r="375" spans="2:6" ht="12.75" customHeight="1" x14ac:dyDescent="0.25">
      <c r="B375" s="99"/>
      <c r="E375" s="99"/>
      <c r="F375" s="99"/>
    </row>
    <row r="376" spans="2:6" ht="12.75" customHeight="1" x14ac:dyDescent="0.25">
      <c r="B376" s="99"/>
      <c r="E376" s="99"/>
      <c r="F376" s="99"/>
    </row>
    <row r="377" spans="2:6" ht="12.75" customHeight="1" x14ac:dyDescent="0.25">
      <c r="B377" s="99"/>
      <c r="E377" s="99"/>
      <c r="F377" s="99"/>
    </row>
    <row r="378" spans="2:6" ht="12.75" customHeight="1" x14ac:dyDescent="0.25">
      <c r="B378" s="99"/>
      <c r="E378" s="99"/>
      <c r="F378" s="99"/>
    </row>
    <row r="379" spans="2:6" ht="12.75" customHeight="1" x14ac:dyDescent="0.25">
      <c r="B379" s="99"/>
      <c r="E379" s="99"/>
      <c r="F379" s="99"/>
    </row>
    <row r="380" spans="2:6" ht="12.75" customHeight="1" x14ac:dyDescent="0.25">
      <c r="B380" s="99"/>
      <c r="E380" s="99"/>
      <c r="F380" s="99"/>
    </row>
    <row r="381" spans="2:6" ht="12.75" customHeight="1" x14ac:dyDescent="0.25">
      <c r="B381" s="99"/>
      <c r="E381" s="99"/>
      <c r="F381" s="99"/>
    </row>
    <row r="382" spans="2:6" ht="12.75" customHeight="1" x14ac:dyDescent="0.25">
      <c r="B382" s="99"/>
      <c r="E382" s="99"/>
      <c r="F382" s="99"/>
    </row>
    <row r="383" spans="2:6" ht="12.75" customHeight="1" x14ac:dyDescent="0.25">
      <c r="B383" s="99"/>
      <c r="E383" s="99"/>
      <c r="F383" s="99"/>
    </row>
    <row r="384" spans="2:6" ht="12.75" customHeight="1" x14ac:dyDescent="0.25">
      <c r="B384" s="99"/>
      <c r="E384" s="99"/>
      <c r="F384" s="99"/>
    </row>
    <row r="385" spans="2:6" ht="12.75" customHeight="1" x14ac:dyDescent="0.25">
      <c r="B385" s="99"/>
      <c r="E385" s="99"/>
      <c r="F385" s="99"/>
    </row>
    <row r="386" spans="2:6" ht="12.75" customHeight="1" x14ac:dyDescent="0.25">
      <c r="B386" s="99"/>
      <c r="E386" s="99"/>
      <c r="F386" s="99"/>
    </row>
    <row r="387" spans="2:6" ht="12.75" customHeight="1" x14ac:dyDescent="0.25">
      <c r="B387" s="99"/>
      <c r="E387" s="99"/>
      <c r="F387" s="99"/>
    </row>
    <row r="388" spans="2:6" ht="12.75" customHeight="1" x14ac:dyDescent="0.25">
      <c r="B388" s="99"/>
      <c r="E388" s="99"/>
      <c r="F388" s="99"/>
    </row>
    <row r="389" spans="2:6" ht="12.75" customHeight="1" x14ac:dyDescent="0.25">
      <c r="B389" s="99"/>
      <c r="E389" s="99"/>
      <c r="F389" s="99"/>
    </row>
    <row r="390" spans="2:6" ht="12.75" customHeight="1" x14ac:dyDescent="0.25">
      <c r="B390" s="99"/>
      <c r="E390" s="99"/>
      <c r="F390" s="99"/>
    </row>
    <row r="391" spans="2:6" ht="12.75" customHeight="1" x14ac:dyDescent="0.25">
      <c r="B391" s="99"/>
      <c r="E391" s="99"/>
      <c r="F391" s="99"/>
    </row>
    <row r="392" spans="2:6" ht="12.75" customHeight="1" x14ac:dyDescent="0.25">
      <c r="B392" s="99"/>
      <c r="E392" s="99"/>
      <c r="F392" s="99"/>
    </row>
    <row r="393" spans="2:6" ht="12.75" customHeight="1" x14ac:dyDescent="0.25">
      <c r="B393" s="99"/>
      <c r="E393" s="99"/>
      <c r="F393" s="99"/>
    </row>
    <row r="394" spans="2:6" ht="12.75" customHeight="1" x14ac:dyDescent="0.25">
      <c r="B394" s="99"/>
      <c r="E394" s="99"/>
      <c r="F394" s="99"/>
    </row>
    <row r="395" spans="2:6" ht="12.75" customHeight="1" x14ac:dyDescent="0.25">
      <c r="B395" s="99"/>
      <c r="E395" s="99"/>
      <c r="F395" s="99"/>
    </row>
    <row r="396" spans="2:6" ht="12.75" customHeight="1" x14ac:dyDescent="0.25">
      <c r="B396" s="99"/>
      <c r="E396" s="99"/>
      <c r="F396" s="99"/>
    </row>
    <row r="397" spans="2:6" ht="12.75" customHeight="1" x14ac:dyDescent="0.25">
      <c r="B397" s="99"/>
      <c r="E397" s="99"/>
      <c r="F397" s="99"/>
    </row>
    <row r="398" spans="2:6" ht="12.75" customHeight="1" x14ac:dyDescent="0.25">
      <c r="B398" s="99"/>
      <c r="E398" s="99"/>
      <c r="F398" s="99"/>
    </row>
    <row r="399" spans="2:6" ht="12.75" customHeight="1" x14ac:dyDescent="0.25">
      <c r="B399" s="99"/>
      <c r="E399" s="99"/>
      <c r="F399" s="99"/>
    </row>
    <row r="400" spans="2:6" ht="12.75" customHeight="1" x14ac:dyDescent="0.25">
      <c r="B400" s="99"/>
      <c r="E400" s="99"/>
      <c r="F400" s="99"/>
    </row>
    <row r="401" spans="2:6" ht="12.75" customHeight="1" x14ac:dyDescent="0.25">
      <c r="B401" s="99"/>
      <c r="E401" s="99"/>
      <c r="F401" s="99"/>
    </row>
    <row r="402" spans="2:6" ht="12.75" customHeight="1" x14ac:dyDescent="0.25">
      <c r="B402" s="99"/>
      <c r="E402" s="99"/>
      <c r="F402" s="99"/>
    </row>
    <row r="403" spans="2:6" ht="12.75" customHeight="1" x14ac:dyDescent="0.25">
      <c r="B403" s="99"/>
      <c r="E403" s="99"/>
      <c r="F403" s="99"/>
    </row>
    <row r="404" spans="2:6" ht="12.75" customHeight="1" x14ac:dyDescent="0.25">
      <c r="B404" s="99"/>
      <c r="E404" s="99"/>
      <c r="F404" s="99"/>
    </row>
    <row r="405" spans="2:6" ht="12.75" customHeight="1" x14ac:dyDescent="0.25">
      <c r="B405" s="99"/>
      <c r="E405" s="99"/>
      <c r="F405" s="99"/>
    </row>
    <row r="406" spans="2:6" ht="12.75" customHeight="1" x14ac:dyDescent="0.25">
      <c r="B406" s="99"/>
      <c r="E406" s="99"/>
      <c r="F406" s="99"/>
    </row>
    <row r="407" spans="2:6" ht="12.75" customHeight="1" x14ac:dyDescent="0.25">
      <c r="B407" s="99"/>
      <c r="E407" s="99"/>
      <c r="F407" s="99"/>
    </row>
    <row r="408" spans="2:6" ht="12.75" customHeight="1" x14ac:dyDescent="0.25">
      <c r="B408" s="99"/>
      <c r="E408" s="99"/>
      <c r="F408" s="99"/>
    </row>
    <row r="409" spans="2:6" ht="12.75" customHeight="1" x14ac:dyDescent="0.25">
      <c r="B409" s="99"/>
      <c r="E409" s="99"/>
      <c r="F409" s="99"/>
    </row>
    <row r="410" spans="2:6" ht="12.75" customHeight="1" x14ac:dyDescent="0.25">
      <c r="B410" s="99"/>
      <c r="E410" s="99"/>
      <c r="F410" s="99"/>
    </row>
    <row r="411" spans="2:6" ht="12.75" customHeight="1" x14ac:dyDescent="0.25">
      <c r="B411" s="99"/>
      <c r="E411" s="99"/>
      <c r="F411" s="99"/>
    </row>
    <row r="412" spans="2:6" ht="12.75" customHeight="1" x14ac:dyDescent="0.25">
      <c r="B412" s="99"/>
      <c r="E412" s="99"/>
      <c r="F412" s="99"/>
    </row>
    <row r="413" spans="2:6" ht="12.75" customHeight="1" x14ac:dyDescent="0.25">
      <c r="B413" s="99"/>
      <c r="E413" s="99"/>
      <c r="F413" s="99"/>
    </row>
    <row r="414" spans="2:6" ht="12.75" customHeight="1" x14ac:dyDescent="0.25">
      <c r="B414" s="99"/>
      <c r="E414" s="99"/>
      <c r="F414" s="99"/>
    </row>
    <row r="415" spans="2:6" ht="12.75" customHeight="1" x14ac:dyDescent="0.25">
      <c r="B415" s="99"/>
      <c r="E415" s="99"/>
      <c r="F415" s="99"/>
    </row>
    <row r="416" spans="2:6" ht="12.75" customHeight="1" x14ac:dyDescent="0.25">
      <c r="B416" s="99"/>
      <c r="E416" s="99"/>
      <c r="F416" s="99"/>
    </row>
    <row r="417" spans="2:6" ht="12.75" customHeight="1" x14ac:dyDescent="0.25">
      <c r="B417" s="99"/>
      <c r="E417" s="99"/>
      <c r="F417" s="99"/>
    </row>
    <row r="418" spans="2:6" ht="12.75" customHeight="1" x14ac:dyDescent="0.25">
      <c r="B418" s="99"/>
      <c r="E418" s="99"/>
      <c r="F418" s="99"/>
    </row>
    <row r="419" spans="2:6" ht="12.75" customHeight="1" x14ac:dyDescent="0.25">
      <c r="B419" s="99"/>
      <c r="E419" s="99"/>
      <c r="F419" s="99"/>
    </row>
    <row r="420" spans="2:6" ht="12.75" customHeight="1" x14ac:dyDescent="0.25">
      <c r="B420" s="99"/>
      <c r="E420" s="99"/>
      <c r="F420" s="99"/>
    </row>
    <row r="421" spans="2:6" ht="12.75" customHeight="1" x14ac:dyDescent="0.25">
      <c r="B421" s="99"/>
      <c r="E421" s="99"/>
      <c r="F421" s="99"/>
    </row>
    <row r="422" spans="2:6" ht="12.75" customHeight="1" x14ac:dyDescent="0.25">
      <c r="B422" s="99"/>
      <c r="E422" s="99"/>
      <c r="F422" s="99"/>
    </row>
    <row r="423" spans="2:6" ht="12.75" customHeight="1" x14ac:dyDescent="0.25">
      <c r="B423" s="99"/>
      <c r="E423" s="99"/>
      <c r="F423" s="99"/>
    </row>
    <row r="424" spans="2:6" ht="12.75" customHeight="1" x14ac:dyDescent="0.25">
      <c r="B424" s="99"/>
      <c r="E424" s="99"/>
      <c r="F424" s="99"/>
    </row>
    <row r="425" spans="2:6" ht="12.75" customHeight="1" x14ac:dyDescent="0.25">
      <c r="B425" s="99"/>
      <c r="E425" s="99"/>
      <c r="F425" s="99"/>
    </row>
    <row r="426" spans="2:6" ht="12.75" customHeight="1" x14ac:dyDescent="0.25">
      <c r="B426" s="99"/>
      <c r="E426" s="99"/>
      <c r="F426" s="99"/>
    </row>
    <row r="427" spans="2:6" ht="12.75" customHeight="1" x14ac:dyDescent="0.25">
      <c r="B427" s="99"/>
      <c r="E427" s="99"/>
      <c r="F427" s="99"/>
    </row>
    <row r="428" spans="2:6" ht="12.75" customHeight="1" x14ac:dyDescent="0.25">
      <c r="B428" s="99"/>
      <c r="E428" s="99"/>
      <c r="F428" s="99"/>
    </row>
    <row r="429" spans="2:6" ht="12.75" customHeight="1" x14ac:dyDescent="0.25">
      <c r="B429" s="99"/>
      <c r="E429" s="99"/>
      <c r="F429" s="99"/>
    </row>
    <row r="430" spans="2:6" ht="12.75" customHeight="1" x14ac:dyDescent="0.25">
      <c r="B430" s="99"/>
      <c r="E430" s="99"/>
      <c r="F430" s="99"/>
    </row>
    <row r="431" spans="2:6" ht="12.75" customHeight="1" x14ac:dyDescent="0.25">
      <c r="B431" s="99"/>
      <c r="E431" s="99"/>
      <c r="F431" s="99"/>
    </row>
    <row r="432" spans="2:6" ht="12.75" customHeight="1" x14ac:dyDescent="0.25">
      <c r="B432" s="99"/>
      <c r="E432" s="99"/>
      <c r="F432" s="99"/>
    </row>
    <row r="433" spans="2:6" ht="12.75" customHeight="1" x14ac:dyDescent="0.25">
      <c r="B433" s="99"/>
      <c r="E433" s="99"/>
      <c r="F433" s="99"/>
    </row>
    <row r="434" spans="2:6" ht="12.75" customHeight="1" x14ac:dyDescent="0.25">
      <c r="B434" s="99"/>
      <c r="E434" s="99"/>
      <c r="F434" s="99"/>
    </row>
    <row r="435" spans="2:6" ht="12.75" customHeight="1" x14ac:dyDescent="0.25">
      <c r="B435" s="99"/>
      <c r="E435" s="99"/>
      <c r="F435" s="99"/>
    </row>
    <row r="436" spans="2:6" ht="12.75" customHeight="1" x14ac:dyDescent="0.25">
      <c r="B436" s="99"/>
      <c r="E436" s="99"/>
      <c r="F436" s="99"/>
    </row>
    <row r="437" spans="2:6" ht="12.75" customHeight="1" x14ac:dyDescent="0.25">
      <c r="B437" s="99"/>
      <c r="E437" s="99"/>
      <c r="F437" s="99"/>
    </row>
    <row r="438" spans="2:6" ht="12.75" customHeight="1" x14ac:dyDescent="0.25">
      <c r="B438" s="99"/>
      <c r="E438" s="99"/>
      <c r="F438" s="99"/>
    </row>
    <row r="439" spans="2:6" ht="12.75" customHeight="1" x14ac:dyDescent="0.25">
      <c r="B439" s="99"/>
      <c r="E439" s="99"/>
      <c r="F439" s="99"/>
    </row>
    <row r="440" spans="2:6" ht="12.75" customHeight="1" x14ac:dyDescent="0.25">
      <c r="B440" s="99"/>
      <c r="E440" s="99"/>
      <c r="F440" s="99"/>
    </row>
    <row r="441" spans="2:6" ht="12.75" customHeight="1" x14ac:dyDescent="0.25">
      <c r="B441" s="99"/>
      <c r="E441" s="99"/>
      <c r="F441" s="99"/>
    </row>
    <row r="442" spans="2:6" ht="12.75" customHeight="1" x14ac:dyDescent="0.25">
      <c r="B442" s="99"/>
      <c r="E442" s="99"/>
      <c r="F442" s="99"/>
    </row>
    <row r="443" spans="2:6" ht="12.75" customHeight="1" x14ac:dyDescent="0.25">
      <c r="B443" s="99"/>
      <c r="E443" s="99"/>
      <c r="F443" s="99"/>
    </row>
    <row r="444" spans="2:6" ht="12.75" customHeight="1" x14ac:dyDescent="0.25">
      <c r="B444" s="99"/>
      <c r="E444" s="99"/>
      <c r="F444" s="99"/>
    </row>
    <row r="445" spans="2:6" ht="12.75" customHeight="1" x14ac:dyDescent="0.25">
      <c r="B445" s="99"/>
      <c r="E445" s="99"/>
      <c r="F445" s="99"/>
    </row>
    <row r="446" spans="2:6" ht="12.75" customHeight="1" x14ac:dyDescent="0.25">
      <c r="B446" s="99"/>
      <c r="E446" s="99"/>
      <c r="F446" s="99"/>
    </row>
    <row r="447" spans="2:6" ht="12.75" customHeight="1" x14ac:dyDescent="0.25">
      <c r="B447" s="99"/>
      <c r="E447" s="99"/>
      <c r="F447" s="99"/>
    </row>
    <row r="448" spans="2:6" ht="12.75" customHeight="1" x14ac:dyDescent="0.25">
      <c r="B448" s="99"/>
      <c r="E448" s="99"/>
      <c r="F448" s="99"/>
    </row>
    <row r="449" spans="2:6" ht="12.75" customHeight="1" x14ac:dyDescent="0.25">
      <c r="B449" s="99"/>
      <c r="E449" s="99"/>
      <c r="F449" s="99"/>
    </row>
    <row r="450" spans="2:6" ht="12.75" customHeight="1" x14ac:dyDescent="0.25">
      <c r="B450" s="99"/>
      <c r="E450" s="99"/>
      <c r="F450" s="99"/>
    </row>
    <row r="451" spans="2:6" ht="12.75" customHeight="1" x14ac:dyDescent="0.25">
      <c r="B451" s="99"/>
      <c r="E451" s="99"/>
      <c r="F451" s="99"/>
    </row>
    <row r="452" spans="2:6" ht="12.75" customHeight="1" x14ac:dyDescent="0.25">
      <c r="B452" s="99"/>
      <c r="E452" s="99"/>
      <c r="F452" s="99"/>
    </row>
    <row r="453" spans="2:6" ht="12.75" customHeight="1" x14ac:dyDescent="0.25">
      <c r="B453" s="99"/>
      <c r="E453" s="99"/>
      <c r="F453" s="99"/>
    </row>
    <row r="454" spans="2:6" ht="12.75" customHeight="1" x14ac:dyDescent="0.25">
      <c r="B454" s="99"/>
      <c r="E454" s="99"/>
      <c r="F454" s="99"/>
    </row>
    <row r="455" spans="2:6" ht="12.75" customHeight="1" x14ac:dyDescent="0.25">
      <c r="B455" s="99"/>
      <c r="E455" s="99"/>
      <c r="F455" s="99"/>
    </row>
    <row r="456" spans="2:6" ht="12.75" customHeight="1" x14ac:dyDescent="0.25">
      <c r="B456" s="99"/>
      <c r="E456" s="99"/>
      <c r="F456" s="99"/>
    </row>
    <row r="457" spans="2:6" ht="12.75" customHeight="1" x14ac:dyDescent="0.25">
      <c r="B457" s="99"/>
      <c r="E457" s="99"/>
      <c r="F457" s="99"/>
    </row>
    <row r="458" spans="2:6" ht="12.75" customHeight="1" x14ac:dyDescent="0.25">
      <c r="B458" s="99"/>
      <c r="E458" s="99"/>
      <c r="F458" s="99"/>
    </row>
    <row r="459" spans="2:6" ht="12.75" customHeight="1" x14ac:dyDescent="0.25">
      <c r="B459" s="99"/>
      <c r="E459" s="99"/>
      <c r="F459" s="99"/>
    </row>
    <row r="460" spans="2:6" ht="12.75" customHeight="1" x14ac:dyDescent="0.25">
      <c r="B460" s="99"/>
      <c r="E460" s="99"/>
      <c r="F460" s="99"/>
    </row>
    <row r="461" spans="2:6" ht="12.75" customHeight="1" x14ac:dyDescent="0.25">
      <c r="B461" s="99"/>
      <c r="E461" s="99"/>
      <c r="F461" s="99"/>
    </row>
    <row r="462" spans="2:6" ht="12.75" customHeight="1" x14ac:dyDescent="0.25">
      <c r="B462" s="99"/>
      <c r="E462" s="99"/>
      <c r="F462" s="99"/>
    </row>
    <row r="463" spans="2:6" ht="12.75" customHeight="1" x14ac:dyDescent="0.25">
      <c r="B463" s="99"/>
      <c r="E463" s="99"/>
      <c r="F463" s="99"/>
    </row>
    <row r="464" spans="2:6" ht="12.75" customHeight="1" x14ac:dyDescent="0.25">
      <c r="B464" s="99"/>
      <c r="E464" s="99"/>
      <c r="F464" s="99"/>
    </row>
    <row r="465" spans="2:6" ht="12.75" customHeight="1" x14ac:dyDescent="0.25">
      <c r="B465" s="99"/>
      <c r="E465" s="99"/>
      <c r="F465" s="99"/>
    </row>
    <row r="466" spans="2:6" ht="12.75" customHeight="1" x14ac:dyDescent="0.25">
      <c r="B466" s="99"/>
      <c r="E466" s="99"/>
      <c r="F466" s="99"/>
    </row>
    <row r="467" spans="2:6" ht="12.75" customHeight="1" x14ac:dyDescent="0.25">
      <c r="B467" s="99"/>
      <c r="E467" s="99"/>
      <c r="F467" s="99"/>
    </row>
    <row r="468" spans="2:6" ht="12.75" customHeight="1" x14ac:dyDescent="0.25">
      <c r="B468" s="99"/>
      <c r="E468" s="99"/>
      <c r="F468" s="99"/>
    </row>
    <row r="469" spans="2:6" ht="12.75" customHeight="1" x14ac:dyDescent="0.25">
      <c r="B469" s="99"/>
      <c r="E469" s="99"/>
      <c r="F469" s="99"/>
    </row>
    <row r="470" spans="2:6" ht="12.75" customHeight="1" x14ac:dyDescent="0.25">
      <c r="B470" s="99"/>
      <c r="E470" s="99"/>
      <c r="F470" s="99"/>
    </row>
    <row r="471" spans="2:6" ht="12.75" customHeight="1" x14ac:dyDescent="0.25">
      <c r="B471" s="99"/>
      <c r="E471" s="99"/>
      <c r="F471" s="99"/>
    </row>
    <row r="472" spans="2:6" ht="12.75" customHeight="1" x14ac:dyDescent="0.25">
      <c r="B472" s="99"/>
      <c r="E472" s="99"/>
      <c r="F472" s="99"/>
    </row>
    <row r="473" spans="2:6" ht="12.75" customHeight="1" x14ac:dyDescent="0.25">
      <c r="B473" s="99"/>
      <c r="E473" s="99"/>
      <c r="F473" s="99"/>
    </row>
    <row r="474" spans="2:6" ht="12.75" customHeight="1" x14ac:dyDescent="0.25">
      <c r="B474" s="99"/>
      <c r="E474" s="99"/>
      <c r="F474" s="99"/>
    </row>
    <row r="475" spans="2:6" ht="12.75" customHeight="1" x14ac:dyDescent="0.25">
      <c r="B475" s="99"/>
      <c r="E475" s="99"/>
      <c r="F475" s="99"/>
    </row>
    <row r="476" spans="2:6" ht="12.75" customHeight="1" x14ac:dyDescent="0.25">
      <c r="B476" s="99"/>
      <c r="E476" s="99"/>
      <c r="F476" s="99"/>
    </row>
    <row r="477" spans="2:6" ht="12.75" customHeight="1" x14ac:dyDescent="0.25">
      <c r="B477" s="99"/>
      <c r="E477" s="99"/>
      <c r="F477" s="99"/>
    </row>
    <row r="478" spans="2:6" ht="12.75" customHeight="1" x14ac:dyDescent="0.25">
      <c r="B478" s="99"/>
      <c r="E478" s="99"/>
      <c r="F478" s="99"/>
    </row>
    <row r="479" spans="2:6" ht="12.75" customHeight="1" x14ac:dyDescent="0.25">
      <c r="B479" s="99"/>
      <c r="E479" s="99"/>
      <c r="F479" s="99"/>
    </row>
    <row r="480" spans="2:6" ht="12.75" customHeight="1" x14ac:dyDescent="0.25">
      <c r="B480" s="99"/>
      <c r="E480" s="99"/>
      <c r="F480" s="99"/>
    </row>
    <row r="481" spans="2:6" ht="12.75" customHeight="1" x14ac:dyDescent="0.25">
      <c r="B481" s="99"/>
      <c r="E481" s="99"/>
      <c r="F481" s="99"/>
    </row>
    <row r="482" spans="2:6" ht="12.75" customHeight="1" x14ac:dyDescent="0.25">
      <c r="B482" s="99"/>
      <c r="E482" s="99"/>
      <c r="F482" s="99"/>
    </row>
    <row r="483" spans="2:6" ht="12.75" customHeight="1" x14ac:dyDescent="0.25">
      <c r="B483" s="99"/>
      <c r="E483" s="99"/>
      <c r="F483" s="99"/>
    </row>
    <row r="484" spans="2:6" ht="12.75" customHeight="1" x14ac:dyDescent="0.25">
      <c r="B484" s="99"/>
      <c r="E484" s="99"/>
      <c r="F484" s="99"/>
    </row>
    <row r="485" spans="2:6" ht="12.75" customHeight="1" x14ac:dyDescent="0.25">
      <c r="B485" s="99"/>
      <c r="E485" s="99"/>
      <c r="F485" s="99"/>
    </row>
    <row r="486" spans="2:6" ht="12.75" customHeight="1" x14ac:dyDescent="0.25">
      <c r="B486" s="99"/>
      <c r="E486" s="99"/>
      <c r="F486" s="99"/>
    </row>
    <row r="487" spans="2:6" ht="12.75" customHeight="1" x14ac:dyDescent="0.25">
      <c r="B487" s="99"/>
      <c r="E487" s="99"/>
      <c r="F487" s="99"/>
    </row>
    <row r="488" spans="2:6" ht="12.75" customHeight="1" x14ac:dyDescent="0.25">
      <c r="B488" s="99"/>
      <c r="E488" s="99"/>
      <c r="F488" s="99"/>
    </row>
    <row r="489" spans="2:6" ht="12.75" customHeight="1" x14ac:dyDescent="0.25">
      <c r="B489" s="99"/>
      <c r="E489" s="99"/>
      <c r="F489" s="99"/>
    </row>
    <row r="490" spans="2:6" ht="12.75" customHeight="1" x14ac:dyDescent="0.25">
      <c r="B490" s="99"/>
      <c r="E490" s="99"/>
      <c r="F490" s="99"/>
    </row>
    <row r="491" spans="2:6" ht="12.75" customHeight="1" x14ac:dyDescent="0.25">
      <c r="B491" s="99"/>
      <c r="E491" s="99"/>
      <c r="F491" s="99"/>
    </row>
    <row r="492" spans="2:6" ht="12.75" customHeight="1" x14ac:dyDescent="0.25">
      <c r="B492" s="99"/>
      <c r="E492" s="99"/>
      <c r="F492" s="99"/>
    </row>
    <row r="493" spans="2:6" ht="12.75" customHeight="1" x14ac:dyDescent="0.25">
      <c r="B493" s="99"/>
      <c r="E493" s="99"/>
      <c r="F493" s="99"/>
    </row>
    <row r="494" spans="2:6" ht="12.75" customHeight="1" x14ac:dyDescent="0.25">
      <c r="B494" s="99"/>
      <c r="E494" s="99"/>
      <c r="F494" s="99"/>
    </row>
    <row r="495" spans="2:6" ht="12.75" customHeight="1" x14ac:dyDescent="0.25">
      <c r="B495" s="99"/>
      <c r="E495" s="99"/>
      <c r="F495" s="99"/>
    </row>
    <row r="496" spans="2:6" ht="12.75" customHeight="1" x14ac:dyDescent="0.25">
      <c r="B496" s="99"/>
      <c r="E496" s="99"/>
      <c r="F496" s="99"/>
    </row>
    <row r="497" spans="2:6" ht="12.75" customHeight="1" x14ac:dyDescent="0.25">
      <c r="B497" s="99"/>
      <c r="E497" s="99"/>
      <c r="F497" s="99"/>
    </row>
    <row r="498" spans="2:6" ht="12.75" customHeight="1" x14ac:dyDescent="0.25">
      <c r="B498" s="99"/>
      <c r="E498" s="99"/>
      <c r="F498" s="99"/>
    </row>
    <row r="499" spans="2:6" ht="12.75" customHeight="1" x14ac:dyDescent="0.25">
      <c r="B499" s="99"/>
      <c r="E499" s="99"/>
      <c r="F499" s="99"/>
    </row>
    <row r="500" spans="2:6" ht="12.75" customHeight="1" x14ac:dyDescent="0.25">
      <c r="B500" s="99"/>
      <c r="E500" s="99"/>
      <c r="F500" s="99"/>
    </row>
    <row r="501" spans="2:6" ht="12.75" customHeight="1" x14ac:dyDescent="0.25">
      <c r="B501" s="99"/>
      <c r="E501" s="99"/>
      <c r="F501" s="99"/>
    </row>
    <row r="502" spans="2:6" ht="12.75" customHeight="1" x14ac:dyDescent="0.25">
      <c r="B502" s="99"/>
      <c r="E502" s="99"/>
      <c r="F502" s="99"/>
    </row>
    <row r="503" spans="2:6" ht="12.75" customHeight="1" x14ac:dyDescent="0.25">
      <c r="B503" s="99"/>
      <c r="E503" s="99"/>
      <c r="F503" s="99"/>
    </row>
    <row r="504" spans="2:6" ht="12.75" customHeight="1" x14ac:dyDescent="0.25">
      <c r="B504" s="99"/>
      <c r="E504" s="99"/>
      <c r="F504" s="99"/>
    </row>
    <row r="505" spans="2:6" ht="12.75" customHeight="1" x14ac:dyDescent="0.25">
      <c r="B505" s="99"/>
      <c r="E505" s="99"/>
      <c r="F505" s="99"/>
    </row>
    <row r="506" spans="2:6" ht="12.75" customHeight="1" x14ac:dyDescent="0.25">
      <c r="B506" s="99"/>
      <c r="E506" s="99"/>
      <c r="F506" s="99"/>
    </row>
    <row r="507" spans="2:6" ht="12.75" customHeight="1" x14ac:dyDescent="0.25">
      <c r="B507" s="99"/>
      <c r="E507" s="99"/>
      <c r="F507" s="99"/>
    </row>
    <row r="508" spans="2:6" ht="12.75" customHeight="1" x14ac:dyDescent="0.25">
      <c r="B508" s="99"/>
      <c r="E508" s="99"/>
      <c r="F508" s="99"/>
    </row>
    <row r="509" spans="2:6" ht="12.75" customHeight="1" x14ac:dyDescent="0.25">
      <c r="B509" s="99"/>
      <c r="E509" s="99"/>
      <c r="F509" s="99"/>
    </row>
    <row r="510" spans="2:6" ht="12.75" customHeight="1" x14ac:dyDescent="0.25">
      <c r="B510" s="99"/>
      <c r="E510" s="99"/>
      <c r="F510" s="99"/>
    </row>
    <row r="511" spans="2:6" ht="12.75" customHeight="1" x14ac:dyDescent="0.25">
      <c r="B511" s="99"/>
      <c r="E511" s="99"/>
      <c r="F511" s="99"/>
    </row>
    <row r="512" spans="2:6" ht="12.75" customHeight="1" x14ac:dyDescent="0.25">
      <c r="B512" s="99"/>
      <c r="E512" s="99"/>
      <c r="F512" s="99"/>
    </row>
    <row r="513" spans="2:6" ht="12.75" customHeight="1" x14ac:dyDescent="0.25">
      <c r="B513" s="99"/>
      <c r="E513" s="99"/>
      <c r="F513" s="99"/>
    </row>
    <row r="514" spans="2:6" ht="12.75" customHeight="1" x14ac:dyDescent="0.25">
      <c r="B514" s="99"/>
      <c r="E514" s="99"/>
      <c r="F514" s="99"/>
    </row>
    <row r="515" spans="2:6" ht="12.75" customHeight="1" x14ac:dyDescent="0.25">
      <c r="B515" s="99"/>
      <c r="E515" s="99"/>
      <c r="F515" s="99"/>
    </row>
    <row r="516" spans="2:6" ht="12.75" customHeight="1" x14ac:dyDescent="0.25">
      <c r="B516" s="99"/>
      <c r="E516" s="99"/>
      <c r="F516" s="99"/>
    </row>
    <row r="517" spans="2:6" ht="12.75" customHeight="1" x14ac:dyDescent="0.25">
      <c r="B517" s="99"/>
      <c r="E517" s="99"/>
      <c r="F517" s="99"/>
    </row>
    <row r="518" spans="2:6" ht="12.75" customHeight="1" x14ac:dyDescent="0.25">
      <c r="B518" s="99"/>
      <c r="E518" s="99"/>
      <c r="F518" s="99"/>
    </row>
    <row r="519" spans="2:6" ht="12.75" customHeight="1" x14ac:dyDescent="0.25">
      <c r="B519" s="99"/>
      <c r="E519" s="99"/>
      <c r="F519" s="99"/>
    </row>
    <row r="520" spans="2:6" ht="12.75" customHeight="1" x14ac:dyDescent="0.25">
      <c r="B520" s="99"/>
      <c r="E520" s="99"/>
      <c r="F520" s="99"/>
    </row>
    <row r="521" spans="2:6" ht="12.75" customHeight="1" x14ac:dyDescent="0.25">
      <c r="B521" s="99"/>
      <c r="E521" s="99"/>
      <c r="F521" s="99"/>
    </row>
    <row r="522" spans="2:6" ht="12.75" customHeight="1" x14ac:dyDescent="0.25">
      <c r="B522" s="99"/>
      <c r="E522" s="99"/>
      <c r="F522" s="99"/>
    </row>
    <row r="523" spans="2:6" ht="12.75" customHeight="1" x14ac:dyDescent="0.25">
      <c r="B523" s="99"/>
      <c r="E523" s="99"/>
      <c r="F523" s="99"/>
    </row>
    <row r="524" spans="2:6" ht="12.75" customHeight="1" x14ac:dyDescent="0.25">
      <c r="B524" s="99"/>
      <c r="E524" s="99"/>
      <c r="F524" s="99"/>
    </row>
    <row r="525" spans="2:6" ht="12.75" customHeight="1" x14ac:dyDescent="0.25">
      <c r="B525" s="99"/>
      <c r="E525" s="99"/>
      <c r="F525" s="99"/>
    </row>
    <row r="526" spans="2:6" ht="12.75" customHeight="1" x14ac:dyDescent="0.25">
      <c r="B526" s="99"/>
      <c r="E526" s="99"/>
      <c r="F526" s="99"/>
    </row>
    <row r="527" spans="2:6" ht="12.75" customHeight="1" x14ac:dyDescent="0.25">
      <c r="B527" s="99"/>
      <c r="E527" s="99"/>
      <c r="F527" s="99"/>
    </row>
    <row r="528" spans="2:6" ht="12.75" customHeight="1" x14ac:dyDescent="0.25">
      <c r="B528" s="99"/>
      <c r="E528" s="99"/>
      <c r="F528" s="99"/>
    </row>
    <row r="529" spans="2:6" ht="12.75" customHeight="1" x14ac:dyDescent="0.25">
      <c r="B529" s="99"/>
      <c r="E529" s="99"/>
      <c r="F529" s="99"/>
    </row>
    <row r="530" spans="2:6" ht="12.75" customHeight="1" x14ac:dyDescent="0.25">
      <c r="B530" s="99"/>
      <c r="E530" s="99"/>
      <c r="F530" s="99"/>
    </row>
    <row r="531" spans="2:6" ht="12.75" customHeight="1" x14ac:dyDescent="0.25">
      <c r="B531" s="99"/>
      <c r="E531" s="99"/>
      <c r="F531" s="99"/>
    </row>
    <row r="532" spans="2:6" ht="12.75" customHeight="1" x14ac:dyDescent="0.25">
      <c r="B532" s="99"/>
      <c r="E532" s="99"/>
      <c r="F532" s="99"/>
    </row>
    <row r="533" spans="2:6" ht="12.75" customHeight="1" x14ac:dyDescent="0.25">
      <c r="B533" s="99"/>
      <c r="E533" s="99"/>
      <c r="F533" s="99"/>
    </row>
    <row r="534" spans="2:6" ht="12.75" customHeight="1" x14ac:dyDescent="0.25">
      <c r="B534" s="99"/>
      <c r="E534" s="99"/>
      <c r="F534" s="99"/>
    </row>
    <row r="535" spans="2:6" ht="12.75" customHeight="1" x14ac:dyDescent="0.25">
      <c r="B535" s="99"/>
      <c r="E535" s="99"/>
      <c r="F535" s="99"/>
    </row>
    <row r="536" spans="2:6" ht="12.75" customHeight="1" x14ac:dyDescent="0.25">
      <c r="B536" s="99"/>
      <c r="E536" s="99"/>
      <c r="F536" s="99"/>
    </row>
    <row r="537" spans="2:6" ht="12.75" customHeight="1" x14ac:dyDescent="0.25">
      <c r="B537" s="99"/>
      <c r="E537" s="99"/>
      <c r="F537" s="99"/>
    </row>
    <row r="538" spans="2:6" ht="12.75" customHeight="1" x14ac:dyDescent="0.25">
      <c r="B538" s="99"/>
      <c r="E538" s="99"/>
      <c r="F538" s="99"/>
    </row>
    <row r="539" spans="2:6" ht="12.75" customHeight="1" x14ac:dyDescent="0.25">
      <c r="B539" s="99"/>
      <c r="E539" s="99"/>
      <c r="F539" s="99"/>
    </row>
    <row r="540" spans="2:6" ht="12.75" customHeight="1" x14ac:dyDescent="0.25">
      <c r="B540" s="99"/>
      <c r="E540" s="99"/>
      <c r="F540" s="99"/>
    </row>
    <row r="541" spans="2:6" ht="12.75" customHeight="1" x14ac:dyDescent="0.25">
      <c r="B541" s="99"/>
      <c r="E541" s="99"/>
      <c r="F541" s="99"/>
    </row>
    <row r="542" spans="2:6" ht="12.75" customHeight="1" x14ac:dyDescent="0.25">
      <c r="B542" s="99"/>
      <c r="E542" s="99"/>
      <c r="F542" s="99"/>
    </row>
    <row r="543" spans="2:6" ht="12.75" customHeight="1" x14ac:dyDescent="0.25">
      <c r="B543" s="99"/>
      <c r="E543" s="99"/>
      <c r="F543" s="99"/>
    </row>
    <row r="544" spans="2:6" ht="12.75" customHeight="1" x14ac:dyDescent="0.25">
      <c r="B544" s="99"/>
      <c r="E544" s="99"/>
      <c r="F544" s="99"/>
    </row>
    <row r="545" spans="2:6" ht="12.75" customHeight="1" x14ac:dyDescent="0.25">
      <c r="B545" s="99"/>
      <c r="E545" s="99"/>
      <c r="F545" s="99"/>
    </row>
    <row r="546" spans="2:6" ht="12.75" customHeight="1" x14ac:dyDescent="0.25">
      <c r="B546" s="99"/>
      <c r="E546" s="99"/>
      <c r="F546" s="99"/>
    </row>
    <row r="547" spans="2:6" ht="12.75" customHeight="1" x14ac:dyDescent="0.25">
      <c r="B547" s="99"/>
      <c r="E547" s="99"/>
      <c r="F547" s="99"/>
    </row>
    <row r="548" spans="2:6" ht="12.75" customHeight="1" x14ac:dyDescent="0.25">
      <c r="B548" s="99"/>
      <c r="E548" s="99"/>
      <c r="F548" s="99"/>
    </row>
    <row r="549" spans="2:6" ht="12.75" customHeight="1" x14ac:dyDescent="0.25">
      <c r="B549" s="99"/>
      <c r="E549" s="99"/>
      <c r="F549" s="99"/>
    </row>
    <row r="550" spans="2:6" ht="12.75" customHeight="1" x14ac:dyDescent="0.25">
      <c r="B550" s="99"/>
      <c r="E550" s="99"/>
      <c r="F550" s="99"/>
    </row>
    <row r="551" spans="2:6" ht="12.75" customHeight="1" x14ac:dyDescent="0.25">
      <c r="B551" s="99"/>
      <c r="E551" s="99"/>
      <c r="F551" s="99"/>
    </row>
    <row r="552" spans="2:6" ht="12.75" customHeight="1" x14ac:dyDescent="0.25">
      <c r="B552" s="99"/>
      <c r="E552" s="99"/>
      <c r="F552" s="99"/>
    </row>
    <row r="553" spans="2:6" ht="12.75" customHeight="1" x14ac:dyDescent="0.25">
      <c r="B553" s="99"/>
      <c r="E553" s="99"/>
      <c r="F553" s="99"/>
    </row>
    <row r="554" spans="2:6" ht="12.75" customHeight="1" x14ac:dyDescent="0.25">
      <c r="B554" s="99"/>
      <c r="E554" s="99"/>
      <c r="F554" s="99"/>
    </row>
    <row r="555" spans="2:6" ht="12.75" customHeight="1" x14ac:dyDescent="0.25">
      <c r="B555" s="99"/>
      <c r="E555" s="99"/>
      <c r="F555" s="99"/>
    </row>
    <row r="556" spans="2:6" ht="12.75" customHeight="1" x14ac:dyDescent="0.25">
      <c r="B556" s="99"/>
      <c r="E556" s="99"/>
      <c r="F556" s="99"/>
    </row>
    <row r="557" spans="2:6" ht="12.75" customHeight="1" x14ac:dyDescent="0.25">
      <c r="B557" s="99"/>
      <c r="E557" s="99"/>
      <c r="F557" s="99"/>
    </row>
    <row r="558" spans="2:6" ht="12.75" customHeight="1" x14ac:dyDescent="0.25">
      <c r="B558" s="99"/>
      <c r="E558" s="99"/>
      <c r="F558" s="99"/>
    </row>
    <row r="559" spans="2:6" ht="12.75" customHeight="1" x14ac:dyDescent="0.25">
      <c r="B559" s="99"/>
      <c r="E559" s="99"/>
      <c r="F559" s="99"/>
    </row>
    <row r="560" spans="2:6" ht="12.75" customHeight="1" x14ac:dyDescent="0.25">
      <c r="B560" s="99"/>
      <c r="E560" s="99"/>
      <c r="F560" s="99"/>
    </row>
    <row r="561" spans="2:6" ht="12.75" customHeight="1" x14ac:dyDescent="0.25">
      <c r="B561" s="99"/>
      <c r="E561" s="99"/>
      <c r="F561" s="99"/>
    </row>
    <row r="562" spans="2:6" ht="12.75" customHeight="1" x14ac:dyDescent="0.25">
      <c r="B562" s="99"/>
      <c r="E562" s="99"/>
      <c r="F562" s="99"/>
    </row>
    <row r="563" spans="2:6" ht="12.75" customHeight="1" x14ac:dyDescent="0.25">
      <c r="B563" s="99"/>
      <c r="E563" s="99"/>
      <c r="F563" s="99"/>
    </row>
    <row r="564" spans="2:6" ht="12.75" customHeight="1" x14ac:dyDescent="0.25">
      <c r="B564" s="99"/>
      <c r="E564" s="99"/>
      <c r="F564" s="99"/>
    </row>
    <row r="565" spans="2:6" ht="12.75" customHeight="1" x14ac:dyDescent="0.25">
      <c r="B565" s="99"/>
      <c r="E565" s="99"/>
      <c r="F565" s="99"/>
    </row>
    <row r="566" spans="2:6" ht="12.75" customHeight="1" x14ac:dyDescent="0.25">
      <c r="B566" s="99"/>
      <c r="E566" s="99"/>
      <c r="F566" s="99"/>
    </row>
    <row r="567" spans="2:6" ht="12.75" customHeight="1" x14ac:dyDescent="0.25">
      <c r="B567" s="99"/>
      <c r="E567" s="99"/>
      <c r="F567" s="99"/>
    </row>
    <row r="568" spans="2:6" ht="12.75" customHeight="1" x14ac:dyDescent="0.25">
      <c r="B568" s="99"/>
      <c r="E568" s="99"/>
      <c r="F568" s="99"/>
    </row>
    <row r="569" spans="2:6" ht="12.75" customHeight="1" x14ac:dyDescent="0.25">
      <c r="B569" s="99"/>
      <c r="E569" s="99"/>
      <c r="F569" s="99"/>
    </row>
    <row r="570" spans="2:6" ht="12.75" customHeight="1" x14ac:dyDescent="0.25">
      <c r="B570" s="99"/>
      <c r="E570" s="99"/>
      <c r="F570" s="99"/>
    </row>
    <row r="571" spans="2:6" ht="12.75" customHeight="1" x14ac:dyDescent="0.25">
      <c r="B571" s="99"/>
      <c r="E571" s="99"/>
      <c r="F571" s="99"/>
    </row>
    <row r="572" spans="2:6" ht="12.75" customHeight="1" x14ac:dyDescent="0.25">
      <c r="B572" s="99"/>
      <c r="E572" s="99"/>
      <c r="F572" s="99"/>
    </row>
    <row r="573" spans="2:6" ht="12.75" customHeight="1" x14ac:dyDescent="0.25">
      <c r="B573" s="99"/>
      <c r="E573" s="99"/>
      <c r="F573" s="99"/>
    </row>
    <row r="574" spans="2:6" ht="12.75" customHeight="1" x14ac:dyDescent="0.25">
      <c r="B574" s="99"/>
      <c r="E574" s="99"/>
      <c r="F574" s="99"/>
    </row>
    <row r="575" spans="2:6" ht="12.75" customHeight="1" x14ac:dyDescent="0.25">
      <c r="B575" s="99"/>
      <c r="E575" s="99"/>
      <c r="F575" s="99"/>
    </row>
    <row r="576" spans="2:6" ht="12.75" customHeight="1" x14ac:dyDescent="0.25">
      <c r="B576" s="99"/>
      <c r="E576" s="99"/>
      <c r="F576" s="99"/>
    </row>
    <row r="577" spans="2:6" ht="12.75" customHeight="1" x14ac:dyDescent="0.25">
      <c r="B577" s="99"/>
      <c r="E577" s="99"/>
      <c r="F577" s="99"/>
    </row>
    <row r="578" spans="2:6" ht="12.75" customHeight="1" x14ac:dyDescent="0.25">
      <c r="B578" s="99"/>
      <c r="E578" s="99"/>
      <c r="F578" s="99"/>
    </row>
    <row r="579" spans="2:6" ht="12.75" customHeight="1" x14ac:dyDescent="0.25">
      <c r="B579" s="99"/>
      <c r="E579" s="99"/>
      <c r="F579" s="99"/>
    </row>
    <row r="580" spans="2:6" ht="12.75" customHeight="1" x14ac:dyDescent="0.25">
      <c r="B580" s="99"/>
      <c r="E580" s="99"/>
      <c r="F580" s="99"/>
    </row>
    <row r="581" spans="2:6" ht="12.75" customHeight="1" x14ac:dyDescent="0.25">
      <c r="B581" s="99"/>
      <c r="E581" s="99"/>
      <c r="F581" s="99"/>
    </row>
    <row r="582" spans="2:6" ht="12.75" customHeight="1" x14ac:dyDescent="0.25">
      <c r="B582" s="99"/>
      <c r="E582" s="99"/>
      <c r="F582" s="99"/>
    </row>
    <row r="583" spans="2:6" ht="12.75" customHeight="1" x14ac:dyDescent="0.25">
      <c r="B583" s="99"/>
      <c r="E583" s="99"/>
      <c r="F583" s="99"/>
    </row>
    <row r="584" spans="2:6" ht="12.75" customHeight="1" x14ac:dyDescent="0.25">
      <c r="B584" s="99"/>
      <c r="E584" s="99"/>
      <c r="F584" s="99"/>
    </row>
    <row r="585" spans="2:6" ht="12.75" customHeight="1" x14ac:dyDescent="0.25">
      <c r="B585" s="99"/>
      <c r="E585" s="99"/>
      <c r="F585" s="99"/>
    </row>
    <row r="586" spans="2:6" ht="12.75" customHeight="1" x14ac:dyDescent="0.25">
      <c r="B586" s="99"/>
      <c r="E586" s="99"/>
      <c r="F586" s="99"/>
    </row>
    <row r="587" spans="2:6" ht="12.75" customHeight="1" x14ac:dyDescent="0.25">
      <c r="B587" s="99"/>
      <c r="E587" s="99"/>
      <c r="F587" s="99"/>
    </row>
    <row r="588" spans="2:6" ht="12.75" customHeight="1" x14ac:dyDescent="0.25">
      <c r="B588" s="99"/>
      <c r="E588" s="99"/>
      <c r="F588" s="99"/>
    </row>
    <row r="589" spans="2:6" ht="12.75" customHeight="1" x14ac:dyDescent="0.25">
      <c r="B589" s="99"/>
      <c r="E589" s="99"/>
      <c r="F589" s="99"/>
    </row>
    <row r="590" spans="2:6" ht="12.75" customHeight="1" x14ac:dyDescent="0.25">
      <c r="B590" s="99"/>
      <c r="E590" s="99"/>
      <c r="F590" s="99"/>
    </row>
    <row r="591" spans="2:6" ht="12.75" customHeight="1" x14ac:dyDescent="0.25">
      <c r="B591" s="99"/>
      <c r="E591" s="99"/>
      <c r="F591" s="99"/>
    </row>
    <row r="592" spans="2:6" ht="12.75" customHeight="1" x14ac:dyDescent="0.25">
      <c r="B592" s="99"/>
      <c r="E592" s="99"/>
      <c r="F592" s="99"/>
    </row>
    <row r="593" spans="2:6" ht="12.75" customHeight="1" x14ac:dyDescent="0.25">
      <c r="B593" s="99"/>
      <c r="E593" s="99"/>
      <c r="F593" s="99"/>
    </row>
    <row r="594" spans="2:6" ht="12.75" customHeight="1" x14ac:dyDescent="0.25">
      <c r="B594" s="99"/>
      <c r="E594" s="99"/>
      <c r="F594" s="99"/>
    </row>
    <row r="595" spans="2:6" ht="12.75" customHeight="1" x14ac:dyDescent="0.25">
      <c r="B595" s="99"/>
      <c r="E595" s="99"/>
      <c r="F595" s="99"/>
    </row>
    <row r="596" spans="2:6" ht="12.75" customHeight="1" x14ac:dyDescent="0.25">
      <c r="B596" s="99"/>
      <c r="E596" s="99"/>
      <c r="F596" s="99"/>
    </row>
    <row r="597" spans="2:6" ht="12.75" customHeight="1" x14ac:dyDescent="0.25">
      <c r="B597" s="99"/>
      <c r="E597" s="99"/>
      <c r="F597" s="99"/>
    </row>
    <row r="598" spans="2:6" ht="12.75" customHeight="1" x14ac:dyDescent="0.25">
      <c r="B598" s="99"/>
      <c r="E598" s="99"/>
      <c r="F598" s="99"/>
    </row>
    <row r="599" spans="2:6" ht="12.75" customHeight="1" x14ac:dyDescent="0.25">
      <c r="B599" s="99"/>
      <c r="E599" s="99"/>
      <c r="F599" s="99"/>
    </row>
    <row r="600" spans="2:6" ht="12.75" customHeight="1" x14ac:dyDescent="0.25">
      <c r="B600" s="99"/>
      <c r="E600" s="99"/>
      <c r="F600" s="99"/>
    </row>
    <row r="601" spans="2:6" ht="12.75" customHeight="1" x14ac:dyDescent="0.25">
      <c r="B601" s="99"/>
      <c r="E601" s="99"/>
      <c r="F601" s="99"/>
    </row>
    <row r="602" spans="2:6" ht="12.75" customHeight="1" x14ac:dyDescent="0.25">
      <c r="B602" s="99"/>
      <c r="E602" s="99"/>
      <c r="F602" s="99"/>
    </row>
    <row r="603" spans="2:6" ht="12.75" customHeight="1" x14ac:dyDescent="0.25">
      <c r="B603" s="99"/>
      <c r="E603" s="99"/>
      <c r="F603" s="99"/>
    </row>
    <row r="604" spans="2:6" ht="12.75" customHeight="1" x14ac:dyDescent="0.25">
      <c r="B604" s="99"/>
      <c r="E604" s="99"/>
      <c r="F604" s="99"/>
    </row>
    <row r="605" spans="2:6" ht="12.75" customHeight="1" x14ac:dyDescent="0.25">
      <c r="B605" s="99"/>
      <c r="E605" s="99"/>
      <c r="F605" s="99"/>
    </row>
    <row r="606" spans="2:6" ht="12.75" customHeight="1" x14ac:dyDescent="0.25">
      <c r="B606" s="99"/>
      <c r="E606" s="99"/>
      <c r="F606" s="99"/>
    </row>
    <row r="607" spans="2:6" ht="12.75" customHeight="1" x14ac:dyDescent="0.25">
      <c r="B607" s="99"/>
      <c r="E607" s="99"/>
      <c r="F607" s="99"/>
    </row>
    <row r="608" spans="2:6" ht="12.75" customHeight="1" x14ac:dyDescent="0.25">
      <c r="B608" s="99"/>
      <c r="E608" s="99"/>
      <c r="F608" s="99"/>
    </row>
    <row r="609" spans="2:6" ht="12.75" customHeight="1" x14ac:dyDescent="0.25">
      <c r="B609" s="99"/>
      <c r="E609" s="99"/>
      <c r="F609" s="99"/>
    </row>
    <row r="610" spans="2:6" ht="12.75" customHeight="1" x14ac:dyDescent="0.25">
      <c r="B610" s="99"/>
      <c r="E610" s="99"/>
      <c r="F610" s="99"/>
    </row>
    <row r="611" spans="2:6" ht="12.75" customHeight="1" x14ac:dyDescent="0.25">
      <c r="B611" s="99"/>
      <c r="E611" s="99"/>
      <c r="F611" s="99"/>
    </row>
    <row r="612" spans="2:6" ht="12.75" customHeight="1" x14ac:dyDescent="0.25">
      <c r="B612" s="99"/>
      <c r="E612" s="99"/>
      <c r="F612" s="99"/>
    </row>
    <row r="613" spans="2:6" ht="12.75" customHeight="1" x14ac:dyDescent="0.25">
      <c r="B613" s="99"/>
      <c r="E613" s="99"/>
      <c r="F613" s="99"/>
    </row>
    <row r="614" spans="2:6" ht="12.75" customHeight="1" x14ac:dyDescent="0.25">
      <c r="B614" s="99"/>
      <c r="E614" s="99"/>
      <c r="F614" s="99"/>
    </row>
    <row r="615" spans="2:6" ht="12.75" customHeight="1" x14ac:dyDescent="0.25">
      <c r="B615" s="99"/>
      <c r="E615" s="99"/>
      <c r="F615" s="99"/>
    </row>
    <row r="616" spans="2:6" ht="12.75" customHeight="1" x14ac:dyDescent="0.25">
      <c r="B616" s="99"/>
      <c r="E616" s="99"/>
      <c r="F616" s="99"/>
    </row>
    <row r="617" spans="2:6" ht="12.75" customHeight="1" x14ac:dyDescent="0.25">
      <c r="B617" s="99"/>
      <c r="E617" s="99"/>
      <c r="F617" s="99"/>
    </row>
    <row r="618" spans="2:6" ht="12.75" customHeight="1" x14ac:dyDescent="0.25">
      <c r="B618" s="99"/>
      <c r="E618" s="99"/>
      <c r="F618" s="99"/>
    </row>
    <row r="619" spans="2:6" ht="12.75" customHeight="1" x14ac:dyDescent="0.25">
      <c r="B619" s="99"/>
      <c r="E619" s="99"/>
      <c r="F619" s="99"/>
    </row>
    <row r="620" spans="2:6" ht="12.75" customHeight="1" x14ac:dyDescent="0.25">
      <c r="B620" s="99"/>
      <c r="E620" s="99"/>
      <c r="F620" s="99"/>
    </row>
    <row r="621" spans="2:6" ht="12.75" customHeight="1" x14ac:dyDescent="0.25">
      <c r="B621" s="99"/>
      <c r="E621" s="99"/>
      <c r="F621" s="99"/>
    </row>
    <row r="622" spans="2:6" ht="12.75" customHeight="1" x14ac:dyDescent="0.25">
      <c r="B622" s="99"/>
      <c r="E622" s="99"/>
      <c r="F622" s="99"/>
    </row>
    <row r="623" spans="2:6" ht="12.75" customHeight="1" x14ac:dyDescent="0.25">
      <c r="B623" s="99"/>
      <c r="E623" s="99"/>
      <c r="F623" s="99"/>
    </row>
    <row r="624" spans="2:6" ht="12.75" customHeight="1" x14ac:dyDescent="0.25">
      <c r="B624" s="99"/>
      <c r="E624" s="99"/>
      <c r="F624" s="99"/>
    </row>
    <row r="625" spans="2:6" ht="12.75" customHeight="1" x14ac:dyDescent="0.25">
      <c r="B625" s="99"/>
      <c r="E625" s="99"/>
      <c r="F625" s="99"/>
    </row>
    <row r="626" spans="2:6" ht="12.75" customHeight="1" x14ac:dyDescent="0.25">
      <c r="B626" s="99"/>
      <c r="E626" s="99"/>
      <c r="F626" s="99"/>
    </row>
    <row r="627" spans="2:6" ht="12.75" customHeight="1" x14ac:dyDescent="0.25">
      <c r="B627" s="99"/>
      <c r="E627" s="99"/>
      <c r="F627" s="99"/>
    </row>
    <row r="628" spans="2:6" ht="12.75" customHeight="1" x14ac:dyDescent="0.25">
      <c r="B628" s="99"/>
      <c r="E628" s="99"/>
      <c r="F628" s="99"/>
    </row>
    <row r="629" spans="2:6" ht="12.75" customHeight="1" x14ac:dyDescent="0.25">
      <c r="B629" s="99"/>
      <c r="E629" s="99"/>
      <c r="F629" s="99"/>
    </row>
    <row r="630" spans="2:6" ht="12.75" customHeight="1" x14ac:dyDescent="0.25">
      <c r="B630" s="99"/>
      <c r="E630" s="99"/>
      <c r="F630" s="99"/>
    </row>
    <row r="631" spans="2:6" ht="12.75" customHeight="1" x14ac:dyDescent="0.25">
      <c r="B631" s="99"/>
      <c r="E631" s="99"/>
      <c r="F631" s="99"/>
    </row>
    <row r="632" spans="2:6" ht="12.75" customHeight="1" x14ac:dyDescent="0.25">
      <c r="B632" s="99"/>
      <c r="E632" s="99"/>
      <c r="F632" s="99"/>
    </row>
    <row r="633" spans="2:6" ht="12.75" customHeight="1" x14ac:dyDescent="0.25">
      <c r="B633" s="99"/>
      <c r="E633" s="99"/>
      <c r="F633" s="99"/>
    </row>
    <row r="634" spans="2:6" ht="12.75" customHeight="1" x14ac:dyDescent="0.25">
      <c r="B634" s="99"/>
      <c r="E634" s="99"/>
      <c r="F634" s="99"/>
    </row>
    <row r="635" spans="2:6" ht="12.75" customHeight="1" x14ac:dyDescent="0.25">
      <c r="B635" s="99"/>
      <c r="E635" s="99"/>
      <c r="F635" s="99"/>
    </row>
    <row r="636" spans="2:6" ht="12.75" customHeight="1" x14ac:dyDescent="0.25">
      <c r="B636" s="99"/>
      <c r="E636" s="99"/>
      <c r="F636" s="99"/>
    </row>
    <row r="637" spans="2:6" ht="12.75" customHeight="1" x14ac:dyDescent="0.25">
      <c r="B637" s="99"/>
      <c r="E637" s="99"/>
      <c r="F637" s="99"/>
    </row>
    <row r="638" spans="2:6" ht="12.75" customHeight="1" x14ac:dyDescent="0.25">
      <c r="B638" s="99"/>
      <c r="E638" s="99"/>
      <c r="F638" s="99"/>
    </row>
    <row r="639" spans="2:6" ht="12.75" customHeight="1" x14ac:dyDescent="0.25">
      <c r="B639" s="99"/>
      <c r="E639" s="99"/>
      <c r="F639" s="99"/>
    </row>
    <row r="640" spans="2:6" ht="12.75" customHeight="1" x14ac:dyDescent="0.25">
      <c r="B640" s="99"/>
      <c r="E640" s="99"/>
      <c r="F640" s="99"/>
    </row>
    <row r="641" spans="2:6" ht="12.75" customHeight="1" x14ac:dyDescent="0.25">
      <c r="B641" s="99"/>
      <c r="E641" s="99"/>
      <c r="F641" s="99"/>
    </row>
    <row r="642" spans="2:6" ht="12.75" customHeight="1" x14ac:dyDescent="0.25">
      <c r="B642" s="99"/>
      <c r="E642" s="99"/>
      <c r="F642" s="99"/>
    </row>
    <row r="643" spans="2:6" ht="12.75" customHeight="1" x14ac:dyDescent="0.25">
      <c r="B643" s="99"/>
      <c r="E643" s="99"/>
      <c r="F643" s="99"/>
    </row>
    <row r="644" spans="2:6" ht="12.75" customHeight="1" x14ac:dyDescent="0.25">
      <c r="B644" s="99"/>
      <c r="E644" s="99"/>
      <c r="F644" s="99"/>
    </row>
    <row r="645" spans="2:6" ht="12.75" customHeight="1" x14ac:dyDescent="0.25">
      <c r="B645" s="99"/>
      <c r="E645" s="99"/>
      <c r="F645" s="99"/>
    </row>
    <row r="646" spans="2:6" ht="12.75" customHeight="1" x14ac:dyDescent="0.25">
      <c r="B646" s="99"/>
      <c r="E646" s="99"/>
      <c r="F646" s="99"/>
    </row>
    <row r="647" spans="2:6" ht="12.75" customHeight="1" x14ac:dyDescent="0.25">
      <c r="B647" s="99"/>
      <c r="E647" s="99"/>
      <c r="F647" s="99"/>
    </row>
    <row r="648" spans="2:6" ht="12.75" customHeight="1" x14ac:dyDescent="0.25">
      <c r="B648" s="99"/>
      <c r="E648" s="99"/>
      <c r="F648" s="99"/>
    </row>
    <row r="649" spans="2:6" ht="12.75" customHeight="1" x14ac:dyDescent="0.25">
      <c r="B649" s="99"/>
      <c r="E649" s="99"/>
      <c r="F649" s="99"/>
    </row>
    <row r="650" spans="2:6" ht="12.75" customHeight="1" x14ac:dyDescent="0.25">
      <c r="B650" s="99"/>
      <c r="E650" s="99"/>
      <c r="F650" s="99"/>
    </row>
    <row r="651" spans="2:6" ht="12.75" customHeight="1" x14ac:dyDescent="0.25">
      <c r="B651" s="99"/>
      <c r="E651" s="99"/>
      <c r="F651" s="99"/>
    </row>
    <row r="652" spans="2:6" ht="12.75" customHeight="1" x14ac:dyDescent="0.25">
      <c r="B652" s="99"/>
      <c r="E652" s="99"/>
      <c r="F652" s="99"/>
    </row>
    <row r="653" spans="2:6" ht="12.75" customHeight="1" x14ac:dyDescent="0.25">
      <c r="B653" s="99"/>
      <c r="E653" s="99"/>
      <c r="F653" s="99"/>
    </row>
    <row r="654" spans="2:6" ht="12.75" customHeight="1" x14ac:dyDescent="0.25">
      <c r="B654" s="99"/>
      <c r="E654" s="99"/>
      <c r="F654" s="99"/>
    </row>
    <row r="655" spans="2:6" ht="12.75" customHeight="1" x14ac:dyDescent="0.25">
      <c r="B655" s="99"/>
      <c r="E655" s="99"/>
      <c r="F655" s="99"/>
    </row>
    <row r="656" spans="2:6" ht="12.75" customHeight="1" x14ac:dyDescent="0.25">
      <c r="B656" s="99"/>
      <c r="E656" s="99"/>
      <c r="F656" s="99"/>
    </row>
    <row r="657" spans="2:6" ht="12.75" customHeight="1" x14ac:dyDescent="0.25">
      <c r="B657" s="99"/>
      <c r="E657" s="99"/>
      <c r="F657" s="99"/>
    </row>
    <row r="658" spans="2:6" ht="12.75" customHeight="1" x14ac:dyDescent="0.25">
      <c r="B658" s="99"/>
      <c r="E658" s="99"/>
      <c r="F658" s="99"/>
    </row>
    <row r="659" spans="2:6" ht="12.75" customHeight="1" x14ac:dyDescent="0.25">
      <c r="B659" s="99"/>
      <c r="E659" s="99"/>
      <c r="F659" s="99"/>
    </row>
    <row r="660" spans="2:6" ht="12.75" customHeight="1" x14ac:dyDescent="0.25">
      <c r="B660" s="99"/>
      <c r="E660" s="99"/>
      <c r="F660" s="99"/>
    </row>
    <row r="661" spans="2:6" ht="12.75" customHeight="1" x14ac:dyDescent="0.25">
      <c r="B661" s="99"/>
      <c r="E661" s="99"/>
      <c r="F661" s="99"/>
    </row>
    <row r="662" spans="2:6" ht="12.75" customHeight="1" x14ac:dyDescent="0.25">
      <c r="B662" s="99"/>
      <c r="E662" s="99"/>
      <c r="F662" s="99"/>
    </row>
    <row r="663" spans="2:6" ht="12.75" customHeight="1" x14ac:dyDescent="0.25">
      <c r="B663" s="99"/>
      <c r="E663" s="99"/>
      <c r="F663" s="99"/>
    </row>
    <row r="664" spans="2:6" ht="12.75" customHeight="1" x14ac:dyDescent="0.25">
      <c r="B664" s="99"/>
      <c r="E664" s="99"/>
      <c r="F664" s="99"/>
    </row>
    <row r="665" spans="2:6" ht="12.75" customHeight="1" x14ac:dyDescent="0.25">
      <c r="B665" s="99"/>
      <c r="E665" s="99"/>
      <c r="F665" s="99"/>
    </row>
    <row r="666" spans="2:6" ht="12.75" customHeight="1" x14ac:dyDescent="0.25">
      <c r="B666" s="99"/>
      <c r="E666" s="99"/>
      <c r="F666" s="99"/>
    </row>
    <row r="667" spans="2:6" ht="12.75" customHeight="1" x14ac:dyDescent="0.25">
      <c r="B667" s="99"/>
      <c r="E667" s="99"/>
      <c r="F667" s="99"/>
    </row>
    <row r="668" spans="2:6" ht="12.75" customHeight="1" x14ac:dyDescent="0.25">
      <c r="B668" s="99"/>
      <c r="E668" s="99"/>
      <c r="F668" s="99"/>
    </row>
    <row r="669" spans="2:6" ht="12.75" customHeight="1" x14ac:dyDescent="0.25">
      <c r="B669" s="99"/>
      <c r="E669" s="99"/>
      <c r="F669" s="99"/>
    </row>
    <row r="670" spans="2:6" ht="12.75" customHeight="1" x14ac:dyDescent="0.25">
      <c r="B670" s="99"/>
      <c r="E670" s="99"/>
      <c r="F670" s="99"/>
    </row>
    <row r="671" spans="2:6" ht="12.75" customHeight="1" x14ac:dyDescent="0.25">
      <c r="B671" s="99"/>
      <c r="E671" s="99"/>
      <c r="F671" s="99"/>
    </row>
    <row r="672" spans="2:6" ht="12.75" customHeight="1" x14ac:dyDescent="0.25">
      <c r="B672" s="99"/>
      <c r="E672" s="99"/>
      <c r="F672" s="99"/>
    </row>
    <row r="673" spans="2:6" ht="12.75" customHeight="1" x14ac:dyDescent="0.25">
      <c r="B673" s="99"/>
      <c r="E673" s="99"/>
      <c r="F673" s="99"/>
    </row>
    <row r="674" spans="2:6" ht="12.75" customHeight="1" x14ac:dyDescent="0.25">
      <c r="B674" s="99"/>
      <c r="E674" s="99"/>
      <c r="F674" s="99"/>
    </row>
    <row r="675" spans="2:6" ht="12.75" customHeight="1" x14ac:dyDescent="0.25">
      <c r="B675" s="99"/>
      <c r="E675" s="99"/>
      <c r="F675" s="99"/>
    </row>
    <row r="676" spans="2:6" ht="12.75" customHeight="1" x14ac:dyDescent="0.25">
      <c r="B676" s="99"/>
      <c r="E676" s="99"/>
      <c r="F676" s="99"/>
    </row>
    <row r="677" spans="2:6" ht="12.75" customHeight="1" x14ac:dyDescent="0.25">
      <c r="B677" s="99"/>
      <c r="E677" s="99"/>
      <c r="F677" s="99"/>
    </row>
    <row r="678" spans="2:6" ht="12.75" customHeight="1" x14ac:dyDescent="0.25">
      <c r="B678" s="99"/>
      <c r="E678" s="99"/>
      <c r="F678" s="99"/>
    </row>
    <row r="679" spans="2:6" ht="12.75" customHeight="1" x14ac:dyDescent="0.25">
      <c r="B679" s="99"/>
      <c r="E679" s="99"/>
      <c r="F679" s="99"/>
    </row>
    <row r="680" spans="2:6" ht="12.75" customHeight="1" x14ac:dyDescent="0.25">
      <c r="B680" s="99"/>
      <c r="E680" s="99"/>
      <c r="F680" s="99"/>
    </row>
    <row r="681" spans="2:6" ht="12.75" customHeight="1" x14ac:dyDescent="0.25">
      <c r="B681" s="99"/>
      <c r="E681" s="99"/>
      <c r="F681" s="99"/>
    </row>
    <row r="682" spans="2:6" ht="12.75" customHeight="1" x14ac:dyDescent="0.25">
      <c r="B682" s="99"/>
      <c r="E682" s="99"/>
      <c r="F682" s="99"/>
    </row>
    <row r="683" spans="2:6" ht="12.75" customHeight="1" x14ac:dyDescent="0.25">
      <c r="B683" s="99"/>
      <c r="E683" s="99"/>
      <c r="F683" s="99"/>
    </row>
    <row r="684" spans="2:6" ht="12.75" customHeight="1" x14ac:dyDescent="0.25">
      <c r="B684" s="99"/>
      <c r="E684" s="99"/>
      <c r="F684" s="99"/>
    </row>
    <row r="685" spans="2:6" ht="12.75" customHeight="1" x14ac:dyDescent="0.25">
      <c r="B685" s="99"/>
      <c r="E685" s="99"/>
      <c r="F685" s="99"/>
    </row>
    <row r="686" spans="2:6" ht="12.75" customHeight="1" x14ac:dyDescent="0.25">
      <c r="B686" s="99"/>
      <c r="E686" s="99"/>
      <c r="F686" s="99"/>
    </row>
    <row r="687" spans="2:6" ht="12.75" customHeight="1" x14ac:dyDescent="0.25">
      <c r="B687" s="99"/>
      <c r="E687" s="99"/>
      <c r="F687" s="99"/>
    </row>
    <row r="688" spans="2:6" ht="12.75" customHeight="1" x14ac:dyDescent="0.25">
      <c r="B688" s="99"/>
      <c r="E688" s="99"/>
      <c r="F688" s="99"/>
    </row>
    <row r="689" spans="2:6" ht="12.75" customHeight="1" x14ac:dyDescent="0.25">
      <c r="B689" s="99"/>
      <c r="E689" s="99"/>
      <c r="F689" s="99"/>
    </row>
    <row r="690" spans="2:6" ht="12.75" customHeight="1" x14ac:dyDescent="0.25">
      <c r="B690" s="99"/>
      <c r="E690" s="99"/>
      <c r="F690" s="99"/>
    </row>
    <row r="691" spans="2:6" ht="12.75" customHeight="1" x14ac:dyDescent="0.25">
      <c r="B691" s="99"/>
      <c r="E691" s="99"/>
      <c r="F691" s="99"/>
    </row>
    <row r="692" spans="2:6" ht="12.75" customHeight="1" x14ac:dyDescent="0.25">
      <c r="B692" s="99"/>
      <c r="E692" s="99"/>
      <c r="F692" s="99"/>
    </row>
    <row r="693" spans="2:6" ht="12.75" customHeight="1" x14ac:dyDescent="0.25">
      <c r="B693" s="99"/>
      <c r="E693" s="99"/>
      <c r="F693" s="99"/>
    </row>
    <row r="694" spans="2:6" ht="12.75" customHeight="1" x14ac:dyDescent="0.25">
      <c r="B694" s="99"/>
      <c r="E694" s="99"/>
      <c r="F694" s="99"/>
    </row>
    <row r="695" spans="2:6" ht="12.75" customHeight="1" x14ac:dyDescent="0.25">
      <c r="B695" s="99"/>
      <c r="E695" s="99"/>
      <c r="F695" s="99"/>
    </row>
    <row r="696" spans="2:6" ht="12.75" customHeight="1" x14ac:dyDescent="0.25">
      <c r="B696" s="99"/>
      <c r="E696" s="99"/>
      <c r="F696" s="99"/>
    </row>
    <row r="697" spans="2:6" ht="12.75" customHeight="1" x14ac:dyDescent="0.25">
      <c r="B697" s="99"/>
      <c r="E697" s="99"/>
      <c r="F697" s="99"/>
    </row>
    <row r="698" spans="2:6" ht="12.75" customHeight="1" x14ac:dyDescent="0.25">
      <c r="B698" s="99"/>
      <c r="E698" s="99"/>
      <c r="F698" s="99"/>
    </row>
    <row r="699" spans="2:6" ht="12.75" customHeight="1" x14ac:dyDescent="0.25">
      <c r="B699" s="99"/>
      <c r="E699" s="99"/>
      <c r="F699" s="99"/>
    </row>
    <row r="700" spans="2:6" ht="12.75" customHeight="1" x14ac:dyDescent="0.25">
      <c r="B700" s="99"/>
      <c r="E700" s="99"/>
      <c r="F700" s="99"/>
    </row>
    <row r="701" spans="2:6" ht="12.75" customHeight="1" x14ac:dyDescent="0.25">
      <c r="B701" s="99"/>
      <c r="E701" s="99"/>
      <c r="F701" s="99"/>
    </row>
    <row r="702" spans="2:6" ht="12.75" customHeight="1" x14ac:dyDescent="0.25">
      <c r="B702" s="99"/>
      <c r="E702" s="99"/>
      <c r="F702" s="99"/>
    </row>
    <row r="703" spans="2:6" ht="12.75" customHeight="1" x14ac:dyDescent="0.25">
      <c r="B703" s="99"/>
      <c r="E703" s="99"/>
      <c r="F703" s="99"/>
    </row>
    <row r="704" spans="2:6" ht="12.75" customHeight="1" x14ac:dyDescent="0.25">
      <c r="B704" s="99"/>
      <c r="E704" s="99"/>
      <c r="F704" s="99"/>
    </row>
    <row r="705" spans="2:6" ht="12.75" customHeight="1" x14ac:dyDescent="0.25">
      <c r="B705" s="99"/>
      <c r="E705" s="99"/>
      <c r="F705" s="99"/>
    </row>
    <row r="706" spans="2:6" ht="12.75" customHeight="1" x14ac:dyDescent="0.25">
      <c r="B706" s="99"/>
      <c r="E706" s="99"/>
      <c r="F706" s="99"/>
    </row>
    <row r="707" spans="2:6" ht="12.75" customHeight="1" x14ac:dyDescent="0.25">
      <c r="B707" s="99"/>
      <c r="E707" s="99"/>
      <c r="F707" s="99"/>
    </row>
    <row r="708" spans="2:6" ht="12.75" customHeight="1" x14ac:dyDescent="0.25">
      <c r="B708" s="99"/>
      <c r="E708" s="99"/>
      <c r="F708" s="99"/>
    </row>
    <row r="709" spans="2:6" ht="12.75" customHeight="1" x14ac:dyDescent="0.25">
      <c r="B709" s="99"/>
      <c r="E709" s="99"/>
      <c r="F709" s="99"/>
    </row>
    <row r="710" spans="2:6" ht="12.75" customHeight="1" x14ac:dyDescent="0.25">
      <c r="B710" s="99"/>
      <c r="E710" s="99"/>
      <c r="F710" s="99"/>
    </row>
    <row r="711" spans="2:6" ht="12.75" customHeight="1" x14ac:dyDescent="0.25">
      <c r="B711" s="99"/>
      <c r="E711" s="99"/>
      <c r="F711" s="99"/>
    </row>
    <row r="712" spans="2:6" ht="12.75" customHeight="1" x14ac:dyDescent="0.25">
      <c r="B712" s="99"/>
      <c r="E712" s="99"/>
      <c r="F712" s="99"/>
    </row>
    <row r="713" spans="2:6" ht="12.75" customHeight="1" x14ac:dyDescent="0.25">
      <c r="B713" s="99"/>
      <c r="E713" s="99"/>
      <c r="F713" s="99"/>
    </row>
    <row r="714" spans="2:6" ht="12.75" customHeight="1" x14ac:dyDescent="0.25">
      <c r="B714" s="99"/>
      <c r="E714" s="99"/>
      <c r="F714" s="99"/>
    </row>
    <row r="715" spans="2:6" ht="12.75" customHeight="1" x14ac:dyDescent="0.25">
      <c r="B715" s="99"/>
      <c r="E715" s="99"/>
      <c r="F715" s="99"/>
    </row>
    <row r="716" spans="2:6" ht="12.75" customHeight="1" x14ac:dyDescent="0.25">
      <c r="B716" s="99"/>
      <c r="E716" s="99"/>
      <c r="F716" s="99"/>
    </row>
    <row r="717" spans="2:6" ht="12.75" customHeight="1" x14ac:dyDescent="0.25">
      <c r="B717" s="99"/>
      <c r="E717" s="99"/>
      <c r="F717" s="99"/>
    </row>
    <row r="718" spans="2:6" ht="12.75" customHeight="1" x14ac:dyDescent="0.25">
      <c r="B718" s="99"/>
      <c r="E718" s="99"/>
      <c r="F718" s="99"/>
    </row>
    <row r="719" spans="2:6" ht="12.75" customHeight="1" x14ac:dyDescent="0.25">
      <c r="B719" s="99"/>
      <c r="E719" s="99"/>
      <c r="F719" s="99"/>
    </row>
    <row r="720" spans="2:6" ht="12.75" customHeight="1" x14ac:dyDescent="0.25">
      <c r="B720" s="99"/>
      <c r="E720" s="99"/>
      <c r="F720" s="99"/>
    </row>
    <row r="721" spans="2:6" ht="12.75" customHeight="1" x14ac:dyDescent="0.25">
      <c r="B721" s="99"/>
      <c r="E721" s="99"/>
      <c r="F721" s="99"/>
    </row>
    <row r="722" spans="2:6" ht="12.75" customHeight="1" x14ac:dyDescent="0.25">
      <c r="B722" s="99"/>
      <c r="E722" s="99"/>
      <c r="F722" s="99"/>
    </row>
    <row r="723" spans="2:6" ht="12.75" customHeight="1" x14ac:dyDescent="0.25">
      <c r="B723" s="99"/>
      <c r="E723" s="99"/>
      <c r="F723" s="99"/>
    </row>
    <row r="724" spans="2:6" ht="12.75" customHeight="1" x14ac:dyDescent="0.25">
      <c r="B724" s="99"/>
      <c r="E724" s="99"/>
      <c r="F724" s="99"/>
    </row>
    <row r="725" spans="2:6" ht="12.75" customHeight="1" x14ac:dyDescent="0.25">
      <c r="B725" s="99"/>
      <c r="E725" s="99"/>
      <c r="F725" s="99"/>
    </row>
    <row r="726" spans="2:6" ht="12.75" customHeight="1" x14ac:dyDescent="0.25">
      <c r="B726" s="99"/>
      <c r="E726" s="99"/>
      <c r="F726" s="99"/>
    </row>
    <row r="727" spans="2:6" ht="12.75" customHeight="1" x14ac:dyDescent="0.25">
      <c r="B727" s="99"/>
      <c r="E727" s="99"/>
      <c r="F727" s="99"/>
    </row>
    <row r="728" spans="2:6" ht="12.75" customHeight="1" x14ac:dyDescent="0.25">
      <c r="B728" s="99"/>
      <c r="E728" s="99"/>
      <c r="F728" s="99"/>
    </row>
    <row r="729" spans="2:6" ht="12.75" customHeight="1" x14ac:dyDescent="0.25">
      <c r="B729" s="99"/>
      <c r="E729" s="99"/>
      <c r="F729" s="99"/>
    </row>
    <row r="730" spans="2:6" ht="12.75" customHeight="1" x14ac:dyDescent="0.25">
      <c r="B730" s="99"/>
      <c r="E730" s="99"/>
      <c r="F730" s="99"/>
    </row>
    <row r="731" spans="2:6" ht="12.75" customHeight="1" x14ac:dyDescent="0.25">
      <c r="B731" s="99"/>
      <c r="E731" s="99"/>
      <c r="F731" s="99"/>
    </row>
    <row r="732" spans="2:6" ht="12.75" customHeight="1" x14ac:dyDescent="0.25">
      <c r="B732" s="99"/>
      <c r="E732" s="99"/>
      <c r="F732" s="99"/>
    </row>
    <row r="733" spans="2:6" ht="12.75" customHeight="1" x14ac:dyDescent="0.25">
      <c r="B733" s="99"/>
      <c r="E733" s="99"/>
      <c r="F733" s="99"/>
    </row>
    <row r="734" spans="2:6" ht="12.75" customHeight="1" x14ac:dyDescent="0.25">
      <c r="B734" s="99"/>
      <c r="E734" s="99"/>
      <c r="F734" s="99"/>
    </row>
    <row r="735" spans="2:6" ht="12.75" customHeight="1" x14ac:dyDescent="0.25">
      <c r="B735" s="99"/>
      <c r="E735" s="99"/>
      <c r="F735" s="99"/>
    </row>
    <row r="736" spans="2:6" ht="12.75" customHeight="1" x14ac:dyDescent="0.25">
      <c r="B736" s="99"/>
      <c r="E736" s="99"/>
      <c r="F736" s="99"/>
    </row>
    <row r="737" spans="2:6" ht="12.75" customHeight="1" x14ac:dyDescent="0.25">
      <c r="B737" s="99"/>
      <c r="E737" s="99"/>
      <c r="F737" s="99"/>
    </row>
    <row r="738" spans="2:6" ht="12.75" customHeight="1" x14ac:dyDescent="0.25">
      <c r="B738" s="99"/>
      <c r="E738" s="99"/>
      <c r="F738" s="99"/>
    </row>
    <row r="739" spans="2:6" ht="12.75" customHeight="1" x14ac:dyDescent="0.25">
      <c r="B739" s="99"/>
      <c r="E739" s="99"/>
      <c r="F739" s="99"/>
    </row>
    <row r="740" spans="2:6" ht="12.75" customHeight="1" x14ac:dyDescent="0.25">
      <c r="B740" s="99"/>
      <c r="E740" s="99"/>
      <c r="F740" s="99"/>
    </row>
    <row r="741" spans="2:6" ht="12.75" customHeight="1" x14ac:dyDescent="0.25">
      <c r="B741" s="99"/>
      <c r="E741" s="99"/>
      <c r="F741" s="99"/>
    </row>
    <row r="742" spans="2:6" ht="12.75" customHeight="1" x14ac:dyDescent="0.25">
      <c r="B742" s="99"/>
      <c r="E742" s="99"/>
      <c r="F742" s="99"/>
    </row>
    <row r="743" spans="2:6" ht="12.75" customHeight="1" x14ac:dyDescent="0.25">
      <c r="B743" s="99"/>
      <c r="E743" s="99"/>
      <c r="F743" s="99"/>
    </row>
    <row r="744" spans="2:6" ht="12.75" customHeight="1" x14ac:dyDescent="0.25">
      <c r="B744" s="99"/>
      <c r="E744" s="99"/>
      <c r="F744" s="99"/>
    </row>
    <row r="745" spans="2:6" ht="12.75" customHeight="1" x14ac:dyDescent="0.25">
      <c r="B745" s="99"/>
      <c r="E745" s="99"/>
      <c r="F745" s="99"/>
    </row>
    <row r="746" spans="2:6" ht="12.75" customHeight="1" x14ac:dyDescent="0.25">
      <c r="B746" s="99"/>
      <c r="E746" s="99"/>
      <c r="F746" s="99"/>
    </row>
    <row r="747" spans="2:6" ht="12.75" customHeight="1" x14ac:dyDescent="0.25">
      <c r="B747" s="99"/>
      <c r="E747" s="99"/>
      <c r="F747" s="99"/>
    </row>
    <row r="748" spans="2:6" ht="12.75" customHeight="1" x14ac:dyDescent="0.25">
      <c r="B748" s="99"/>
      <c r="E748" s="99"/>
      <c r="F748" s="99"/>
    </row>
    <row r="749" spans="2:6" ht="12.75" customHeight="1" x14ac:dyDescent="0.25">
      <c r="B749" s="99"/>
      <c r="E749" s="99"/>
      <c r="F749" s="99"/>
    </row>
    <row r="750" spans="2:6" ht="12.75" customHeight="1" x14ac:dyDescent="0.25">
      <c r="B750" s="99"/>
      <c r="E750" s="99"/>
      <c r="F750" s="99"/>
    </row>
    <row r="751" spans="2:6" ht="12.75" customHeight="1" x14ac:dyDescent="0.25">
      <c r="B751" s="99"/>
      <c r="E751" s="99"/>
      <c r="F751" s="99"/>
    </row>
    <row r="752" spans="2:6" ht="12.75" customHeight="1" x14ac:dyDescent="0.25">
      <c r="B752" s="99"/>
      <c r="E752" s="99"/>
      <c r="F752" s="99"/>
    </row>
    <row r="753" spans="2:6" ht="12.75" customHeight="1" x14ac:dyDescent="0.25">
      <c r="B753" s="99"/>
      <c r="E753" s="99"/>
      <c r="F753" s="99"/>
    </row>
    <row r="754" spans="2:6" ht="12.75" customHeight="1" x14ac:dyDescent="0.25">
      <c r="B754" s="99"/>
      <c r="E754" s="99"/>
      <c r="F754" s="99"/>
    </row>
    <row r="755" spans="2:6" ht="12.75" customHeight="1" x14ac:dyDescent="0.25">
      <c r="B755" s="99"/>
      <c r="E755" s="99"/>
      <c r="F755" s="99"/>
    </row>
    <row r="756" spans="2:6" ht="12.75" customHeight="1" x14ac:dyDescent="0.25">
      <c r="B756" s="99"/>
      <c r="E756" s="99"/>
      <c r="F756" s="99"/>
    </row>
    <row r="757" spans="2:6" ht="12.75" customHeight="1" x14ac:dyDescent="0.25">
      <c r="B757" s="99"/>
      <c r="E757" s="99"/>
      <c r="F757" s="99"/>
    </row>
    <row r="758" spans="2:6" ht="12.75" customHeight="1" x14ac:dyDescent="0.25">
      <c r="B758" s="99"/>
      <c r="E758" s="99"/>
      <c r="F758" s="99"/>
    </row>
    <row r="759" spans="2:6" ht="12.75" customHeight="1" x14ac:dyDescent="0.25">
      <c r="B759" s="99"/>
      <c r="E759" s="99"/>
      <c r="F759" s="99"/>
    </row>
    <row r="760" spans="2:6" ht="12.75" customHeight="1" x14ac:dyDescent="0.25">
      <c r="B760" s="99"/>
      <c r="E760" s="99"/>
      <c r="F760" s="99"/>
    </row>
    <row r="761" spans="2:6" ht="12.75" customHeight="1" x14ac:dyDescent="0.25">
      <c r="B761" s="99"/>
      <c r="E761" s="99"/>
      <c r="F761" s="99"/>
    </row>
    <row r="762" spans="2:6" ht="12.75" customHeight="1" x14ac:dyDescent="0.25">
      <c r="B762" s="99"/>
      <c r="E762" s="99"/>
      <c r="F762" s="99"/>
    </row>
    <row r="763" spans="2:6" ht="12.75" customHeight="1" x14ac:dyDescent="0.25">
      <c r="B763" s="99"/>
      <c r="E763" s="99"/>
      <c r="F763" s="99"/>
    </row>
    <row r="764" spans="2:6" ht="12.75" customHeight="1" x14ac:dyDescent="0.25">
      <c r="B764" s="99"/>
      <c r="E764" s="99"/>
      <c r="F764" s="99"/>
    </row>
    <row r="765" spans="2:6" ht="12.75" customHeight="1" x14ac:dyDescent="0.25">
      <c r="B765" s="99"/>
      <c r="E765" s="99"/>
      <c r="F765" s="99"/>
    </row>
    <row r="766" spans="2:6" ht="12.75" customHeight="1" x14ac:dyDescent="0.25">
      <c r="B766" s="99"/>
      <c r="E766" s="99"/>
      <c r="F766" s="99"/>
    </row>
    <row r="767" spans="2:6" ht="12.75" customHeight="1" x14ac:dyDescent="0.25">
      <c r="B767" s="99"/>
      <c r="E767" s="99"/>
      <c r="F767" s="99"/>
    </row>
    <row r="768" spans="2:6" ht="12.75" customHeight="1" x14ac:dyDescent="0.25">
      <c r="B768" s="99"/>
      <c r="E768" s="99"/>
      <c r="F768" s="99"/>
    </row>
    <row r="769" spans="2:6" ht="12.75" customHeight="1" x14ac:dyDescent="0.25">
      <c r="B769" s="99"/>
      <c r="E769" s="99"/>
      <c r="F769" s="99"/>
    </row>
    <row r="770" spans="2:6" ht="12.75" customHeight="1" x14ac:dyDescent="0.25">
      <c r="B770" s="99"/>
      <c r="E770" s="99"/>
      <c r="F770" s="99"/>
    </row>
    <row r="771" spans="2:6" ht="12.75" customHeight="1" x14ac:dyDescent="0.25">
      <c r="B771" s="99"/>
      <c r="E771" s="99"/>
      <c r="F771" s="99"/>
    </row>
    <row r="772" spans="2:6" ht="12.75" customHeight="1" x14ac:dyDescent="0.25">
      <c r="B772" s="99"/>
      <c r="E772" s="99"/>
      <c r="F772" s="99"/>
    </row>
    <row r="773" spans="2:6" ht="12.75" customHeight="1" x14ac:dyDescent="0.25">
      <c r="B773" s="99"/>
      <c r="E773" s="99"/>
      <c r="F773" s="99"/>
    </row>
    <row r="774" spans="2:6" ht="12.75" customHeight="1" x14ac:dyDescent="0.25">
      <c r="B774" s="99"/>
      <c r="E774" s="99"/>
      <c r="F774" s="99"/>
    </row>
    <row r="775" spans="2:6" ht="12.75" customHeight="1" x14ac:dyDescent="0.25">
      <c r="B775" s="99"/>
      <c r="E775" s="99"/>
      <c r="F775" s="99"/>
    </row>
    <row r="776" spans="2:6" ht="12.75" customHeight="1" x14ac:dyDescent="0.25">
      <c r="B776" s="99"/>
      <c r="E776" s="99"/>
      <c r="F776" s="99"/>
    </row>
    <row r="777" spans="2:6" ht="12.75" customHeight="1" x14ac:dyDescent="0.25">
      <c r="B777" s="99"/>
      <c r="E777" s="99"/>
      <c r="F777" s="99"/>
    </row>
    <row r="778" spans="2:6" ht="12.75" customHeight="1" x14ac:dyDescent="0.25">
      <c r="B778" s="99"/>
      <c r="E778" s="99"/>
      <c r="F778" s="99"/>
    </row>
    <row r="779" spans="2:6" ht="12.75" customHeight="1" x14ac:dyDescent="0.25">
      <c r="B779" s="99"/>
      <c r="E779" s="99"/>
      <c r="F779" s="99"/>
    </row>
    <row r="780" spans="2:6" ht="12.75" customHeight="1" x14ac:dyDescent="0.25">
      <c r="B780" s="99"/>
      <c r="E780" s="99"/>
      <c r="F780" s="99"/>
    </row>
    <row r="781" spans="2:6" ht="12.75" customHeight="1" x14ac:dyDescent="0.25">
      <c r="B781" s="99"/>
      <c r="E781" s="99"/>
      <c r="F781" s="99"/>
    </row>
    <row r="782" spans="2:6" ht="12.75" customHeight="1" x14ac:dyDescent="0.25">
      <c r="B782" s="99"/>
      <c r="E782" s="99"/>
      <c r="F782" s="99"/>
    </row>
    <row r="783" spans="2:6" ht="12.75" customHeight="1" x14ac:dyDescent="0.25">
      <c r="B783" s="99"/>
      <c r="E783" s="99"/>
      <c r="F783" s="99"/>
    </row>
    <row r="784" spans="2:6" ht="12.75" customHeight="1" x14ac:dyDescent="0.25">
      <c r="B784" s="99"/>
      <c r="E784" s="99"/>
      <c r="F784" s="99"/>
    </row>
    <row r="785" spans="2:6" ht="12.75" customHeight="1" x14ac:dyDescent="0.25">
      <c r="B785" s="99"/>
      <c r="E785" s="99"/>
      <c r="F785" s="99"/>
    </row>
    <row r="786" spans="2:6" ht="12.75" customHeight="1" x14ac:dyDescent="0.25">
      <c r="B786" s="99"/>
      <c r="E786" s="99"/>
      <c r="F786" s="99"/>
    </row>
    <row r="787" spans="2:6" ht="12.75" customHeight="1" x14ac:dyDescent="0.25">
      <c r="B787" s="99"/>
      <c r="E787" s="99"/>
      <c r="F787" s="99"/>
    </row>
    <row r="788" spans="2:6" ht="12.75" customHeight="1" x14ac:dyDescent="0.25">
      <c r="B788" s="99"/>
      <c r="E788" s="99"/>
      <c r="F788" s="99"/>
    </row>
    <row r="789" spans="2:6" ht="12.75" customHeight="1" x14ac:dyDescent="0.25">
      <c r="B789" s="99"/>
      <c r="E789" s="99"/>
      <c r="F789" s="99"/>
    </row>
    <row r="790" spans="2:6" ht="12.75" customHeight="1" x14ac:dyDescent="0.25">
      <c r="B790" s="99"/>
      <c r="E790" s="99"/>
      <c r="F790" s="99"/>
    </row>
    <row r="791" spans="2:6" ht="12.75" customHeight="1" x14ac:dyDescent="0.25">
      <c r="B791" s="99"/>
      <c r="E791" s="99"/>
      <c r="F791" s="99"/>
    </row>
    <row r="792" spans="2:6" ht="12.75" customHeight="1" x14ac:dyDescent="0.25">
      <c r="B792" s="99"/>
      <c r="E792" s="99"/>
      <c r="F792" s="99"/>
    </row>
    <row r="793" spans="2:6" ht="12.75" customHeight="1" x14ac:dyDescent="0.25">
      <c r="B793" s="99"/>
      <c r="E793" s="99"/>
      <c r="F793" s="99"/>
    </row>
    <row r="794" spans="2:6" ht="12.75" customHeight="1" x14ac:dyDescent="0.25">
      <c r="B794" s="99"/>
      <c r="E794" s="99"/>
      <c r="F794" s="99"/>
    </row>
    <row r="795" spans="2:6" ht="12.75" customHeight="1" x14ac:dyDescent="0.25">
      <c r="B795" s="99"/>
      <c r="E795" s="99"/>
      <c r="F795" s="99"/>
    </row>
    <row r="796" spans="2:6" ht="12.75" customHeight="1" x14ac:dyDescent="0.25">
      <c r="B796" s="99"/>
      <c r="E796" s="99"/>
      <c r="F796" s="99"/>
    </row>
    <row r="797" spans="2:6" ht="12.75" customHeight="1" x14ac:dyDescent="0.25">
      <c r="B797" s="99"/>
      <c r="E797" s="99"/>
      <c r="F797" s="99"/>
    </row>
    <row r="798" spans="2:6" ht="12.75" customHeight="1" x14ac:dyDescent="0.25">
      <c r="B798" s="99"/>
      <c r="E798" s="99"/>
      <c r="F798" s="99"/>
    </row>
    <row r="799" spans="2:6" ht="12.75" customHeight="1" x14ac:dyDescent="0.25">
      <c r="B799" s="99"/>
      <c r="E799" s="99"/>
      <c r="F799" s="99"/>
    </row>
    <row r="800" spans="2:6" ht="12.75" customHeight="1" x14ac:dyDescent="0.25">
      <c r="B800" s="99"/>
      <c r="E800" s="99"/>
      <c r="F800" s="99"/>
    </row>
    <row r="801" spans="2:6" ht="12.75" customHeight="1" x14ac:dyDescent="0.25">
      <c r="B801" s="99"/>
      <c r="E801" s="99"/>
      <c r="F801" s="99"/>
    </row>
    <row r="802" spans="2:6" ht="12.75" customHeight="1" x14ac:dyDescent="0.25">
      <c r="B802" s="99"/>
      <c r="E802" s="99"/>
      <c r="F802" s="99"/>
    </row>
    <row r="803" spans="2:6" ht="12.75" customHeight="1" x14ac:dyDescent="0.25">
      <c r="B803" s="99"/>
      <c r="E803" s="99"/>
      <c r="F803" s="99"/>
    </row>
    <row r="804" spans="2:6" ht="12.75" customHeight="1" x14ac:dyDescent="0.25">
      <c r="B804" s="99"/>
      <c r="E804" s="99"/>
      <c r="F804" s="99"/>
    </row>
    <row r="805" spans="2:6" ht="12.75" customHeight="1" x14ac:dyDescent="0.25">
      <c r="B805" s="99"/>
      <c r="E805" s="99"/>
      <c r="F805" s="99"/>
    </row>
    <row r="806" spans="2:6" ht="12.75" customHeight="1" x14ac:dyDescent="0.25">
      <c r="B806" s="99"/>
      <c r="E806" s="99"/>
      <c r="F806" s="99"/>
    </row>
    <row r="807" spans="2:6" ht="12.75" customHeight="1" x14ac:dyDescent="0.25">
      <c r="B807" s="99"/>
      <c r="E807" s="99"/>
      <c r="F807" s="99"/>
    </row>
    <row r="808" spans="2:6" ht="12.75" customHeight="1" x14ac:dyDescent="0.25">
      <c r="B808" s="99"/>
      <c r="E808" s="99"/>
      <c r="F808" s="99"/>
    </row>
    <row r="809" spans="2:6" ht="12.75" customHeight="1" x14ac:dyDescent="0.25">
      <c r="B809" s="99"/>
      <c r="E809" s="99"/>
      <c r="F809" s="99"/>
    </row>
    <row r="810" spans="2:6" ht="12.75" customHeight="1" x14ac:dyDescent="0.25">
      <c r="B810" s="99"/>
      <c r="E810" s="99"/>
      <c r="F810" s="99"/>
    </row>
    <row r="811" spans="2:6" ht="12.75" customHeight="1" x14ac:dyDescent="0.25">
      <c r="B811" s="99"/>
      <c r="E811" s="99"/>
      <c r="F811" s="99"/>
    </row>
    <row r="812" spans="2:6" ht="12.75" customHeight="1" x14ac:dyDescent="0.25">
      <c r="B812" s="99"/>
      <c r="E812" s="99"/>
      <c r="F812" s="99"/>
    </row>
    <row r="813" spans="2:6" ht="12.75" customHeight="1" x14ac:dyDescent="0.25">
      <c r="B813" s="99"/>
      <c r="E813" s="99"/>
      <c r="F813" s="99"/>
    </row>
    <row r="814" spans="2:6" ht="12.75" customHeight="1" x14ac:dyDescent="0.25">
      <c r="B814" s="99"/>
      <c r="E814" s="99"/>
      <c r="F814" s="99"/>
    </row>
    <row r="815" spans="2:6" ht="12.75" customHeight="1" x14ac:dyDescent="0.25">
      <c r="B815" s="99"/>
      <c r="E815" s="99"/>
      <c r="F815" s="99"/>
    </row>
    <row r="816" spans="2:6" ht="12.75" customHeight="1" x14ac:dyDescent="0.25">
      <c r="B816" s="99"/>
      <c r="E816" s="99"/>
      <c r="F816" s="99"/>
    </row>
    <row r="817" spans="2:6" ht="12.75" customHeight="1" x14ac:dyDescent="0.25">
      <c r="B817" s="99"/>
      <c r="E817" s="99"/>
      <c r="F817" s="99"/>
    </row>
    <row r="818" spans="2:6" ht="12.75" customHeight="1" x14ac:dyDescent="0.25">
      <c r="B818" s="99"/>
      <c r="E818" s="99"/>
      <c r="F818" s="99"/>
    </row>
    <row r="819" spans="2:6" ht="12.75" customHeight="1" x14ac:dyDescent="0.25">
      <c r="B819" s="99"/>
      <c r="E819" s="99"/>
      <c r="F819" s="99"/>
    </row>
    <row r="820" spans="2:6" ht="12.75" customHeight="1" x14ac:dyDescent="0.25">
      <c r="B820" s="99"/>
      <c r="E820" s="99"/>
      <c r="F820" s="99"/>
    </row>
    <row r="821" spans="2:6" ht="12.75" customHeight="1" x14ac:dyDescent="0.25">
      <c r="B821" s="99"/>
      <c r="E821" s="99"/>
      <c r="F821" s="99"/>
    </row>
    <row r="822" spans="2:6" ht="12.75" customHeight="1" x14ac:dyDescent="0.25">
      <c r="B822" s="99"/>
      <c r="E822" s="99"/>
      <c r="F822" s="99"/>
    </row>
    <row r="823" spans="2:6" ht="12.75" customHeight="1" x14ac:dyDescent="0.25">
      <c r="B823" s="99"/>
      <c r="E823" s="99"/>
      <c r="F823" s="99"/>
    </row>
    <row r="824" spans="2:6" ht="12.75" customHeight="1" x14ac:dyDescent="0.25">
      <c r="B824" s="99"/>
      <c r="E824" s="99"/>
      <c r="F824" s="99"/>
    </row>
    <row r="825" spans="2:6" ht="12.75" customHeight="1" x14ac:dyDescent="0.25">
      <c r="B825" s="99"/>
      <c r="E825" s="99"/>
      <c r="F825" s="99"/>
    </row>
    <row r="826" spans="2:6" ht="12.75" customHeight="1" x14ac:dyDescent="0.25">
      <c r="B826" s="99"/>
      <c r="E826" s="99"/>
      <c r="F826" s="99"/>
    </row>
    <row r="827" spans="2:6" ht="12.75" customHeight="1" x14ac:dyDescent="0.25">
      <c r="B827" s="99"/>
      <c r="E827" s="99"/>
      <c r="F827" s="99"/>
    </row>
    <row r="828" spans="2:6" ht="12.75" customHeight="1" x14ac:dyDescent="0.25">
      <c r="B828" s="99"/>
      <c r="E828" s="99"/>
      <c r="F828" s="99"/>
    </row>
    <row r="829" spans="2:6" ht="12.75" customHeight="1" x14ac:dyDescent="0.25">
      <c r="B829" s="99"/>
      <c r="E829" s="99"/>
      <c r="F829" s="99"/>
    </row>
    <row r="830" spans="2:6" ht="12.75" customHeight="1" x14ac:dyDescent="0.25">
      <c r="B830" s="99"/>
      <c r="E830" s="99"/>
      <c r="F830" s="99"/>
    </row>
    <row r="831" spans="2:6" ht="12.75" customHeight="1" x14ac:dyDescent="0.25">
      <c r="B831" s="99"/>
      <c r="E831" s="99"/>
      <c r="F831" s="99"/>
    </row>
    <row r="832" spans="2:6" ht="12.75" customHeight="1" x14ac:dyDescent="0.25">
      <c r="B832" s="99"/>
      <c r="E832" s="99"/>
      <c r="F832" s="99"/>
    </row>
    <row r="833" spans="2:6" ht="12.75" customHeight="1" x14ac:dyDescent="0.25">
      <c r="B833" s="99"/>
      <c r="E833" s="99"/>
      <c r="F833" s="99"/>
    </row>
    <row r="834" spans="2:6" ht="12.75" customHeight="1" x14ac:dyDescent="0.25">
      <c r="B834" s="99"/>
      <c r="E834" s="99"/>
      <c r="F834" s="99"/>
    </row>
    <row r="835" spans="2:6" ht="12.75" customHeight="1" x14ac:dyDescent="0.25">
      <c r="B835" s="99"/>
      <c r="E835" s="99"/>
      <c r="F835" s="99"/>
    </row>
    <row r="836" spans="2:6" ht="12.75" customHeight="1" x14ac:dyDescent="0.25">
      <c r="B836" s="99"/>
      <c r="E836" s="99"/>
      <c r="F836" s="99"/>
    </row>
    <row r="837" spans="2:6" ht="12.75" customHeight="1" x14ac:dyDescent="0.25">
      <c r="B837" s="99"/>
      <c r="E837" s="99"/>
      <c r="F837" s="99"/>
    </row>
    <row r="838" spans="2:6" ht="12.75" customHeight="1" x14ac:dyDescent="0.25">
      <c r="B838" s="99"/>
      <c r="E838" s="99"/>
      <c r="F838" s="99"/>
    </row>
    <row r="839" spans="2:6" ht="12.75" customHeight="1" x14ac:dyDescent="0.25">
      <c r="B839" s="99"/>
      <c r="E839" s="99"/>
      <c r="F839" s="99"/>
    </row>
    <row r="840" spans="2:6" ht="12.75" customHeight="1" x14ac:dyDescent="0.25">
      <c r="B840" s="99"/>
      <c r="E840" s="99"/>
      <c r="F840" s="99"/>
    </row>
    <row r="841" spans="2:6" ht="12.75" customHeight="1" x14ac:dyDescent="0.25">
      <c r="B841" s="99"/>
      <c r="E841" s="99"/>
      <c r="F841" s="99"/>
    </row>
    <row r="842" spans="2:6" ht="12.75" customHeight="1" x14ac:dyDescent="0.25">
      <c r="B842" s="99"/>
      <c r="E842" s="99"/>
      <c r="F842" s="99"/>
    </row>
    <row r="843" spans="2:6" ht="12.75" customHeight="1" x14ac:dyDescent="0.25">
      <c r="B843" s="99"/>
      <c r="E843" s="99"/>
      <c r="F843" s="99"/>
    </row>
    <row r="844" spans="2:6" ht="12.75" customHeight="1" x14ac:dyDescent="0.25">
      <c r="B844" s="99"/>
      <c r="E844" s="99"/>
      <c r="F844" s="99"/>
    </row>
    <row r="845" spans="2:6" ht="12.75" customHeight="1" x14ac:dyDescent="0.25">
      <c r="B845" s="99"/>
      <c r="E845" s="99"/>
      <c r="F845" s="99"/>
    </row>
    <row r="846" spans="2:6" ht="12.75" customHeight="1" x14ac:dyDescent="0.25">
      <c r="B846" s="99"/>
      <c r="E846" s="99"/>
      <c r="F846" s="99"/>
    </row>
    <row r="847" spans="2:6" ht="12.75" customHeight="1" x14ac:dyDescent="0.25">
      <c r="B847" s="99"/>
      <c r="E847" s="99"/>
      <c r="F847" s="99"/>
    </row>
    <row r="848" spans="2:6" ht="12.75" customHeight="1" x14ac:dyDescent="0.25">
      <c r="B848" s="99"/>
      <c r="E848" s="99"/>
      <c r="F848" s="99"/>
    </row>
    <row r="849" spans="2:6" ht="12.75" customHeight="1" x14ac:dyDescent="0.25">
      <c r="B849" s="99"/>
      <c r="E849" s="99"/>
      <c r="F849" s="99"/>
    </row>
    <row r="850" spans="2:6" ht="12.75" customHeight="1" x14ac:dyDescent="0.25">
      <c r="B850" s="99"/>
      <c r="E850" s="99"/>
      <c r="F850" s="99"/>
    </row>
    <row r="851" spans="2:6" ht="12.75" customHeight="1" x14ac:dyDescent="0.25">
      <c r="B851" s="99"/>
      <c r="E851" s="99"/>
      <c r="F851" s="99"/>
    </row>
    <row r="852" spans="2:6" ht="12.75" customHeight="1" x14ac:dyDescent="0.25">
      <c r="B852" s="99"/>
      <c r="E852" s="99"/>
      <c r="F852" s="99"/>
    </row>
    <row r="853" spans="2:6" ht="12.75" customHeight="1" x14ac:dyDescent="0.25">
      <c r="B853" s="99"/>
      <c r="E853" s="99"/>
      <c r="F853" s="99"/>
    </row>
    <row r="854" spans="2:6" ht="12.75" customHeight="1" x14ac:dyDescent="0.25">
      <c r="B854" s="99"/>
      <c r="E854" s="99"/>
      <c r="F854" s="99"/>
    </row>
    <row r="855" spans="2:6" ht="12.75" customHeight="1" x14ac:dyDescent="0.25">
      <c r="B855" s="99"/>
      <c r="E855" s="99"/>
      <c r="F855" s="99"/>
    </row>
    <row r="856" spans="2:6" ht="12.75" customHeight="1" x14ac:dyDescent="0.25">
      <c r="B856" s="99"/>
      <c r="E856" s="99"/>
      <c r="F856" s="99"/>
    </row>
    <row r="857" spans="2:6" ht="12.75" customHeight="1" x14ac:dyDescent="0.25">
      <c r="B857" s="99"/>
      <c r="E857" s="99"/>
      <c r="F857" s="99"/>
    </row>
    <row r="858" spans="2:6" ht="12.75" customHeight="1" x14ac:dyDescent="0.25">
      <c r="B858" s="99"/>
      <c r="E858" s="99"/>
      <c r="F858" s="99"/>
    </row>
    <row r="859" spans="2:6" ht="12.75" customHeight="1" x14ac:dyDescent="0.25">
      <c r="B859" s="99"/>
      <c r="E859" s="99"/>
      <c r="F859" s="99"/>
    </row>
    <row r="860" spans="2:6" ht="12.75" customHeight="1" x14ac:dyDescent="0.25">
      <c r="B860" s="99"/>
      <c r="E860" s="99"/>
      <c r="F860" s="99"/>
    </row>
    <row r="861" spans="2:6" ht="12.75" customHeight="1" x14ac:dyDescent="0.25">
      <c r="B861" s="99"/>
      <c r="E861" s="99"/>
      <c r="F861" s="99"/>
    </row>
    <row r="862" spans="2:6" ht="12.75" customHeight="1" x14ac:dyDescent="0.25">
      <c r="B862" s="99"/>
      <c r="E862" s="99"/>
      <c r="F862" s="99"/>
    </row>
    <row r="863" spans="2:6" ht="12.75" customHeight="1" x14ac:dyDescent="0.25">
      <c r="B863" s="99"/>
      <c r="E863" s="99"/>
      <c r="F863" s="99"/>
    </row>
    <row r="864" spans="2:6" ht="12.75" customHeight="1" x14ac:dyDescent="0.25">
      <c r="B864" s="99"/>
      <c r="E864" s="99"/>
      <c r="F864" s="99"/>
    </row>
    <row r="865" spans="2:6" ht="12.75" customHeight="1" x14ac:dyDescent="0.25">
      <c r="B865" s="99"/>
      <c r="E865" s="99"/>
      <c r="F865" s="99"/>
    </row>
    <row r="866" spans="2:6" ht="12.75" customHeight="1" x14ac:dyDescent="0.25">
      <c r="B866" s="99"/>
      <c r="E866" s="99"/>
      <c r="F866" s="99"/>
    </row>
    <row r="867" spans="2:6" ht="12.75" customHeight="1" x14ac:dyDescent="0.25">
      <c r="B867" s="99"/>
      <c r="E867" s="99"/>
      <c r="F867" s="99"/>
    </row>
    <row r="868" spans="2:6" ht="12.75" customHeight="1" x14ac:dyDescent="0.25">
      <c r="B868" s="99"/>
      <c r="E868" s="99"/>
      <c r="F868" s="99"/>
    </row>
    <row r="869" spans="2:6" ht="12.75" customHeight="1" x14ac:dyDescent="0.25">
      <c r="B869" s="99"/>
      <c r="E869" s="99"/>
      <c r="F869" s="99"/>
    </row>
    <row r="870" spans="2:6" ht="12.75" customHeight="1" x14ac:dyDescent="0.25">
      <c r="B870" s="99"/>
      <c r="E870" s="99"/>
      <c r="F870" s="99"/>
    </row>
    <row r="871" spans="2:6" ht="12.75" customHeight="1" x14ac:dyDescent="0.25">
      <c r="B871" s="99"/>
      <c r="E871" s="99"/>
      <c r="F871" s="99"/>
    </row>
    <row r="872" spans="2:6" ht="12.75" customHeight="1" x14ac:dyDescent="0.25">
      <c r="B872" s="99"/>
      <c r="E872" s="99"/>
      <c r="F872" s="99"/>
    </row>
    <row r="873" spans="2:6" ht="12.75" customHeight="1" x14ac:dyDescent="0.25">
      <c r="B873" s="99"/>
      <c r="E873" s="99"/>
      <c r="F873" s="99"/>
    </row>
    <row r="874" spans="2:6" ht="12.75" customHeight="1" x14ac:dyDescent="0.25">
      <c r="B874" s="99"/>
      <c r="E874" s="99"/>
      <c r="F874" s="99"/>
    </row>
    <row r="875" spans="2:6" ht="12.75" customHeight="1" x14ac:dyDescent="0.25">
      <c r="B875" s="99"/>
      <c r="E875" s="99"/>
      <c r="F875" s="99"/>
    </row>
    <row r="876" spans="2:6" ht="12.75" customHeight="1" x14ac:dyDescent="0.25">
      <c r="B876" s="99"/>
      <c r="E876" s="99"/>
      <c r="F876" s="99"/>
    </row>
    <row r="877" spans="2:6" ht="12.75" customHeight="1" x14ac:dyDescent="0.25">
      <c r="B877" s="99"/>
      <c r="E877" s="99"/>
      <c r="F877" s="99"/>
    </row>
    <row r="878" spans="2:6" ht="12.75" customHeight="1" x14ac:dyDescent="0.25">
      <c r="B878" s="99"/>
      <c r="E878" s="99"/>
      <c r="F878" s="99"/>
    </row>
    <row r="879" spans="2:6" ht="12.75" customHeight="1" x14ac:dyDescent="0.25">
      <c r="B879" s="99"/>
      <c r="E879" s="99"/>
      <c r="F879" s="99"/>
    </row>
    <row r="880" spans="2:6" ht="12.75" customHeight="1" x14ac:dyDescent="0.25">
      <c r="B880" s="99"/>
      <c r="E880" s="99"/>
      <c r="F880" s="99"/>
    </row>
    <row r="881" spans="2:6" ht="12.75" customHeight="1" x14ac:dyDescent="0.25">
      <c r="B881" s="99"/>
      <c r="E881" s="99"/>
      <c r="F881" s="99"/>
    </row>
    <row r="882" spans="2:6" ht="12.75" customHeight="1" x14ac:dyDescent="0.25">
      <c r="B882" s="99"/>
      <c r="E882" s="99"/>
      <c r="F882" s="99"/>
    </row>
    <row r="883" spans="2:6" ht="12.75" customHeight="1" x14ac:dyDescent="0.25">
      <c r="B883" s="99"/>
      <c r="E883" s="99"/>
      <c r="F883" s="99"/>
    </row>
    <row r="884" spans="2:6" ht="12.75" customHeight="1" x14ac:dyDescent="0.25">
      <c r="B884" s="99"/>
      <c r="E884" s="99"/>
      <c r="F884" s="99"/>
    </row>
    <row r="885" spans="2:6" ht="12.75" customHeight="1" x14ac:dyDescent="0.25">
      <c r="B885" s="99"/>
      <c r="E885" s="99"/>
      <c r="F885" s="99"/>
    </row>
    <row r="886" spans="2:6" ht="12.75" customHeight="1" x14ac:dyDescent="0.25">
      <c r="B886" s="99"/>
      <c r="E886" s="99"/>
      <c r="F886" s="99"/>
    </row>
    <row r="887" spans="2:6" ht="12.75" customHeight="1" x14ac:dyDescent="0.25">
      <c r="B887" s="99"/>
      <c r="E887" s="99"/>
      <c r="F887" s="99"/>
    </row>
    <row r="888" spans="2:6" ht="12.75" customHeight="1" x14ac:dyDescent="0.25">
      <c r="B888" s="99"/>
      <c r="E888" s="99"/>
      <c r="F888" s="99"/>
    </row>
    <row r="889" spans="2:6" ht="12.75" customHeight="1" x14ac:dyDescent="0.25">
      <c r="B889" s="99"/>
      <c r="E889" s="99"/>
      <c r="F889" s="99"/>
    </row>
    <row r="890" spans="2:6" ht="12.75" customHeight="1" x14ac:dyDescent="0.25">
      <c r="B890" s="99"/>
      <c r="E890" s="99"/>
      <c r="F890" s="99"/>
    </row>
    <row r="891" spans="2:6" ht="12.75" customHeight="1" x14ac:dyDescent="0.25">
      <c r="B891" s="99"/>
      <c r="E891" s="99"/>
      <c r="F891" s="99"/>
    </row>
    <row r="892" spans="2:6" ht="12.75" customHeight="1" x14ac:dyDescent="0.25">
      <c r="B892" s="99"/>
      <c r="E892" s="99"/>
      <c r="F892" s="99"/>
    </row>
    <row r="893" spans="2:6" ht="12.75" customHeight="1" x14ac:dyDescent="0.25">
      <c r="B893" s="99"/>
      <c r="E893" s="99"/>
      <c r="F893" s="99"/>
    </row>
    <row r="894" spans="2:6" ht="12.75" customHeight="1" x14ac:dyDescent="0.25">
      <c r="B894" s="99"/>
      <c r="E894" s="99"/>
      <c r="F894" s="99"/>
    </row>
    <row r="895" spans="2:6" ht="12.75" customHeight="1" x14ac:dyDescent="0.25">
      <c r="B895" s="99"/>
      <c r="E895" s="99"/>
      <c r="F895" s="99"/>
    </row>
    <row r="896" spans="2:6" ht="12.75" customHeight="1" x14ac:dyDescent="0.25">
      <c r="B896" s="99"/>
      <c r="E896" s="99"/>
      <c r="F896" s="99"/>
    </row>
    <row r="897" spans="2:6" ht="12.75" customHeight="1" x14ac:dyDescent="0.25">
      <c r="B897" s="99"/>
      <c r="E897" s="99"/>
      <c r="F897" s="99"/>
    </row>
    <row r="898" spans="2:6" ht="12.75" customHeight="1" x14ac:dyDescent="0.25">
      <c r="B898" s="99"/>
      <c r="E898" s="99"/>
      <c r="F898" s="99"/>
    </row>
    <row r="899" spans="2:6" ht="12.75" customHeight="1" x14ac:dyDescent="0.25">
      <c r="B899" s="99"/>
      <c r="E899" s="99"/>
      <c r="F899" s="99"/>
    </row>
    <row r="900" spans="2:6" ht="12.75" customHeight="1" x14ac:dyDescent="0.25">
      <c r="B900" s="99"/>
      <c r="E900" s="99"/>
      <c r="F900" s="99"/>
    </row>
    <row r="901" spans="2:6" ht="12.75" customHeight="1" x14ac:dyDescent="0.25">
      <c r="B901" s="99"/>
      <c r="E901" s="99"/>
      <c r="F901" s="99"/>
    </row>
    <row r="902" spans="2:6" ht="12.75" customHeight="1" x14ac:dyDescent="0.25">
      <c r="B902" s="99"/>
      <c r="E902" s="99"/>
      <c r="F902" s="99"/>
    </row>
    <row r="903" spans="2:6" ht="12.75" customHeight="1" x14ac:dyDescent="0.25">
      <c r="B903" s="99"/>
      <c r="E903" s="99"/>
      <c r="F903" s="99"/>
    </row>
    <row r="904" spans="2:6" ht="12.75" customHeight="1" x14ac:dyDescent="0.25">
      <c r="B904" s="99"/>
      <c r="E904" s="99"/>
      <c r="F904" s="99"/>
    </row>
    <row r="905" spans="2:6" ht="12.75" customHeight="1" x14ac:dyDescent="0.25">
      <c r="B905" s="99"/>
      <c r="E905" s="99"/>
      <c r="F905" s="99"/>
    </row>
    <row r="906" spans="2:6" ht="12.75" customHeight="1" x14ac:dyDescent="0.25">
      <c r="B906" s="99"/>
      <c r="E906" s="99"/>
      <c r="F906" s="99"/>
    </row>
    <row r="907" spans="2:6" ht="12.75" customHeight="1" x14ac:dyDescent="0.25">
      <c r="B907" s="99"/>
      <c r="E907" s="99"/>
      <c r="F907" s="99"/>
    </row>
    <row r="908" spans="2:6" ht="12.75" customHeight="1" x14ac:dyDescent="0.25">
      <c r="B908" s="99"/>
      <c r="E908" s="99"/>
      <c r="F908" s="99"/>
    </row>
    <row r="909" spans="2:6" ht="12.75" customHeight="1" x14ac:dyDescent="0.25">
      <c r="B909" s="99"/>
      <c r="E909" s="99"/>
      <c r="F909" s="99"/>
    </row>
    <row r="910" spans="2:6" ht="12.75" customHeight="1" x14ac:dyDescent="0.25">
      <c r="B910" s="99"/>
      <c r="E910" s="99"/>
      <c r="F910" s="99"/>
    </row>
    <row r="911" spans="2:6" ht="12.75" customHeight="1" x14ac:dyDescent="0.25">
      <c r="B911" s="99"/>
      <c r="E911" s="99"/>
      <c r="F911" s="99"/>
    </row>
    <row r="912" spans="2:6" ht="12.75" customHeight="1" x14ac:dyDescent="0.25">
      <c r="B912" s="99"/>
      <c r="E912" s="99"/>
      <c r="F912" s="99"/>
    </row>
    <row r="913" spans="2:6" ht="12.75" customHeight="1" x14ac:dyDescent="0.25">
      <c r="B913" s="99"/>
      <c r="E913" s="99"/>
      <c r="F913" s="99"/>
    </row>
    <row r="914" spans="2:6" ht="12.75" customHeight="1" x14ac:dyDescent="0.25">
      <c r="B914" s="99"/>
      <c r="E914" s="99"/>
      <c r="F914" s="99"/>
    </row>
    <row r="915" spans="2:6" ht="12.75" customHeight="1" x14ac:dyDescent="0.25">
      <c r="B915" s="99"/>
      <c r="E915" s="99"/>
      <c r="F915" s="99"/>
    </row>
    <row r="916" spans="2:6" ht="12.75" customHeight="1" x14ac:dyDescent="0.25">
      <c r="B916" s="99"/>
      <c r="E916" s="99"/>
      <c r="F916" s="99"/>
    </row>
    <row r="917" spans="2:6" ht="12.75" customHeight="1" x14ac:dyDescent="0.25">
      <c r="B917" s="99"/>
      <c r="E917" s="99"/>
      <c r="F917" s="99"/>
    </row>
    <row r="918" spans="2:6" ht="12.75" customHeight="1" x14ac:dyDescent="0.25">
      <c r="B918" s="99"/>
      <c r="E918" s="99"/>
      <c r="F918" s="99"/>
    </row>
    <row r="919" spans="2:6" ht="12.75" customHeight="1" x14ac:dyDescent="0.25">
      <c r="B919" s="99"/>
      <c r="E919" s="99"/>
      <c r="F919" s="99"/>
    </row>
    <row r="920" spans="2:6" ht="12.75" customHeight="1" x14ac:dyDescent="0.25">
      <c r="B920" s="99"/>
      <c r="E920" s="99"/>
      <c r="F920" s="99"/>
    </row>
    <row r="921" spans="2:6" ht="12.75" customHeight="1" x14ac:dyDescent="0.25">
      <c r="B921" s="99"/>
      <c r="E921" s="99"/>
      <c r="F921" s="99"/>
    </row>
    <row r="922" spans="2:6" ht="12.75" customHeight="1" x14ac:dyDescent="0.25">
      <c r="B922" s="99"/>
      <c r="E922" s="99"/>
      <c r="F922" s="99"/>
    </row>
    <row r="923" spans="2:6" ht="12.75" customHeight="1" x14ac:dyDescent="0.25">
      <c r="B923" s="99"/>
      <c r="E923" s="99"/>
      <c r="F923" s="99"/>
    </row>
    <row r="924" spans="2:6" ht="12.75" customHeight="1" x14ac:dyDescent="0.25">
      <c r="B924" s="99"/>
      <c r="E924" s="99"/>
      <c r="F924" s="99"/>
    </row>
    <row r="925" spans="2:6" ht="12.75" customHeight="1" x14ac:dyDescent="0.25">
      <c r="B925" s="99"/>
      <c r="E925" s="99"/>
      <c r="F925" s="99"/>
    </row>
    <row r="926" spans="2:6" ht="12.75" customHeight="1" x14ac:dyDescent="0.25">
      <c r="B926" s="99"/>
      <c r="E926" s="99"/>
      <c r="F926" s="99"/>
    </row>
    <row r="927" spans="2:6" ht="12.75" customHeight="1" x14ac:dyDescent="0.25">
      <c r="B927" s="99"/>
      <c r="E927" s="99"/>
      <c r="F927" s="99"/>
    </row>
    <row r="928" spans="2:6" ht="12.75" customHeight="1" x14ac:dyDescent="0.25">
      <c r="B928" s="99"/>
      <c r="E928" s="99"/>
      <c r="F928" s="99"/>
    </row>
    <row r="929" spans="2:6" ht="12.75" customHeight="1" x14ac:dyDescent="0.25">
      <c r="B929" s="99"/>
      <c r="E929" s="99"/>
      <c r="F929" s="99"/>
    </row>
    <row r="930" spans="2:6" ht="12.75" customHeight="1" x14ac:dyDescent="0.25">
      <c r="B930" s="99"/>
      <c r="E930" s="99"/>
      <c r="F930" s="99"/>
    </row>
    <row r="931" spans="2:6" ht="12.75" customHeight="1" x14ac:dyDescent="0.25">
      <c r="B931" s="99"/>
      <c r="E931" s="99"/>
      <c r="F931" s="99"/>
    </row>
    <row r="932" spans="2:6" ht="12.75" customHeight="1" x14ac:dyDescent="0.25">
      <c r="B932" s="99"/>
      <c r="E932" s="99"/>
      <c r="F932" s="99"/>
    </row>
    <row r="933" spans="2:6" ht="12.75" customHeight="1" x14ac:dyDescent="0.25">
      <c r="B933" s="99"/>
      <c r="E933" s="99"/>
      <c r="F933" s="99"/>
    </row>
    <row r="934" spans="2:6" ht="12.75" customHeight="1" x14ac:dyDescent="0.25">
      <c r="B934" s="99"/>
      <c r="E934" s="99"/>
      <c r="F934" s="99"/>
    </row>
    <row r="935" spans="2:6" ht="12.75" customHeight="1" x14ac:dyDescent="0.25">
      <c r="B935" s="99"/>
      <c r="E935" s="99"/>
      <c r="F935" s="99"/>
    </row>
    <row r="936" spans="2:6" ht="12.75" customHeight="1" x14ac:dyDescent="0.25">
      <c r="B936" s="99"/>
      <c r="E936" s="99"/>
      <c r="F936" s="99"/>
    </row>
    <row r="937" spans="2:6" ht="12.75" customHeight="1" x14ac:dyDescent="0.25">
      <c r="B937" s="99"/>
      <c r="E937" s="99"/>
      <c r="F937" s="99"/>
    </row>
    <row r="938" spans="2:6" ht="12.75" customHeight="1" x14ac:dyDescent="0.25">
      <c r="B938" s="99"/>
      <c r="E938" s="99"/>
      <c r="F938" s="99"/>
    </row>
    <row r="939" spans="2:6" ht="12.75" customHeight="1" x14ac:dyDescent="0.25">
      <c r="B939" s="99"/>
      <c r="E939" s="99"/>
      <c r="F939" s="99"/>
    </row>
    <row r="940" spans="2:6" ht="12.75" customHeight="1" x14ac:dyDescent="0.25">
      <c r="B940" s="99"/>
      <c r="E940" s="99"/>
      <c r="F940" s="99"/>
    </row>
    <row r="941" spans="2:6" ht="12.75" customHeight="1" x14ac:dyDescent="0.25">
      <c r="B941" s="99"/>
      <c r="E941" s="99"/>
      <c r="F941" s="99"/>
    </row>
    <row r="942" spans="2:6" ht="12.75" customHeight="1" x14ac:dyDescent="0.25">
      <c r="B942" s="99"/>
      <c r="E942" s="99"/>
      <c r="F942" s="99"/>
    </row>
    <row r="943" spans="2:6" ht="12.75" customHeight="1" x14ac:dyDescent="0.25">
      <c r="B943" s="99"/>
      <c r="E943" s="99"/>
      <c r="F943" s="99"/>
    </row>
    <row r="944" spans="2:6" ht="12.75" customHeight="1" x14ac:dyDescent="0.25">
      <c r="B944" s="99"/>
      <c r="E944" s="99"/>
      <c r="F944" s="99"/>
    </row>
    <row r="945" spans="2:6" ht="12.75" customHeight="1" x14ac:dyDescent="0.25">
      <c r="B945" s="99"/>
      <c r="E945" s="99"/>
      <c r="F945" s="99"/>
    </row>
    <row r="946" spans="2:6" ht="12.75" customHeight="1" x14ac:dyDescent="0.25">
      <c r="B946" s="99"/>
      <c r="E946" s="99"/>
      <c r="F946" s="99"/>
    </row>
    <row r="947" spans="2:6" ht="12.75" customHeight="1" x14ac:dyDescent="0.25">
      <c r="B947" s="99"/>
      <c r="E947" s="99"/>
      <c r="F947" s="99"/>
    </row>
    <row r="948" spans="2:6" ht="12.75" customHeight="1" x14ac:dyDescent="0.25">
      <c r="B948" s="99"/>
      <c r="E948" s="99"/>
      <c r="F948" s="99"/>
    </row>
    <row r="949" spans="2:6" ht="12.75" customHeight="1" x14ac:dyDescent="0.25">
      <c r="B949" s="99"/>
      <c r="E949" s="99"/>
      <c r="F949" s="99"/>
    </row>
    <row r="950" spans="2:6" ht="12.75" customHeight="1" x14ac:dyDescent="0.25">
      <c r="B950" s="99"/>
      <c r="E950" s="99"/>
      <c r="F950" s="99"/>
    </row>
    <row r="951" spans="2:6" ht="12.75" customHeight="1" x14ac:dyDescent="0.25">
      <c r="B951" s="99"/>
      <c r="E951" s="99"/>
      <c r="F951" s="99"/>
    </row>
    <row r="952" spans="2:6" ht="12.75" customHeight="1" x14ac:dyDescent="0.25">
      <c r="B952" s="99"/>
      <c r="E952" s="99"/>
      <c r="F952" s="99"/>
    </row>
    <row r="953" spans="2:6" ht="12.75" customHeight="1" x14ac:dyDescent="0.25">
      <c r="B953" s="99"/>
      <c r="E953" s="99"/>
      <c r="F953" s="99"/>
    </row>
    <row r="954" spans="2:6" ht="12.75" customHeight="1" x14ac:dyDescent="0.25">
      <c r="B954" s="99"/>
      <c r="E954" s="99"/>
      <c r="F954" s="99"/>
    </row>
    <row r="955" spans="2:6" ht="12.75" customHeight="1" x14ac:dyDescent="0.25">
      <c r="B955" s="99"/>
      <c r="E955" s="99"/>
      <c r="F955" s="99"/>
    </row>
    <row r="956" spans="2:6" ht="12.75" customHeight="1" x14ac:dyDescent="0.25">
      <c r="B956" s="99"/>
      <c r="E956" s="99"/>
      <c r="F956" s="99"/>
    </row>
    <row r="957" spans="2:6" ht="12.75" customHeight="1" x14ac:dyDescent="0.25">
      <c r="B957" s="99"/>
      <c r="E957" s="99"/>
      <c r="F957" s="99"/>
    </row>
    <row r="958" spans="2:6" ht="12.75" customHeight="1" x14ac:dyDescent="0.25">
      <c r="B958" s="99"/>
      <c r="E958" s="99"/>
      <c r="F958" s="99"/>
    </row>
    <row r="959" spans="2:6" ht="12.75" customHeight="1" x14ac:dyDescent="0.25">
      <c r="B959" s="99"/>
      <c r="E959" s="99"/>
      <c r="F959" s="99"/>
    </row>
    <row r="960" spans="2:6" ht="12.75" customHeight="1" x14ac:dyDescent="0.25">
      <c r="B960" s="99"/>
      <c r="E960" s="99"/>
      <c r="F960" s="99"/>
    </row>
    <row r="961" spans="2:6" ht="12.75" customHeight="1" x14ac:dyDescent="0.25">
      <c r="B961" s="99"/>
      <c r="E961" s="99"/>
      <c r="F961" s="99"/>
    </row>
    <row r="962" spans="2:6" ht="12.75" customHeight="1" x14ac:dyDescent="0.25">
      <c r="B962" s="99"/>
      <c r="E962" s="99"/>
      <c r="F962" s="99"/>
    </row>
    <row r="963" spans="2:6" ht="12.75" customHeight="1" x14ac:dyDescent="0.25">
      <c r="B963" s="99"/>
      <c r="E963" s="99"/>
      <c r="F963" s="99"/>
    </row>
    <row r="964" spans="2:6" ht="12.75" customHeight="1" x14ac:dyDescent="0.25">
      <c r="B964" s="99"/>
      <c r="E964" s="99"/>
      <c r="F964" s="99"/>
    </row>
    <row r="965" spans="2:6" ht="12.75" customHeight="1" x14ac:dyDescent="0.25">
      <c r="B965" s="99"/>
      <c r="E965" s="99"/>
      <c r="F965" s="99"/>
    </row>
    <row r="966" spans="2:6" ht="12.75" customHeight="1" x14ac:dyDescent="0.25">
      <c r="B966" s="99"/>
      <c r="E966" s="99"/>
      <c r="F966" s="99"/>
    </row>
    <row r="967" spans="2:6" ht="12.75" customHeight="1" x14ac:dyDescent="0.25">
      <c r="B967" s="99"/>
      <c r="E967" s="99"/>
      <c r="F967" s="99"/>
    </row>
    <row r="968" spans="2:6" ht="12.75" customHeight="1" x14ac:dyDescent="0.25">
      <c r="B968" s="99"/>
      <c r="E968" s="99"/>
      <c r="F968" s="99"/>
    </row>
    <row r="969" spans="2:6" ht="12.75" customHeight="1" x14ac:dyDescent="0.25">
      <c r="B969" s="99"/>
      <c r="E969" s="99"/>
      <c r="F969" s="99"/>
    </row>
    <row r="970" spans="2:6" ht="12.75" customHeight="1" x14ac:dyDescent="0.25">
      <c r="B970" s="99"/>
      <c r="E970" s="99"/>
      <c r="F970" s="99"/>
    </row>
    <row r="971" spans="2:6" ht="12.75" customHeight="1" x14ac:dyDescent="0.25">
      <c r="B971" s="99"/>
      <c r="E971" s="99"/>
      <c r="F971" s="99"/>
    </row>
    <row r="972" spans="2:6" ht="12.75" customHeight="1" x14ac:dyDescent="0.25">
      <c r="B972" s="99"/>
      <c r="E972" s="99"/>
      <c r="F972" s="99"/>
    </row>
    <row r="973" spans="2:6" ht="12.75" customHeight="1" x14ac:dyDescent="0.25">
      <c r="B973" s="99"/>
      <c r="E973" s="99"/>
      <c r="F973" s="99"/>
    </row>
    <row r="974" spans="2:6" x14ac:dyDescent="0.25">
      <c r="B974" s="99"/>
      <c r="E974" s="99"/>
      <c r="F974" s="99"/>
    </row>
  </sheetData>
  <mergeCells count="6">
    <mergeCell ref="B2:H3"/>
    <mergeCell ref="B63:H63"/>
    <mergeCell ref="B64:H64"/>
    <mergeCell ref="R26:U26"/>
    <mergeCell ref="R25:U25"/>
    <mergeCell ref="C10:F10"/>
  </mergeCells>
  <printOptions horizontalCentered="1"/>
  <pageMargins left="0.5" right="0.5" top="1" bottom="0.5" header="0.3" footer="0.511811023622047"/>
  <pageSetup paperSize="9" scale="30"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5B93C-78BA-4608-BE25-56E94876A796}">
  <sheetPr codeName="Sheet82">
    <tabColor rgb="FF00B050"/>
    <pageSetUpPr fitToPage="1"/>
  </sheetPr>
  <dimension ref="A1:AD55"/>
  <sheetViews>
    <sheetView zoomScale="85" zoomScaleNormal="85" workbookViewId="0">
      <selection activeCell="B22" sqref="B22:L22"/>
    </sheetView>
  </sheetViews>
  <sheetFormatPr defaultColWidth="12.5" defaultRowHeight="12.5" x14ac:dyDescent="0.3"/>
  <cols>
    <col min="1" max="1" width="8.08203125" style="693" customWidth="1"/>
    <col min="2" max="2" width="30.6640625" style="693" customWidth="1"/>
    <col min="3" max="3" width="24" style="693" customWidth="1"/>
    <col min="4" max="4" width="21.83203125" style="693" customWidth="1"/>
    <col min="5" max="5" width="16.1640625" style="693" customWidth="1"/>
    <col min="6" max="6" width="14.33203125" style="693" customWidth="1"/>
    <col min="7" max="7" width="15.4140625" style="693" customWidth="1"/>
    <col min="8" max="8" width="24.58203125" style="693" customWidth="1"/>
    <col min="9" max="9" width="14.6640625" style="693" customWidth="1"/>
    <col min="10" max="11" width="12.5" style="693"/>
    <col min="12" max="12" width="8.33203125" style="693" customWidth="1"/>
    <col min="13" max="17" width="3.4140625" style="693" customWidth="1"/>
    <col min="18" max="27" width="12.5" style="693"/>
    <col min="28" max="28" width="6.75" style="693" customWidth="1"/>
    <col min="29" max="16384" width="12.5" style="693"/>
  </cols>
  <sheetData>
    <row r="1" spans="1:30" ht="36" customHeight="1" x14ac:dyDescent="0.3">
      <c r="A1" s="725"/>
      <c r="B1" s="720" t="s">
        <v>550</v>
      </c>
      <c r="C1" s="724">
        <v>5000</v>
      </c>
      <c r="D1" s="723" t="s">
        <v>236</v>
      </c>
      <c r="E1" s="1191">
        <f>T29</f>
        <v>3845</v>
      </c>
      <c r="F1" s="720" t="s">
        <v>237</v>
      </c>
      <c r="G1" s="721">
        <f>E1/C1</f>
        <v>0.76900000000000002</v>
      </c>
      <c r="H1" s="720" t="s">
        <v>238</v>
      </c>
      <c r="I1" s="1190">
        <f>G1/K1</f>
        <v>0.85226643023384685</v>
      </c>
      <c r="J1" s="718" t="s">
        <v>239</v>
      </c>
      <c r="K1" s="717">
        <v>0.90229999999999999</v>
      </c>
      <c r="L1" s="700"/>
      <c r="M1" s="700"/>
      <c r="N1" s="700"/>
      <c r="Y1" s="90" t="s">
        <v>463</v>
      </c>
      <c r="Z1" s="835">
        <v>23070</v>
      </c>
      <c r="AA1" s="90" t="s">
        <v>578</v>
      </c>
      <c r="AB1" s="835">
        <v>0</v>
      </c>
      <c r="AC1" s="90" t="s">
        <v>567</v>
      </c>
      <c r="AD1" s="835">
        <v>157</v>
      </c>
    </row>
    <row r="2" spans="1:30" ht="12.75" customHeight="1" x14ac:dyDescent="0.3">
      <c r="A2" s="1468"/>
      <c r="B2" s="1469" t="s">
        <v>556</v>
      </c>
      <c r="C2" s="1469"/>
      <c r="D2" s="1469"/>
      <c r="E2" s="1469"/>
      <c r="F2" s="1469"/>
      <c r="G2" s="1469"/>
      <c r="H2" s="1469"/>
      <c r="I2" s="716"/>
      <c r="J2" s="716"/>
      <c r="K2" s="1470"/>
      <c r="L2" s="700"/>
      <c r="M2" s="700"/>
      <c r="N2" s="700"/>
    </row>
    <row r="3" spans="1:30" ht="12.75" customHeight="1" x14ac:dyDescent="0.3">
      <c r="A3" s="1468"/>
      <c r="B3" s="1468"/>
      <c r="C3" s="1468"/>
      <c r="D3" s="1468"/>
      <c r="E3" s="1468"/>
      <c r="F3" s="1468"/>
      <c r="G3" s="1468"/>
      <c r="H3" s="1468"/>
      <c r="I3" s="715"/>
      <c r="J3" s="715"/>
      <c r="K3" s="1471"/>
      <c r="L3" s="700"/>
      <c r="M3" s="700"/>
      <c r="N3" s="700"/>
    </row>
    <row r="4" spans="1:30" ht="57" customHeight="1" x14ac:dyDescent="0.3">
      <c r="A4" s="698" t="s">
        <v>1</v>
      </c>
      <c r="B4" s="698" t="s">
        <v>245</v>
      </c>
      <c r="C4" s="699" t="s">
        <v>321</v>
      </c>
      <c r="D4" s="699" t="s">
        <v>548</v>
      </c>
      <c r="E4" s="714" t="s">
        <v>547</v>
      </c>
      <c r="F4" s="713" t="s">
        <v>247</v>
      </c>
      <c r="G4" s="712" t="s">
        <v>248</v>
      </c>
      <c r="H4" s="711" t="s">
        <v>326</v>
      </c>
      <c r="I4" s="90" t="s">
        <v>250</v>
      </c>
      <c r="J4" s="90" t="s">
        <v>251</v>
      </c>
      <c r="K4" s="90" t="s">
        <v>252</v>
      </c>
      <c r="L4" s="90" t="s">
        <v>253</v>
      </c>
      <c r="M4" s="700"/>
      <c r="N4" s="700"/>
    </row>
    <row r="5" spans="1:30" ht="14" x14ac:dyDescent="0.25">
      <c r="B5" s="752" t="s">
        <v>17</v>
      </c>
      <c r="C5" s="705" t="s">
        <v>14</v>
      </c>
      <c r="D5" s="705">
        <v>1000</v>
      </c>
      <c r="E5" s="704">
        <f>$I$1</f>
        <v>0.85226643023384685</v>
      </c>
      <c r="F5" s="695">
        <v>1</v>
      </c>
      <c r="G5" s="703">
        <f t="shared" ref="G5:G19" si="0">D5*E5</f>
        <v>852.2664302338469</v>
      </c>
      <c r="H5" s="702">
        <f t="shared" ref="H5:H19" si="1">G5*F5</f>
        <v>852.2664302338469</v>
      </c>
      <c r="I5" s="80">
        <f>VLOOKUP(B5,All_Ingredients!$A$1:$F$149,6,FALSE())</f>
        <v>0.98</v>
      </c>
      <c r="J5" s="118">
        <f>VLOOKUP(B5,All_Ingredients!$A$1:$J$149,10,FALSE())</f>
        <v>3.5</v>
      </c>
      <c r="K5" s="121">
        <f t="shared" ref="K5" si="2">(H5/I5)/1000</f>
        <v>0.86965962268759889</v>
      </c>
      <c r="L5" s="121">
        <f t="shared" ref="L5" si="3">K5*J5</f>
        <v>3.0438086794065962</v>
      </c>
    </row>
    <row r="6" spans="1:30" ht="14" x14ac:dyDescent="0.25">
      <c r="B6" s="752" t="s">
        <v>12</v>
      </c>
      <c r="C6" s="705" t="s">
        <v>14</v>
      </c>
      <c r="D6" s="705">
        <v>1000</v>
      </c>
      <c r="E6" s="704">
        <f t="shared" ref="E6:E19" si="4">$I$1</f>
        <v>0.85226643023384685</v>
      </c>
      <c r="F6" s="710">
        <v>1</v>
      </c>
      <c r="G6" s="703">
        <f t="shared" si="0"/>
        <v>852.2664302338469</v>
      </c>
      <c r="H6" s="702">
        <f t="shared" si="1"/>
        <v>852.2664302338469</v>
      </c>
      <c r="I6" s="80">
        <f>VLOOKUP(B6,All_Ingredients!$A$1:$F$149,6,FALSE())</f>
        <v>0.9</v>
      </c>
      <c r="J6" s="118">
        <f>VLOOKUP(B6,All_Ingredients!$A$1:$J$149,10,FALSE())</f>
        <v>3</v>
      </c>
      <c r="K6" s="121">
        <f t="shared" ref="K6:K19" si="5">(H6/I6)/1000</f>
        <v>0.94696270025982987</v>
      </c>
      <c r="L6" s="121">
        <f t="shared" ref="L6:L19" si="6">K6*J6</f>
        <v>2.8408881007794897</v>
      </c>
    </row>
    <row r="7" spans="1:30" ht="14" x14ac:dyDescent="0.25">
      <c r="B7" s="752" t="s">
        <v>28</v>
      </c>
      <c r="C7" s="705" t="s">
        <v>14</v>
      </c>
      <c r="D7" s="705">
        <v>666</v>
      </c>
      <c r="E7" s="704">
        <f>$I$1</f>
        <v>0.85226643023384685</v>
      </c>
      <c r="F7" s="710">
        <v>1</v>
      </c>
      <c r="G7" s="703">
        <f t="shared" si="0"/>
        <v>567.60944253574201</v>
      </c>
      <c r="H7" s="702">
        <f t="shared" si="1"/>
        <v>567.60944253574201</v>
      </c>
      <c r="I7" s="80">
        <f>VLOOKUP(B7,All_Ingredients!$A$1:$F$149,6,FALSE())</f>
        <v>0.73</v>
      </c>
      <c r="J7" s="118">
        <f>VLOOKUP(B7,All_Ingredients!$A$1:$J$149,10,FALSE())</f>
        <v>8.5</v>
      </c>
      <c r="K7" s="121">
        <f t="shared" si="5"/>
        <v>0.77754718155581104</v>
      </c>
      <c r="L7" s="121">
        <f t="shared" si="6"/>
        <v>6.6091510432243936</v>
      </c>
    </row>
    <row r="8" spans="1:30" ht="14" x14ac:dyDescent="0.25">
      <c r="B8" s="752" t="s">
        <v>30</v>
      </c>
      <c r="C8" s="705" t="s">
        <v>14</v>
      </c>
      <c r="D8" s="705">
        <v>666</v>
      </c>
      <c r="E8" s="704">
        <f t="shared" si="4"/>
        <v>0.85226643023384685</v>
      </c>
      <c r="F8" s="695">
        <v>1</v>
      </c>
      <c r="G8" s="703">
        <f t="shared" si="0"/>
        <v>567.60944253574201</v>
      </c>
      <c r="H8" s="702">
        <f t="shared" si="1"/>
        <v>567.60944253574201</v>
      </c>
      <c r="I8" s="80">
        <f>VLOOKUP(B8,All_Ingredients!$A$1:$F$149,6,FALSE())</f>
        <v>0.71</v>
      </c>
      <c r="J8" s="118">
        <f>VLOOKUP(B8,All_Ingredients!$A$1:$J$149,10,FALSE())</f>
        <v>8.5</v>
      </c>
      <c r="K8" s="121">
        <f t="shared" si="5"/>
        <v>0.79944991906442542</v>
      </c>
      <c r="L8" s="121">
        <f t="shared" si="6"/>
        <v>6.7953243120476161</v>
      </c>
    </row>
    <row r="9" spans="1:30" ht="14" x14ac:dyDescent="0.25">
      <c r="B9" s="752" t="s">
        <v>32</v>
      </c>
      <c r="C9" s="705" t="s">
        <v>14</v>
      </c>
      <c r="D9" s="705">
        <v>666</v>
      </c>
      <c r="E9" s="704">
        <f t="shared" si="4"/>
        <v>0.85226643023384685</v>
      </c>
      <c r="F9" s="695">
        <v>1</v>
      </c>
      <c r="G9" s="703">
        <f t="shared" si="0"/>
        <v>567.60944253574201</v>
      </c>
      <c r="H9" s="702">
        <f t="shared" si="1"/>
        <v>567.60944253574201</v>
      </c>
      <c r="I9" s="80">
        <f>VLOOKUP(B9,All_Ingredients!$A$1:$F$149,6,FALSE())</f>
        <v>0.69</v>
      </c>
      <c r="J9" s="118">
        <f>VLOOKUP(B9,All_Ingredients!$A$1:$J$149,10,FALSE())</f>
        <v>4</v>
      </c>
      <c r="K9" s="121">
        <f t="shared" si="5"/>
        <v>0.82262238048658265</v>
      </c>
      <c r="L9" s="121">
        <f t="shared" si="6"/>
        <v>3.2904895219463306</v>
      </c>
    </row>
    <row r="10" spans="1:30" ht="14" x14ac:dyDescent="0.25">
      <c r="B10" s="697" t="s">
        <v>545</v>
      </c>
      <c r="C10" s="705" t="s">
        <v>14</v>
      </c>
      <c r="D10" s="705">
        <v>1850</v>
      </c>
      <c r="E10" s="704">
        <f t="shared" si="4"/>
        <v>0.85226643023384685</v>
      </c>
      <c r="F10" s="695">
        <v>1</v>
      </c>
      <c r="G10" s="703">
        <f t="shared" si="0"/>
        <v>1576.6928959326167</v>
      </c>
      <c r="H10" s="702">
        <f t="shared" si="1"/>
        <v>1576.6928959326167</v>
      </c>
      <c r="I10" s="80">
        <f>VLOOKUP(B10,All_Ingredients!$A$1:$F$149,6,FALSE())</f>
        <v>1</v>
      </c>
      <c r="J10" s="118">
        <f>VLOOKUP(B10,All_Ingredients!$A$1:$J$149,10,FALSE())</f>
        <v>10.196078431372548</v>
      </c>
      <c r="K10" s="121">
        <f>(H10/I10)/1000</f>
        <v>1.5766928959326167</v>
      </c>
      <c r="L10" s="121">
        <f>K10*J10</f>
        <v>16.076084429116875</v>
      </c>
    </row>
    <row r="11" spans="1:30" ht="13.5" customHeight="1" x14ac:dyDescent="0.25">
      <c r="B11" s="697" t="s">
        <v>731</v>
      </c>
      <c r="C11" s="705" t="s">
        <v>14</v>
      </c>
      <c r="D11" s="705">
        <v>1200</v>
      </c>
      <c r="E11" s="704">
        <f t="shared" si="4"/>
        <v>0.85226643023384685</v>
      </c>
      <c r="F11" s="695">
        <v>1</v>
      </c>
      <c r="G11" s="703">
        <f t="shared" si="0"/>
        <v>1022.7197162806162</v>
      </c>
      <c r="H11" s="702">
        <f t="shared" si="1"/>
        <v>1022.7197162806162</v>
      </c>
      <c r="I11" s="80">
        <f>VLOOKUP(B11,All_Ingredients!$A$1:$F$149,6,FALSE())</f>
        <v>1</v>
      </c>
      <c r="J11" s="118">
        <f>VLOOKUP(B11,All_Ingredients!$A$1:$J$149,10,FALSE())</f>
        <v>8.1520833333333336</v>
      </c>
      <c r="K11" s="121">
        <f t="shared" si="5"/>
        <v>1.0227197162806163</v>
      </c>
      <c r="L11" s="121">
        <f t="shared" si="6"/>
        <v>8.337296353762607</v>
      </c>
    </row>
    <row r="12" spans="1:30" ht="13.5" customHeight="1" x14ac:dyDescent="0.25">
      <c r="B12" s="697" t="s">
        <v>153</v>
      </c>
      <c r="C12" s="705" t="s">
        <v>14</v>
      </c>
      <c r="D12" s="705">
        <v>300</v>
      </c>
      <c r="E12" s="704">
        <f t="shared" si="4"/>
        <v>0.85226643023384685</v>
      </c>
      <c r="F12" s="695">
        <v>1</v>
      </c>
      <c r="G12" s="703">
        <f t="shared" si="0"/>
        <v>255.67992907015406</v>
      </c>
      <c r="H12" s="702">
        <f t="shared" si="1"/>
        <v>255.67992907015406</v>
      </c>
      <c r="I12" s="80">
        <f>VLOOKUP(B12,All_Ingredients!$A$1:$F$149,6,FALSE())</f>
        <v>1</v>
      </c>
      <c r="J12" s="118">
        <f>VLOOKUP(B12,All_Ingredients!$A$1:$J$149,10,FALSE())</f>
        <v>30</v>
      </c>
      <c r="K12" s="121">
        <f t="shared" si="5"/>
        <v>0.25567992907015408</v>
      </c>
      <c r="L12" s="121">
        <f t="shared" si="6"/>
        <v>7.6703978721046226</v>
      </c>
    </row>
    <row r="13" spans="1:30" ht="13.5" customHeight="1" x14ac:dyDescent="0.25">
      <c r="B13" s="697" t="s">
        <v>111</v>
      </c>
      <c r="C13" s="705" t="s">
        <v>14</v>
      </c>
      <c r="D13" s="705">
        <v>60</v>
      </c>
      <c r="E13" s="704">
        <f t="shared" si="4"/>
        <v>0.85226643023384685</v>
      </c>
      <c r="F13" s="695">
        <v>1</v>
      </c>
      <c r="G13" s="703">
        <f t="shared" si="0"/>
        <v>51.135985814030811</v>
      </c>
      <c r="H13" s="702">
        <f t="shared" si="1"/>
        <v>51.135985814030811</v>
      </c>
      <c r="I13" s="80">
        <f>VLOOKUP(B13,All_Ingredients!$A$1:$F$149,6,FALSE())</f>
        <v>1</v>
      </c>
      <c r="J13" s="118">
        <f>VLOOKUP(B13,All_Ingredients!$A$1:$J$149,10,FALSE())</f>
        <v>64.243759177679877</v>
      </c>
      <c r="K13" s="121">
        <f t="shared" si="5"/>
        <v>5.113598581403081E-2</v>
      </c>
      <c r="L13" s="121">
        <f t="shared" si="6"/>
        <v>3.2851679579498496</v>
      </c>
    </row>
    <row r="14" spans="1:30" ht="13.5" customHeight="1" x14ac:dyDescent="0.25">
      <c r="B14" s="697" t="s">
        <v>109</v>
      </c>
      <c r="C14" s="705" t="s">
        <v>14</v>
      </c>
      <c r="D14" s="705">
        <v>60</v>
      </c>
      <c r="E14" s="704">
        <f t="shared" si="4"/>
        <v>0.85226643023384685</v>
      </c>
      <c r="F14" s="695">
        <v>1</v>
      </c>
      <c r="G14" s="703">
        <f t="shared" si="0"/>
        <v>51.135985814030811</v>
      </c>
      <c r="H14" s="702">
        <f t="shared" si="1"/>
        <v>51.135985814030811</v>
      </c>
      <c r="I14" s="80">
        <f>VLOOKUP(B14,All_Ingredients!$A$1:$F$149,6,FALSE())</f>
        <v>1</v>
      </c>
      <c r="J14" s="118">
        <f>VLOOKUP(B14,All_Ingredients!$A$1:$J$149,10,FALSE())</f>
        <v>26.5</v>
      </c>
      <c r="K14" s="121">
        <f t="shared" si="5"/>
        <v>5.113598581403081E-2</v>
      </c>
      <c r="L14" s="121">
        <f t="shared" si="6"/>
        <v>1.3551036240718164</v>
      </c>
    </row>
    <row r="15" spans="1:30" ht="14.25" customHeight="1" x14ac:dyDescent="0.25">
      <c r="B15" s="697" t="s">
        <v>764</v>
      </c>
      <c r="C15" s="705" t="s">
        <v>14</v>
      </c>
      <c r="D15" s="705">
        <v>40</v>
      </c>
      <c r="E15" s="704">
        <f t="shared" si="4"/>
        <v>0.85226643023384685</v>
      </c>
      <c r="F15" s="695">
        <v>1</v>
      </c>
      <c r="G15" s="703">
        <f t="shared" si="0"/>
        <v>34.090657209353871</v>
      </c>
      <c r="H15" s="702">
        <f t="shared" si="1"/>
        <v>34.090657209353871</v>
      </c>
      <c r="I15" s="80">
        <f>VLOOKUP(B15,All_Ingredients!$A$1:$F$149,6,FALSE())</f>
        <v>0.5</v>
      </c>
      <c r="J15" s="118">
        <f>VLOOKUP(B15,All_Ingredients!$A$1:$J$149,10,FALSE())</f>
        <v>90</v>
      </c>
      <c r="K15" s="121">
        <f t="shared" si="5"/>
        <v>6.8181314418707742E-2</v>
      </c>
      <c r="L15" s="121">
        <f t="shared" si="6"/>
        <v>6.1363182976836965</v>
      </c>
    </row>
    <row r="16" spans="1:30" ht="14.25" customHeight="1" x14ac:dyDescent="0.25">
      <c r="B16" s="697" t="s">
        <v>791</v>
      </c>
      <c r="C16" s="705" t="s">
        <v>14</v>
      </c>
      <c r="D16" s="705">
        <v>40</v>
      </c>
      <c r="E16" s="704">
        <f t="shared" si="4"/>
        <v>0.85226643023384685</v>
      </c>
      <c r="F16" s="695">
        <v>1</v>
      </c>
      <c r="G16" s="703">
        <f t="shared" si="0"/>
        <v>34.090657209353871</v>
      </c>
      <c r="H16" s="702">
        <f t="shared" si="1"/>
        <v>34.090657209353871</v>
      </c>
      <c r="I16" s="80">
        <f>VLOOKUP(B16,All_Ingredients!$A$1:$F$149,6,FALSE())</f>
        <v>0.74</v>
      </c>
      <c r="J16" s="118">
        <f>VLOOKUP(B16,All_Ingredients!$A$1:$J$149,10,FALSE())</f>
        <v>100</v>
      </c>
      <c r="K16" s="121">
        <f t="shared" si="5"/>
        <v>4.6068455688316044E-2</v>
      </c>
      <c r="L16" s="121">
        <f t="shared" si="6"/>
        <v>4.6068455688316048</v>
      </c>
      <c r="N16" s="1474"/>
      <c r="O16" s="1474"/>
    </row>
    <row r="17" spans="2:27" ht="13.5" customHeight="1" x14ac:dyDescent="0.25">
      <c r="B17" s="697" t="s">
        <v>140</v>
      </c>
      <c r="C17" s="705" t="s">
        <v>14</v>
      </c>
      <c r="D17" s="705">
        <v>50</v>
      </c>
      <c r="E17" s="704">
        <f>$I$1</f>
        <v>0.85226643023384685</v>
      </c>
      <c r="F17" s="695">
        <v>1</v>
      </c>
      <c r="G17" s="703">
        <f t="shared" si="0"/>
        <v>42.613321511692341</v>
      </c>
      <c r="H17" s="702">
        <f t="shared" si="1"/>
        <v>42.613321511692341</v>
      </c>
      <c r="I17" s="80">
        <f>VLOOKUP(B17,All_Ingredients!$A$1:$F$149,6,FALSE())</f>
        <v>1</v>
      </c>
      <c r="J17" s="118">
        <f>VLOOKUP(B17,All_Ingredients!$A$1:$J$149,10,FALSE())</f>
        <v>15.277777777777779</v>
      </c>
      <c r="K17" s="121">
        <f t="shared" si="5"/>
        <v>4.2613321511692344E-2</v>
      </c>
      <c r="L17" s="121">
        <f t="shared" si="6"/>
        <v>0.65103685642863307</v>
      </c>
    </row>
    <row r="18" spans="2:27" ht="14" x14ac:dyDescent="0.25">
      <c r="B18" s="697" t="s">
        <v>100</v>
      </c>
      <c r="C18" s="705" t="s">
        <v>14</v>
      </c>
      <c r="D18" s="705">
        <v>30</v>
      </c>
      <c r="E18" s="704">
        <f t="shared" si="4"/>
        <v>0.85226643023384685</v>
      </c>
      <c r="F18" s="695">
        <v>1</v>
      </c>
      <c r="G18" s="703">
        <f t="shared" si="0"/>
        <v>25.567992907015405</v>
      </c>
      <c r="H18" s="702">
        <f t="shared" si="1"/>
        <v>25.567992907015405</v>
      </c>
      <c r="I18" s="80">
        <f>VLOOKUP(B18,All_Ingredients!$A$1:$F$149,6,FALSE())</f>
        <v>1</v>
      </c>
      <c r="J18" s="118">
        <f>VLOOKUP(B18,All_Ingredients!$A$1:$J$149,10,FALSE())</f>
        <v>31</v>
      </c>
      <c r="K18" s="121">
        <f t="shared" si="5"/>
        <v>2.5567992907015405E-2</v>
      </c>
      <c r="L18" s="121">
        <f t="shared" si="6"/>
        <v>0.79260778011747757</v>
      </c>
    </row>
    <row r="19" spans="2:27" ht="18" customHeight="1" x14ac:dyDescent="0.25">
      <c r="B19" s="697" t="s">
        <v>94</v>
      </c>
      <c r="C19" s="705" t="s">
        <v>14</v>
      </c>
      <c r="D19" s="705">
        <v>60</v>
      </c>
      <c r="E19" s="704">
        <f t="shared" si="4"/>
        <v>0.85226643023384685</v>
      </c>
      <c r="F19" s="706">
        <v>1</v>
      </c>
      <c r="G19" s="703">
        <f t="shared" si="0"/>
        <v>51.135985814030811</v>
      </c>
      <c r="H19" s="702">
        <f t="shared" si="1"/>
        <v>51.135985814030811</v>
      </c>
      <c r="I19" s="80">
        <f>VLOOKUP(B19,All_Ingredients!$A$1:$F$149,6,FALSE())</f>
        <v>1</v>
      </c>
      <c r="J19" s="118">
        <f>VLOOKUP(B19,All_Ingredients!$A$1:$J$149,10,FALSE())</f>
        <v>0.74</v>
      </c>
      <c r="K19" s="121">
        <f t="shared" si="5"/>
        <v>5.113598581403081E-2</v>
      </c>
      <c r="L19" s="121">
        <f t="shared" si="6"/>
        <v>3.7840629502382796E-2</v>
      </c>
    </row>
    <row r="20" spans="2:27" ht="14" customHeight="1" x14ac:dyDescent="0.3"/>
    <row r="21" spans="2:27" ht="16.5" customHeight="1" x14ac:dyDescent="0.3"/>
    <row r="22" spans="2:27" ht="13.5" customHeight="1" x14ac:dyDescent="0.3">
      <c r="B22" s="693" t="s">
        <v>557</v>
      </c>
      <c r="J22" s="701"/>
      <c r="N22" s="1474"/>
      <c r="O22" s="1474"/>
    </row>
    <row r="24" spans="2:27" x14ac:dyDescent="0.3">
      <c r="X24" s="1266"/>
    </row>
    <row r="25" spans="2:27" ht="14" x14ac:dyDescent="0.3">
      <c r="R25" s="1472" t="s">
        <v>556</v>
      </c>
      <c r="S25" s="1473"/>
      <c r="T25" s="1473"/>
      <c r="X25" s="140" t="s">
        <v>14</v>
      </c>
      <c r="Y25" s="141">
        <v>4833.33</v>
      </c>
      <c r="Z25" s="140" t="s">
        <v>253</v>
      </c>
      <c r="AA25" s="1210">
        <f>Y25*(T30/T29)</f>
        <v>89.914219298440628</v>
      </c>
    </row>
    <row r="26" spans="2:27" ht="14" x14ac:dyDescent="0.3">
      <c r="R26" s="709" t="s">
        <v>258</v>
      </c>
      <c r="S26" s="709" t="s">
        <v>530</v>
      </c>
      <c r="T26" s="709" t="s">
        <v>555</v>
      </c>
    </row>
    <row r="27" spans="2:27" ht="14" x14ac:dyDescent="0.3">
      <c r="R27" s="709" t="s">
        <v>531</v>
      </c>
      <c r="S27" s="1394">
        <f>$Z$1</f>
        <v>23070</v>
      </c>
      <c r="T27" s="1395">
        <f>S29/30000</f>
        <v>0.76900000000000002</v>
      </c>
    </row>
    <row r="28" spans="2:27" ht="14" x14ac:dyDescent="0.3">
      <c r="R28" s="709" t="s">
        <v>465</v>
      </c>
      <c r="S28" s="1389">
        <f>$AB$1</f>
        <v>0</v>
      </c>
      <c r="T28" s="1390"/>
      <c r="U28" s="1387"/>
    </row>
    <row r="29" spans="2:27" ht="14" x14ac:dyDescent="0.3">
      <c r="R29" s="708" t="s">
        <v>563</v>
      </c>
      <c r="S29" s="1396">
        <f>S27+S28</f>
        <v>23070</v>
      </c>
      <c r="T29" s="1189">
        <f>5000*T27</f>
        <v>3845</v>
      </c>
      <c r="U29" s="1387"/>
    </row>
    <row r="30" spans="2:27" ht="13" x14ac:dyDescent="0.3">
      <c r="R30" s="162" t="s">
        <v>253</v>
      </c>
      <c r="S30" s="1387"/>
      <c r="T30" s="1388">
        <f>SUM(L5:L19)</f>
        <v>71.528361026973997</v>
      </c>
      <c r="U30" s="1387"/>
    </row>
    <row r="43" ht="13.5" customHeight="1" x14ac:dyDescent="0.3"/>
    <row r="50" spans="2:4" ht="14" x14ac:dyDescent="0.3">
      <c r="B50" s="144"/>
      <c r="C50" s="144" t="s">
        <v>237</v>
      </c>
      <c r="D50" s="144" t="s">
        <v>283</v>
      </c>
    </row>
    <row r="51" spans="2:4" ht="14" x14ac:dyDescent="0.3">
      <c r="B51" s="179" t="s">
        <v>287</v>
      </c>
      <c r="C51" s="180">
        <f>5/K1</f>
        <v>5.5413942147844395</v>
      </c>
      <c r="D51" s="181">
        <f>C1</f>
        <v>5000</v>
      </c>
    </row>
    <row r="52" spans="2:4" ht="14" x14ac:dyDescent="0.3">
      <c r="B52" s="147" t="s">
        <v>266</v>
      </c>
      <c r="C52" s="183">
        <f>I1</f>
        <v>0.85226643023384685</v>
      </c>
      <c r="D52" s="184">
        <f>E1</f>
        <v>3845</v>
      </c>
    </row>
    <row r="53" spans="2:4" ht="14" x14ac:dyDescent="0.3">
      <c r="B53" s="230" t="s">
        <v>288</v>
      </c>
      <c r="C53" s="233">
        <f>MIN(C52, C51)</f>
        <v>0.85226643023384685</v>
      </c>
      <c r="D53" s="232">
        <f>(C53*$K$1)*$C$1</f>
        <v>3845</v>
      </c>
    </row>
    <row r="54" spans="2:4" ht="14" x14ac:dyDescent="0.3">
      <c r="B54" s="230" t="s">
        <v>289</v>
      </c>
      <c r="C54" s="233">
        <f>MIN(MAX(C52-C53,0),C51)</f>
        <v>0</v>
      </c>
      <c r="D54" s="232">
        <f>(C54*$K$1)*$C$1</f>
        <v>0</v>
      </c>
    </row>
    <row r="55" spans="2:4" ht="14" x14ac:dyDescent="0.3">
      <c r="B55" s="230" t="s">
        <v>290</v>
      </c>
      <c r="C55" s="233">
        <f>MIN(MAX(C52-C53-C54,0),C51)</f>
        <v>0</v>
      </c>
      <c r="D55" s="232">
        <f>(C55*$K$1)*$C$1</f>
        <v>0</v>
      </c>
    </row>
  </sheetData>
  <mergeCells count="6">
    <mergeCell ref="A2:A3"/>
    <mergeCell ref="B2:H3"/>
    <mergeCell ref="K2:K3"/>
    <mergeCell ref="R25:T25"/>
    <mergeCell ref="N22:O22"/>
    <mergeCell ref="N16:O16"/>
  </mergeCells>
  <printOptions horizontalCentered="1"/>
  <pageMargins left="0.5" right="0.5" top="1" bottom="0.5" header="0.3" footer="0.511811023622047"/>
  <pageSetup paperSize="9" scale="22"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50"/>
    <pageSetUpPr fitToPage="1"/>
  </sheetPr>
  <dimension ref="A1:AD106"/>
  <sheetViews>
    <sheetView topLeftCell="Q9" zoomScale="70" zoomScaleNormal="70" workbookViewId="0">
      <selection activeCell="B22" sqref="B22:L22"/>
    </sheetView>
  </sheetViews>
  <sheetFormatPr defaultColWidth="12.5" defaultRowHeight="14" x14ac:dyDescent="0.3"/>
  <cols>
    <col min="1" max="1" width="16.33203125" style="1" customWidth="1"/>
    <col min="2" max="2" width="30.9140625" customWidth="1"/>
    <col min="3" max="3" width="16.9140625" customWidth="1"/>
    <col min="4" max="4" width="19" customWidth="1"/>
    <col min="5" max="5" width="16.1640625" customWidth="1"/>
    <col min="6" max="6" width="23.08203125" customWidth="1"/>
    <col min="7" max="7" width="25.1640625" customWidth="1"/>
    <col min="8" max="8" width="36.1640625" customWidth="1"/>
    <col min="9" max="9" width="18" customWidth="1"/>
    <col min="12" max="12" width="8.33203125" customWidth="1"/>
    <col min="13" max="13" width="31.83203125" customWidth="1"/>
    <col min="18" max="18" width="43.5" customWidth="1"/>
    <col min="23" max="23" width="29.4140625" customWidth="1"/>
    <col min="24" max="24" width="31.6640625" customWidth="1"/>
    <col min="28" max="28" width="15.1640625" style="761" customWidth="1"/>
    <col min="29" max="29" width="12.5" style="761"/>
  </cols>
  <sheetData>
    <row r="1" spans="1:30" ht="24" customHeight="1" x14ac:dyDescent="0.3">
      <c r="A1" s="79" t="s">
        <v>235</v>
      </c>
      <c r="B1" s="80">
        <v>1000</v>
      </c>
      <c r="C1" s="88" t="s">
        <v>317</v>
      </c>
      <c r="D1" s="89">
        <f>$S$30/J1</f>
        <v>23864.864864864867</v>
      </c>
      <c r="E1" s="90" t="s">
        <v>240</v>
      </c>
      <c r="F1" s="91" t="s">
        <v>318</v>
      </c>
      <c r="G1" s="90" t="s">
        <v>319</v>
      </c>
      <c r="H1" s="304">
        <f>H52</f>
        <v>17.660000000000004</v>
      </c>
      <c r="I1" s="92" t="s">
        <v>242</v>
      </c>
      <c r="J1" s="305">
        <v>0.74</v>
      </c>
      <c r="K1" s="99"/>
      <c r="Y1" s="90" t="s">
        <v>463</v>
      </c>
      <c r="Z1" s="835">
        <v>16660</v>
      </c>
      <c r="AA1" s="90" t="s">
        <v>578</v>
      </c>
      <c r="AB1" s="835">
        <v>1000</v>
      </c>
      <c r="AC1" s="90" t="s">
        <v>567</v>
      </c>
      <c r="AD1" s="835">
        <v>110</v>
      </c>
    </row>
    <row r="2" spans="1:30" ht="12.75" customHeight="1" x14ac:dyDescent="0.3">
      <c r="A2" s="264"/>
      <c r="B2" s="1450" t="s">
        <v>320</v>
      </c>
      <c r="C2" s="1458"/>
      <c r="D2" s="1458"/>
      <c r="E2" s="1458"/>
      <c r="F2" s="1458"/>
      <c r="G2" s="1458"/>
      <c r="H2" s="1458"/>
      <c r="I2" s="1458"/>
      <c r="J2" s="1458"/>
      <c r="K2" s="1458"/>
      <c r="L2" s="292"/>
    </row>
    <row r="3" spans="1:30" ht="12.75" customHeight="1" x14ac:dyDescent="0.3">
      <c r="A3" s="264"/>
      <c r="B3" s="1444"/>
      <c r="C3" s="1444"/>
      <c r="D3" s="1444"/>
      <c r="E3" s="1444"/>
      <c r="F3" s="1444"/>
      <c r="G3" s="1444"/>
      <c r="H3" s="1444"/>
      <c r="I3" s="1444"/>
      <c r="J3" s="1444"/>
      <c r="K3" s="1444"/>
      <c r="L3" s="292"/>
    </row>
    <row r="4" spans="1:30" ht="46.5" customHeight="1" x14ac:dyDescent="0.3">
      <c r="A4" s="90" t="s">
        <v>1</v>
      </c>
      <c r="B4" s="90" t="s">
        <v>245</v>
      </c>
      <c r="C4" s="306" t="s">
        <v>321</v>
      </c>
      <c r="D4" s="90" t="s">
        <v>322</v>
      </c>
      <c r="E4" s="107" t="s">
        <v>323</v>
      </c>
      <c r="F4" s="107" t="s">
        <v>324</v>
      </c>
      <c r="G4" s="307" t="s">
        <v>325</v>
      </c>
      <c r="H4" s="108" t="s">
        <v>326</v>
      </c>
      <c r="I4" s="90" t="s">
        <v>250</v>
      </c>
      <c r="J4" s="90" t="s">
        <v>251</v>
      </c>
      <c r="K4" s="90" t="s">
        <v>252</v>
      </c>
      <c r="L4" s="90" t="s">
        <v>253</v>
      </c>
    </row>
    <row r="5" spans="1:30" ht="14.25" customHeight="1" x14ac:dyDescent="0.3">
      <c r="A5" s="157" t="s">
        <v>225</v>
      </c>
      <c r="B5" s="308" t="s">
        <v>224</v>
      </c>
      <c r="C5" s="123" t="s">
        <v>14</v>
      </c>
      <c r="D5" s="115">
        <f>I51/H51</f>
        <v>1351.3513513513512</v>
      </c>
      <c r="E5" s="115">
        <f>I52/D5</f>
        <v>17.660000000000004</v>
      </c>
      <c r="F5" s="126">
        <v>1</v>
      </c>
      <c r="G5" s="118">
        <f>D5*E5</f>
        <v>23864.864864864867</v>
      </c>
      <c r="H5" s="118">
        <f>D1</f>
        <v>23864.864864864867</v>
      </c>
      <c r="I5" s="80">
        <f>VLOOKUP(B5,All_Ingredients!$A$1:$F$149,6,FALSE())</f>
        <v>0.86</v>
      </c>
      <c r="J5" s="118">
        <f>VLOOKUP(B5,All_Ingredients!$A$1:$J$149,10,FALSE())</f>
        <v>17.100000000000001</v>
      </c>
      <c r="K5" s="121">
        <f>(H5/I5)/1000</f>
        <v>27.749842866121938</v>
      </c>
      <c r="L5" s="121">
        <f>K5*J5</f>
        <v>474.5223130106852</v>
      </c>
    </row>
    <row r="6" spans="1:30" ht="14.25" customHeight="1" x14ac:dyDescent="0.3">
      <c r="A6" s="269" t="s">
        <v>95</v>
      </c>
      <c r="B6" s="22" t="s">
        <v>94</v>
      </c>
      <c r="C6" s="123" t="s">
        <v>14</v>
      </c>
      <c r="D6" s="124">
        <v>50</v>
      </c>
      <c r="E6" s="115">
        <f>$H$52</f>
        <v>17.660000000000004</v>
      </c>
      <c r="F6" s="126">
        <v>0.75</v>
      </c>
      <c r="G6" s="118">
        <f>D6*E6</f>
        <v>883.00000000000023</v>
      </c>
      <c r="H6" s="119">
        <f>G6*F6</f>
        <v>662.25000000000023</v>
      </c>
      <c r="I6" s="80">
        <f>VLOOKUP(B6,All_Ingredients!$A$1:$F$149,6,FALSE())</f>
        <v>1</v>
      </c>
      <c r="J6" s="118">
        <f>VLOOKUP(B6,All_Ingredients!$A$1:$J$149,10,FALSE())</f>
        <v>0.74</v>
      </c>
      <c r="K6" s="121">
        <f t="shared" ref="K6:K9" si="0">(H6/I6)/1000</f>
        <v>0.66225000000000023</v>
      </c>
      <c r="L6" s="121">
        <f t="shared" ref="L6:L9" si="1">K6*J6</f>
        <v>0.49006500000000014</v>
      </c>
    </row>
    <row r="7" spans="1:30" ht="14.25" customHeight="1" x14ac:dyDescent="0.3">
      <c r="A7" s="269" t="s">
        <v>215</v>
      </c>
      <c r="B7" s="22" t="s">
        <v>877</v>
      </c>
      <c r="C7" s="123" t="s">
        <v>14</v>
      </c>
      <c r="D7" s="124">
        <v>3</v>
      </c>
      <c r="E7" s="115">
        <f>$H$52</f>
        <v>17.660000000000004</v>
      </c>
      <c r="F7" s="126">
        <v>0.75</v>
      </c>
      <c r="G7" s="118">
        <f>D7*E7</f>
        <v>52.980000000000011</v>
      </c>
      <c r="H7" s="119">
        <f>G7*F7</f>
        <v>39.735000000000007</v>
      </c>
      <c r="I7" s="80">
        <f>VLOOKUP(B7,All_Ingredients!$A$1:$F$149,6,FALSE())</f>
        <v>1</v>
      </c>
      <c r="J7" s="118">
        <f>VLOOKUP(B7,All_Ingredients!$A$1:$J$149,10,FALSE())</f>
        <v>22.5</v>
      </c>
      <c r="K7" s="121">
        <f t="shared" si="0"/>
        <v>3.9735000000000006E-2</v>
      </c>
      <c r="L7" s="121">
        <f t="shared" si="1"/>
        <v>0.89403750000000015</v>
      </c>
    </row>
    <row r="8" spans="1:30" ht="14.25" customHeight="1" x14ac:dyDescent="0.3">
      <c r="A8" s="269" t="s">
        <v>215</v>
      </c>
      <c r="B8" s="22" t="s">
        <v>216</v>
      </c>
      <c r="C8" s="123" t="s">
        <v>14</v>
      </c>
      <c r="D8" s="124">
        <v>3</v>
      </c>
      <c r="E8" s="115">
        <f>$H$52</f>
        <v>17.660000000000004</v>
      </c>
      <c r="F8" s="126">
        <v>0.9</v>
      </c>
      <c r="G8" s="118">
        <f>D8*E8</f>
        <v>52.980000000000011</v>
      </c>
      <c r="H8" s="119">
        <f>G8*F8</f>
        <v>47.682000000000009</v>
      </c>
      <c r="I8" s="80">
        <f>VLOOKUP(B8,All_Ingredients!$A$1:$F$149,6,FALSE())</f>
        <v>1</v>
      </c>
      <c r="J8" s="118">
        <f>VLOOKUP(B8,All_Ingredients!$A$1:$J$149,10,FALSE())</f>
        <v>35</v>
      </c>
      <c r="K8" s="121">
        <f t="shared" si="0"/>
        <v>4.7682000000000009E-2</v>
      </c>
      <c r="L8" s="121">
        <f t="shared" si="1"/>
        <v>1.6688700000000003</v>
      </c>
    </row>
    <row r="9" spans="1:30" ht="14.25" customHeight="1" x14ac:dyDescent="0.3">
      <c r="A9" s="269" t="s">
        <v>95</v>
      </c>
      <c r="B9" s="22" t="s">
        <v>106</v>
      </c>
      <c r="C9" s="123" t="s">
        <v>14</v>
      </c>
      <c r="D9" s="124">
        <v>5</v>
      </c>
      <c r="E9" s="115">
        <f>$H$52</f>
        <v>17.660000000000004</v>
      </c>
      <c r="F9" s="126">
        <v>0.8</v>
      </c>
      <c r="G9" s="118">
        <f>D9*E9</f>
        <v>88.300000000000011</v>
      </c>
      <c r="H9" s="119">
        <f>G9*F9</f>
        <v>70.640000000000015</v>
      </c>
      <c r="I9" s="80">
        <f>VLOOKUP(B9,All_Ingredients!$A$1:$F$149,6,FALSE())</f>
        <v>1</v>
      </c>
      <c r="J9" s="118">
        <f>VLOOKUP(B9,All_Ingredients!$A$1:$J$149,10,FALSE())</f>
        <v>15</v>
      </c>
      <c r="K9" s="121">
        <f t="shared" si="0"/>
        <v>7.0640000000000008E-2</v>
      </c>
      <c r="L9" s="121">
        <f t="shared" si="1"/>
        <v>1.0596000000000001</v>
      </c>
    </row>
    <row r="10" spans="1:30" ht="14.25" customHeight="1" x14ac:dyDescent="0.3">
      <c r="A10" s="99"/>
      <c r="B10" s="99"/>
      <c r="C10" s="99"/>
      <c r="D10" s="99"/>
      <c r="E10" s="99"/>
      <c r="F10" s="99"/>
      <c r="L10" s="208"/>
    </row>
    <row r="11" spans="1:30" ht="14.25" customHeight="1" x14ac:dyDescent="0.3">
      <c r="A11" s="99"/>
      <c r="B11" s="99"/>
      <c r="C11" s="99"/>
      <c r="D11" s="99"/>
      <c r="E11" s="99"/>
      <c r="F11" s="99"/>
      <c r="L11" s="208"/>
    </row>
    <row r="12" spans="1:30" ht="14.25" customHeight="1" x14ac:dyDescent="0.3">
      <c r="A12" s="99"/>
      <c r="B12" s="99"/>
      <c r="C12" s="99"/>
      <c r="D12" s="99"/>
      <c r="E12" s="99"/>
      <c r="F12" s="99"/>
      <c r="L12" s="208"/>
    </row>
    <row r="13" spans="1:30" ht="14.25" customHeight="1" x14ac:dyDescent="0.3">
      <c r="A13" s="99"/>
      <c r="F13" s="99"/>
      <c r="L13" s="208"/>
    </row>
    <row r="14" spans="1:30" ht="14.25" customHeight="1" x14ac:dyDescent="0.3">
      <c r="A14" s="99"/>
      <c r="F14" s="99"/>
      <c r="L14" s="208"/>
    </row>
    <row r="15" spans="1:30" ht="15" customHeight="1" x14ac:dyDescent="0.3">
      <c r="A15" s="99"/>
      <c r="F15" s="99"/>
    </row>
    <row r="16" spans="1:30" ht="14.25" customHeight="1" x14ac:dyDescent="0.3">
      <c r="A16" s="99"/>
      <c r="F16" s="99"/>
    </row>
    <row r="17" spans="1:29" ht="14.25" customHeight="1" x14ac:dyDescent="0.3">
      <c r="A17" s="99"/>
      <c r="F17" s="99"/>
    </row>
    <row r="18" spans="1:29" ht="14.25" customHeight="1" x14ac:dyDescent="0.3">
      <c r="A18" s="99"/>
      <c r="F18" s="99"/>
    </row>
    <row r="19" spans="1:29" ht="14.25" customHeight="1" x14ac:dyDescent="0.3">
      <c r="A19" s="99"/>
      <c r="F19" s="99"/>
    </row>
    <row r="20" spans="1:29" ht="14.25" customHeight="1" x14ac:dyDescent="0.3">
      <c r="A20" s="99"/>
      <c r="B20" s="178"/>
      <c r="C20" s="317"/>
      <c r="D20" s="297"/>
      <c r="E20" s="318"/>
      <c r="F20" s="99"/>
    </row>
    <row r="21" spans="1:29" ht="14.25" customHeight="1" x14ac:dyDescent="0.3">
      <c r="A21" s="99"/>
      <c r="B21" s="178"/>
      <c r="C21" s="317"/>
      <c r="D21" s="297"/>
      <c r="E21" s="318"/>
      <c r="F21" s="99"/>
    </row>
    <row r="22" spans="1:29" ht="14.25" customHeight="1" x14ac:dyDescent="0.3">
      <c r="A22" s="99"/>
      <c r="B22" s="178"/>
      <c r="C22" s="317"/>
      <c r="D22" s="297"/>
      <c r="E22" s="318"/>
      <c r="F22" s="99"/>
    </row>
    <row r="23" spans="1:29" ht="14.25" customHeight="1" x14ac:dyDescent="0.3">
      <c r="A23" s="99"/>
      <c r="B23" s="178"/>
      <c r="C23" s="317"/>
      <c r="D23" s="297"/>
      <c r="E23" s="318"/>
      <c r="F23" s="99"/>
    </row>
    <row r="24" spans="1:29" ht="14.25" customHeight="1" x14ac:dyDescent="0.3">
      <c r="A24" s="99"/>
      <c r="B24" s="178"/>
      <c r="C24" s="317"/>
      <c r="D24" s="297"/>
      <c r="E24" s="318"/>
      <c r="F24" s="99"/>
      <c r="Z24" s="1265"/>
    </row>
    <row r="25" spans="1:29" ht="15.75" customHeight="1" x14ac:dyDescent="0.35">
      <c r="A25" s="99"/>
      <c r="B25" s="370"/>
      <c r="C25" s="347"/>
      <c r="D25" s="263"/>
      <c r="E25" s="370"/>
      <c r="F25" s="370"/>
      <c r="G25" s="263"/>
      <c r="H25" s="55"/>
      <c r="R25" s="1440" t="str">
        <f>B2</f>
        <v>Chicken Mandi - مندي دجاج</v>
      </c>
      <c r="S25" s="1444"/>
      <c r="T25" s="1444"/>
      <c r="U25" s="1194"/>
      <c r="Z25" s="140" t="s">
        <v>256</v>
      </c>
      <c r="AA25" s="141">
        <v>1</v>
      </c>
      <c r="AB25" s="140" t="s">
        <v>253</v>
      </c>
      <c r="AC25" s="1210">
        <f>AC30*AA25</f>
        <v>2.7132953705196045E-2</v>
      </c>
    </row>
    <row r="26" spans="1:29" ht="14.25" customHeight="1" x14ac:dyDescent="0.3">
      <c r="A26" s="99"/>
      <c r="R26" s="1445" t="s">
        <v>328</v>
      </c>
      <c r="S26" s="1446"/>
      <c r="T26" s="1446"/>
      <c r="U26" s="1194"/>
      <c r="AB26" s="14"/>
      <c r="AC26" s="14"/>
    </row>
    <row r="27" spans="1:29" ht="36.5" customHeight="1" thickBot="1" x14ac:dyDescent="0.35">
      <c r="A27" s="99"/>
      <c r="R27" s="144" t="s">
        <v>258</v>
      </c>
      <c r="S27" s="145" t="s">
        <v>259</v>
      </c>
      <c r="T27" s="145" t="s">
        <v>261</v>
      </c>
      <c r="U27" s="145" t="s">
        <v>817</v>
      </c>
      <c r="Z27" s="140" t="s">
        <v>262</v>
      </c>
      <c r="AA27" s="146" t="s">
        <v>263</v>
      </c>
      <c r="AB27" s="1167" t="s">
        <v>817</v>
      </c>
      <c r="AC27" s="146" t="s">
        <v>266</v>
      </c>
    </row>
    <row r="28" spans="1:29" ht="14.25" customHeight="1" thickBot="1" x14ac:dyDescent="0.35">
      <c r="A28" s="99"/>
      <c r="R28" s="147" t="s">
        <v>329</v>
      </c>
      <c r="S28" s="1342">
        <f>$Z$1</f>
        <v>16660</v>
      </c>
      <c r="T28" s="1371">
        <f>S28</f>
        <v>16660</v>
      </c>
      <c r="U28" s="1380">
        <f>K37</f>
        <v>1.1846153846153847E-2</v>
      </c>
      <c r="Z28" s="150"/>
      <c r="AA28" s="1181">
        <f>AA25</f>
        <v>1</v>
      </c>
      <c r="AB28" s="1169"/>
      <c r="AC28" s="153">
        <f>SUM(AA28:AB28)</f>
        <v>1</v>
      </c>
    </row>
    <row r="29" spans="1:29" ht="14.25" customHeight="1" thickBot="1" x14ac:dyDescent="0.35">
      <c r="A29" s="99"/>
      <c r="B29" s="178"/>
      <c r="C29" s="317"/>
      <c r="D29" s="297"/>
      <c r="E29" s="318"/>
      <c r="F29" s="99"/>
      <c r="R29" s="147" t="s">
        <v>330</v>
      </c>
      <c r="S29" s="1374">
        <f>$AB$1</f>
        <v>1000</v>
      </c>
      <c r="T29" s="756">
        <f>S29</f>
        <v>1000</v>
      </c>
      <c r="U29" s="1379"/>
      <c r="Z29" s="150"/>
      <c r="AA29" s="155">
        <v>1</v>
      </c>
      <c r="AB29" s="1173"/>
      <c r="AC29" s="155">
        <f>AC28/$AC$28</f>
        <v>1</v>
      </c>
    </row>
    <row r="30" spans="1:29" ht="14.25" customHeight="1" thickBot="1" x14ac:dyDescent="0.35">
      <c r="A30" s="99"/>
      <c r="B30" s="178"/>
      <c r="C30" s="317"/>
      <c r="D30" s="297"/>
      <c r="E30" s="318"/>
      <c r="F30" s="99"/>
      <c r="R30" s="159" t="s">
        <v>331</v>
      </c>
      <c r="S30" s="1393">
        <f>S28+S29</f>
        <v>17660</v>
      </c>
      <c r="T30" s="1393">
        <f>T28+T29</f>
        <v>17660</v>
      </c>
      <c r="U30" s="1378">
        <f>U28+U29</f>
        <v>1.1846153846153847E-2</v>
      </c>
      <c r="Z30" s="140" t="s">
        <v>270</v>
      </c>
      <c r="AA30" s="156">
        <f>S33/(S30)</f>
        <v>2.7102768148962925E-2</v>
      </c>
      <c r="AB30" s="1180">
        <f>U33/T30</f>
        <v>3.0185556233121354E-5</v>
      </c>
      <c r="AC30" s="1188">
        <f>SUMPRODUCT(AA29,AA30)+AB30</f>
        <v>2.7132953705196045E-2</v>
      </c>
    </row>
    <row r="31" spans="1:29" ht="14.25" customHeight="1" thickBot="1" x14ac:dyDescent="0.35">
      <c r="A31" s="99"/>
      <c r="B31" s="178"/>
      <c r="C31" s="317"/>
      <c r="D31" s="297"/>
      <c r="E31" s="318"/>
      <c r="F31" s="99"/>
      <c r="R31" s="160" t="s">
        <v>272</v>
      </c>
      <c r="S31" s="154"/>
      <c r="T31" s="154"/>
    </row>
    <row r="32" spans="1:29" ht="14.25" customHeight="1" thickBot="1" x14ac:dyDescent="0.35">
      <c r="A32" s="99"/>
      <c r="B32" s="178"/>
      <c r="C32" s="317"/>
      <c r="D32" s="297"/>
      <c r="E32" s="318"/>
      <c r="F32" s="99"/>
      <c r="R32" s="161" t="s">
        <v>273</v>
      </c>
      <c r="S32" s="154"/>
      <c r="T32" s="154"/>
    </row>
    <row r="33" spans="1:24" ht="14.25" customHeight="1" thickBot="1" x14ac:dyDescent="0.35">
      <c r="A33" s="99"/>
      <c r="B33" s="178"/>
      <c r="C33" s="317"/>
      <c r="D33" s="297"/>
      <c r="E33" s="318"/>
      <c r="F33" s="99"/>
      <c r="R33" s="162" t="s">
        <v>253</v>
      </c>
      <c r="S33" s="163">
        <f>SUM(L5:L9)</f>
        <v>478.63488551068525</v>
      </c>
      <c r="T33" s="163">
        <f>S33+U33</f>
        <v>479.16796243376217</v>
      </c>
      <c r="U33" s="1192">
        <f>L37</f>
        <v>0.53307692307692311</v>
      </c>
    </row>
    <row r="34" spans="1:24" ht="14.25" customHeight="1" x14ac:dyDescent="0.3">
      <c r="A34" s="99"/>
      <c r="B34" s="178"/>
      <c r="C34" s="317"/>
      <c r="D34" s="297"/>
      <c r="E34" s="318"/>
      <c r="F34" s="99"/>
    </row>
    <row r="35" spans="1:24" ht="14.25" customHeight="1" x14ac:dyDescent="0.3">
      <c r="A35" s="99"/>
      <c r="B35" s="1441" t="s">
        <v>652</v>
      </c>
      <c r="C35" s="1441"/>
      <c r="D35" s="1441"/>
      <c r="E35" s="1441"/>
      <c r="F35" s="1441"/>
      <c r="G35" s="877"/>
      <c r="H35" s="877"/>
      <c r="I35" s="877"/>
      <c r="J35" s="877"/>
      <c r="K35" s="877"/>
      <c r="L35" s="877"/>
    </row>
    <row r="36" spans="1:24" ht="14.25" customHeight="1" x14ac:dyDescent="0.3">
      <c r="A36" s="99"/>
      <c r="B36" s="848" t="s">
        <v>245</v>
      </c>
      <c r="C36" s="848" t="s">
        <v>321</v>
      </c>
      <c r="D36" s="850" t="s">
        <v>645</v>
      </c>
      <c r="E36" s="847" t="s">
        <v>646</v>
      </c>
      <c r="F36" s="850" t="s">
        <v>647</v>
      </c>
      <c r="G36" s="870"/>
      <c r="H36" s="850" t="s">
        <v>647</v>
      </c>
      <c r="I36" s="850" t="s">
        <v>250</v>
      </c>
      <c r="J36" s="850" t="s">
        <v>251</v>
      </c>
      <c r="K36" s="850" t="s">
        <v>252</v>
      </c>
      <c r="L36" s="850" t="s">
        <v>253</v>
      </c>
    </row>
    <row r="37" spans="1:24" ht="14.25" customHeight="1" x14ac:dyDescent="0.3">
      <c r="A37" s="99"/>
      <c r="B37" s="843" t="s">
        <v>716</v>
      </c>
      <c r="C37" s="844" t="s">
        <v>14</v>
      </c>
      <c r="D37" s="845">
        <v>7.0000000000000007E-2</v>
      </c>
      <c r="E37" s="843">
        <f>$AD$1</f>
        <v>110</v>
      </c>
      <c r="F37" s="843">
        <f>D37*E37</f>
        <v>7.7000000000000011</v>
      </c>
      <c r="H37" s="843">
        <f>F37</f>
        <v>7.7000000000000011</v>
      </c>
      <c r="I37" s="843">
        <f>VLOOKUP(B37,All_Ingredients!$A$1:$F$149,6,FALSE())</f>
        <v>0.65</v>
      </c>
      <c r="J37" s="843">
        <f>VLOOKUP(B37,All_Ingredients!$A$1:$J$149,10,FALSE())</f>
        <v>45</v>
      </c>
      <c r="K37" s="843">
        <f>(H37/I37)/1000</f>
        <v>1.1846153846153847E-2</v>
      </c>
      <c r="L37" s="843">
        <f t="shared" ref="L37" si="2">K37*J37</f>
        <v>0.53307692307692311</v>
      </c>
    </row>
    <row r="38" spans="1:24" ht="14.25" customHeight="1" x14ac:dyDescent="0.3">
      <c r="A38" s="99"/>
      <c r="B38" s="178"/>
      <c r="C38" s="317"/>
      <c r="D38" s="297"/>
      <c r="E38" s="318"/>
      <c r="F38" s="99"/>
    </row>
    <row r="39" spans="1:24" ht="14.25" customHeight="1" x14ac:dyDescent="0.3">
      <c r="A39" s="99"/>
      <c r="B39" s="178"/>
      <c r="C39" s="317"/>
      <c r="D39" s="297"/>
      <c r="E39" s="318"/>
      <c r="F39" s="99"/>
    </row>
    <row r="40" spans="1:24" ht="14.25" customHeight="1" x14ac:dyDescent="0.3">
      <c r="A40" s="99"/>
      <c r="B40" s="178"/>
      <c r="C40" s="317"/>
      <c r="D40" s="297"/>
      <c r="E40" s="318"/>
      <c r="F40" s="99"/>
      <c r="Q40" s="14"/>
      <c r="R40" s="164" t="s">
        <v>332</v>
      </c>
      <c r="S40" s="238">
        <v>1</v>
      </c>
      <c r="X40" s="14"/>
    </row>
    <row r="41" spans="1:24" ht="14.25" customHeight="1" x14ac:dyDescent="0.3">
      <c r="A41" s="99"/>
      <c r="B41" s="178"/>
      <c r="C41" s="317"/>
      <c r="D41" s="297"/>
      <c r="E41" s="318"/>
      <c r="F41" s="99"/>
      <c r="Q41" s="14"/>
      <c r="R41" s="14"/>
      <c r="S41" s="14"/>
      <c r="T41" s="14"/>
      <c r="U41" s="168"/>
      <c r="V41" s="14"/>
      <c r="W41" s="14"/>
      <c r="X41" s="14"/>
    </row>
    <row r="42" spans="1:24" ht="14.25" customHeight="1" x14ac:dyDescent="0.3">
      <c r="A42" s="99"/>
      <c r="B42" s="178"/>
      <c r="C42" s="317"/>
      <c r="D42" s="297"/>
      <c r="E42" s="318"/>
      <c r="F42" s="99"/>
      <c r="Q42" s="14"/>
      <c r="R42" s="14"/>
      <c r="S42" s="14"/>
      <c r="T42" s="14"/>
      <c r="U42" s="14"/>
      <c r="V42" s="14"/>
      <c r="W42" s="14"/>
      <c r="X42" s="14"/>
    </row>
    <row r="43" spans="1:24" ht="14.25" customHeight="1" x14ac:dyDescent="0.3">
      <c r="A43" s="99"/>
      <c r="B43" s="178"/>
      <c r="C43" s="317"/>
      <c r="D43" s="297"/>
      <c r="E43" s="318"/>
      <c r="F43" s="99"/>
      <c r="Q43" s="169" t="s">
        <v>276</v>
      </c>
      <c r="R43" s="169" t="s">
        <v>277</v>
      </c>
      <c r="S43" s="169" t="s">
        <v>278</v>
      </c>
      <c r="T43" s="169" t="s">
        <v>279</v>
      </c>
      <c r="U43" s="169" t="s">
        <v>280</v>
      </c>
      <c r="V43" s="169" t="s">
        <v>281</v>
      </c>
      <c r="W43" s="257" t="s">
        <v>333</v>
      </c>
      <c r="X43" s="320"/>
    </row>
    <row r="44" spans="1:24" ht="14.25" customHeight="1" x14ac:dyDescent="0.3">
      <c r="A44" s="99"/>
      <c r="B44" s="178"/>
      <c r="C44" s="317"/>
      <c r="D44" s="297"/>
      <c r="E44" s="318"/>
      <c r="F44" s="99"/>
      <c r="Q44" s="171">
        <v>10000</v>
      </c>
      <c r="R44" s="172">
        <v>0</v>
      </c>
      <c r="S44" s="240">
        <v>0</v>
      </c>
      <c r="T44" s="240">
        <v>0</v>
      </c>
      <c r="U44" s="241">
        <f>R44*S44</f>
        <v>0</v>
      </c>
      <c r="V44" s="175">
        <f>R44*T44</f>
        <v>0</v>
      </c>
      <c r="W44" s="259">
        <f>Q44-U44</f>
        <v>10000</v>
      </c>
      <c r="X44" s="297"/>
    </row>
    <row r="45" spans="1:24" ht="14.25" customHeight="1" x14ac:dyDescent="0.3">
      <c r="A45" s="99"/>
      <c r="B45" s="178"/>
      <c r="C45" s="317"/>
      <c r="D45" s="297"/>
      <c r="E45" s="318"/>
      <c r="F45" s="99"/>
    </row>
    <row r="46" spans="1:24" ht="14.25" customHeight="1" x14ac:dyDescent="0.3">
      <c r="A46" s="99"/>
      <c r="B46" s="178"/>
      <c r="C46" s="317"/>
      <c r="D46" s="297"/>
      <c r="E46" s="318"/>
      <c r="F46" s="99"/>
    </row>
    <row r="47" spans="1:24" ht="14.25" customHeight="1" x14ac:dyDescent="0.3">
      <c r="A47" s="99"/>
      <c r="B47" s="178"/>
      <c r="C47" s="317"/>
      <c r="D47" s="297"/>
      <c r="E47" s="318"/>
      <c r="F47" s="99"/>
    </row>
    <row r="48" spans="1:24" ht="14.25" customHeight="1" x14ac:dyDescent="0.3">
      <c r="A48" s="99"/>
      <c r="B48" s="178"/>
      <c r="C48" s="317"/>
      <c r="D48" s="297"/>
      <c r="E48" s="318"/>
      <c r="F48" s="99"/>
    </row>
    <row r="49" spans="1:10" ht="14.25" customHeight="1" x14ac:dyDescent="0.3">
      <c r="A49" s="99"/>
      <c r="B49" s="178"/>
      <c r="C49" s="317"/>
      <c r="D49" s="297"/>
      <c r="E49" s="318"/>
      <c r="F49" s="99"/>
    </row>
    <row r="50" spans="1:10" ht="14.25" customHeight="1" thickBot="1" x14ac:dyDescent="0.35">
      <c r="A50" s="99"/>
      <c r="F50" s="99"/>
      <c r="G50" s="145" t="s">
        <v>284</v>
      </c>
      <c r="H50" s="145" t="s">
        <v>237</v>
      </c>
      <c r="I50" s="145" t="s">
        <v>285</v>
      </c>
      <c r="J50" s="145" t="s">
        <v>286</v>
      </c>
    </row>
    <row r="51" spans="1:10" ht="14.25" customHeight="1" thickBot="1" x14ac:dyDescent="0.35">
      <c r="A51" s="99"/>
      <c r="F51" s="99"/>
      <c r="G51" s="309" t="s">
        <v>327</v>
      </c>
      <c r="H51" s="310">
        <v>10</v>
      </c>
      <c r="I51" s="310">
        <f>J51/J1</f>
        <v>13513.513513513513</v>
      </c>
      <c r="J51" s="311">
        <f>$W$44</f>
        <v>10000</v>
      </c>
    </row>
    <row r="52" spans="1:10" ht="14.25" customHeight="1" x14ac:dyDescent="0.3">
      <c r="A52" s="99"/>
      <c r="F52" s="99"/>
      <c r="G52" s="161" t="s">
        <v>266</v>
      </c>
      <c r="H52" s="312">
        <f>$E$5</f>
        <v>17.660000000000004</v>
      </c>
      <c r="I52" s="313">
        <f>J52/$J$1</f>
        <v>23864.864864864867</v>
      </c>
      <c r="J52" s="314">
        <f>$S$30</f>
        <v>17660</v>
      </c>
    </row>
    <row r="53" spans="1:10" ht="14.25" customHeight="1" x14ac:dyDescent="0.3">
      <c r="A53" s="99"/>
      <c r="D53" s="489"/>
      <c r="F53" s="99"/>
      <c r="G53" s="147" t="s">
        <v>288</v>
      </c>
      <c r="H53" s="315">
        <f>MIN($H$52, H51)</f>
        <v>10</v>
      </c>
      <c r="I53" s="175">
        <f>J53/$J$1</f>
        <v>13513.513513513513</v>
      </c>
      <c r="J53" s="316">
        <f>MIN(MAX($J$52,0),$J$51)</f>
        <v>10000</v>
      </c>
    </row>
    <row r="54" spans="1:10" ht="14.25" customHeight="1" x14ac:dyDescent="0.3">
      <c r="A54" s="99"/>
      <c r="D54" s="489"/>
      <c r="F54" s="99"/>
      <c r="G54" s="147" t="s">
        <v>289</v>
      </c>
      <c r="H54" s="315">
        <f>MIN(MAX($H$52-H53,0),H51)</f>
        <v>7.6600000000000037</v>
      </c>
      <c r="I54" s="175">
        <f>J54/$J$1</f>
        <v>10351.351351351352</v>
      </c>
      <c r="J54" s="183">
        <f>MIN(MAX($J$52-J53,0),$J$51)</f>
        <v>7660</v>
      </c>
    </row>
    <row r="55" spans="1:10" ht="14.25" customHeight="1" x14ac:dyDescent="0.3">
      <c r="A55" s="99"/>
      <c r="D55" s="489"/>
      <c r="F55" s="99"/>
      <c r="G55" s="144" t="s">
        <v>290</v>
      </c>
      <c r="H55" s="315">
        <f>MIN(MAX($H$52-H53-H54,0),$H$51)</f>
        <v>0</v>
      </c>
      <c r="I55" s="175">
        <f>J55/$J$1</f>
        <v>0</v>
      </c>
      <c r="J55" s="316">
        <f>MIN(MAX($J$52-J53-J54,0),$J$51)</f>
        <v>0</v>
      </c>
    </row>
    <row r="56" spans="1:10" ht="14.25" customHeight="1" x14ac:dyDescent="0.3">
      <c r="A56" s="99"/>
      <c r="F56" s="99"/>
      <c r="G56" s="147" t="s">
        <v>297</v>
      </c>
      <c r="H56" s="315">
        <f>MIN(MAX($H$52-H53-H54-H55,0),$H$51)</f>
        <v>0</v>
      </c>
      <c r="I56" s="175">
        <f>J56/$J$1</f>
        <v>0</v>
      </c>
      <c r="J56" s="316">
        <f>MIN(MAX($J$52-J53-J54-J55,0),$J$51)</f>
        <v>0</v>
      </c>
    </row>
    <row r="57" spans="1:10" ht="14.25" customHeight="1" x14ac:dyDescent="0.3">
      <c r="A57" s="99"/>
      <c r="B57" s="178"/>
      <c r="C57" s="317"/>
      <c r="D57" s="297"/>
      <c r="E57" s="318"/>
      <c r="F57" s="99"/>
    </row>
    <row r="58" spans="1:10" ht="14.25" customHeight="1" x14ac:dyDescent="0.3">
      <c r="B58" s="99"/>
      <c r="E58" s="99"/>
      <c r="F58" s="99"/>
    </row>
    <row r="59" spans="1:10" ht="14.25" customHeight="1" x14ac:dyDescent="0.3">
      <c r="B59" s="99"/>
      <c r="E59" s="99"/>
      <c r="F59" s="99"/>
    </row>
    <row r="60" spans="1:10" ht="14.25" customHeight="1" x14ac:dyDescent="0.3">
      <c r="B60" s="99"/>
      <c r="E60" s="99"/>
      <c r="F60" s="99"/>
    </row>
    <row r="61" spans="1:10" ht="14.25" customHeight="1" x14ac:dyDescent="0.3">
      <c r="B61" s="99"/>
      <c r="E61" s="99"/>
      <c r="F61" s="99"/>
    </row>
    <row r="62" spans="1:10" ht="17.75" customHeight="1" x14ac:dyDescent="0.3">
      <c r="A62" s="321"/>
      <c r="B62" s="1447" t="str">
        <f>"دجاج مندى 1 / " &amp; COUNTIF($H$53:$H$56, "&gt;0")</f>
        <v>دجاج مندى 1 / 2</v>
      </c>
      <c r="C62" s="1456"/>
      <c r="D62" s="1456"/>
      <c r="E62" s="1456"/>
      <c r="F62" s="1456"/>
      <c r="G62" s="1456"/>
      <c r="H62" s="1456"/>
    </row>
    <row r="63" spans="1:10" ht="17.75" customHeight="1" x14ac:dyDescent="0.3">
      <c r="A63" s="321"/>
      <c r="B63" s="1447" t="str">
        <f>"Mandi Chicken 1 / " &amp; COUNTIF($H$53:$H$56, "&gt;0")</f>
        <v>Mandi Chicken 1 / 2</v>
      </c>
      <c r="C63" s="1456"/>
      <c r="D63" s="1456"/>
      <c r="E63" s="1456"/>
      <c r="F63" s="1456"/>
      <c r="G63" s="1456"/>
      <c r="H63" s="1456"/>
    </row>
    <row r="64" spans="1:10" ht="56" customHeight="1" x14ac:dyDescent="0.3">
      <c r="A64" s="90"/>
      <c r="B64" s="90" t="s">
        <v>245</v>
      </c>
      <c r="C64" s="306" t="s">
        <v>321</v>
      </c>
      <c r="D64" s="90" t="s">
        <v>322</v>
      </c>
      <c r="E64" s="107" t="s">
        <v>323</v>
      </c>
      <c r="F64" s="107" t="s">
        <v>324</v>
      </c>
      <c r="G64" s="307" t="s">
        <v>325</v>
      </c>
      <c r="H64" s="108" t="s">
        <v>326</v>
      </c>
    </row>
    <row r="65" spans="1:8" ht="14.25" customHeight="1" x14ac:dyDescent="0.3">
      <c r="A65" s="218" t="s">
        <v>225</v>
      </c>
      <c r="B65" s="322" t="str">
        <f t="shared" ref="B65:D69" si="3">B5</f>
        <v>Chicken - دجاج</v>
      </c>
      <c r="C65" s="322" t="str">
        <f t="shared" si="3"/>
        <v>gm</v>
      </c>
      <c r="D65" s="323">
        <f>D5</f>
        <v>1351.3513513513512</v>
      </c>
      <c r="E65" s="196">
        <f>$H$53</f>
        <v>10</v>
      </c>
      <c r="F65" s="126">
        <f>F5</f>
        <v>1</v>
      </c>
      <c r="G65" s="118">
        <f>D65*E65</f>
        <v>13513.513513513513</v>
      </c>
      <c r="H65" s="119">
        <f>G65*F65</f>
        <v>13513.513513513513</v>
      </c>
    </row>
    <row r="66" spans="1:8" ht="14.25" customHeight="1" x14ac:dyDescent="0.3">
      <c r="A66" s="269" t="s">
        <v>95</v>
      </c>
      <c r="B66" s="322" t="str">
        <f t="shared" si="3"/>
        <v>Salt - ملح</v>
      </c>
      <c r="C66" s="322" t="str">
        <f t="shared" si="3"/>
        <v>gm</v>
      </c>
      <c r="D66" s="322">
        <f t="shared" si="3"/>
        <v>50</v>
      </c>
      <c r="E66" s="196">
        <f>$H$53</f>
        <v>10</v>
      </c>
      <c r="F66" s="126">
        <f>F6</f>
        <v>0.75</v>
      </c>
      <c r="G66" s="80">
        <f>D66*E66</f>
        <v>500</v>
      </c>
      <c r="H66" s="119">
        <f>G66*F66</f>
        <v>375</v>
      </c>
    </row>
    <row r="67" spans="1:8" ht="14.25" customHeight="1" x14ac:dyDescent="0.3">
      <c r="A67" s="269" t="s">
        <v>215</v>
      </c>
      <c r="B67" s="322" t="str">
        <f t="shared" si="3"/>
        <v>Saffron yellow color powder - لون صفار زعفران بودر</v>
      </c>
      <c r="C67" s="322" t="str">
        <f t="shared" si="3"/>
        <v>gm</v>
      </c>
      <c r="D67" s="322">
        <f t="shared" si="3"/>
        <v>3</v>
      </c>
      <c r="E67" s="196">
        <f>$H$53</f>
        <v>10</v>
      </c>
      <c r="F67" s="126">
        <f>F7</f>
        <v>0.75</v>
      </c>
      <c r="G67" s="80">
        <f>D67*E67</f>
        <v>30</v>
      </c>
      <c r="H67" s="119">
        <f>G67*F67</f>
        <v>22.5</v>
      </c>
    </row>
    <row r="68" spans="1:8" ht="14.25" customHeight="1" x14ac:dyDescent="0.3">
      <c r="A68" s="269" t="s">
        <v>215</v>
      </c>
      <c r="B68" s="322" t="str">
        <f t="shared" si="3"/>
        <v>Orange Color - لون برتقالي</v>
      </c>
      <c r="C68" s="322" t="str">
        <f t="shared" si="3"/>
        <v>gm</v>
      </c>
      <c r="D68" s="322">
        <f t="shared" si="3"/>
        <v>3</v>
      </c>
      <c r="E68" s="196">
        <f>$H$53</f>
        <v>10</v>
      </c>
      <c r="F68" s="126">
        <f>F8</f>
        <v>0.9</v>
      </c>
      <c r="G68" s="80">
        <f>D68*E68</f>
        <v>30</v>
      </c>
      <c r="H68" s="119">
        <f>G68*F68</f>
        <v>27</v>
      </c>
    </row>
    <row r="69" spans="1:8" ht="14.25" customHeight="1" x14ac:dyDescent="0.3">
      <c r="A69" s="269" t="s">
        <v>95</v>
      </c>
      <c r="B69" s="322" t="str">
        <f t="shared" si="3"/>
        <v>Cumin Powder - كمون مطحون</v>
      </c>
      <c r="C69" s="322" t="str">
        <f t="shared" si="3"/>
        <v>gm</v>
      </c>
      <c r="D69" s="322">
        <f t="shared" si="3"/>
        <v>5</v>
      </c>
      <c r="E69" s="196">
        <f>$H$53</f>
        <v>10</v>
      </c>
      <c r="F69" s="126">
        <f>F9</f>
        <v>0.8</v>
      </c>
      <c r="G69" s="80">
        <f>D69*E69</f>
        <v>50</v>
      </c>
      <c r="H69" s="119">
        <f>G69*F69</f>
        <v>40</v>
      </c>
    </row>
    <row r="70" spans="1:8" ht="17.75" customHeight="1" x14ac:dyDescent="0.3">
      <c r="A70" s="210"/>
      <c r="B70" s="197" t="s">
        <v>291</v>
      </c>
      <c r="C70" s="199" t="s">
        <v>277</v>
      </c>
      <c r="D70" s="14"/>
      <c r="E70" s="199" t="s">
        <v>292</v>
      </c>
      <c r="F70" s="14"/>
      <c r="G70" s="878" t="s">
        <v>268</v>
      </c>
      <c r="H70" s="878" t="s">
        <v>703</v>
      </c>
    </row>
    <row r="71" spans="1:8" ht="22.5" customHeight="1" x14ac:dyDescent="0.4">
      <c r="A71" s="210"/>
      <c r="B71" s="198">
        <f>$J$53</f>
        <v>10000</v>
      </c>
      <c r="C71" s="198">
        <f>E71+G71</f>
        <v>0</v>
      </c>
      <c r="D71" s="915"/>
      <c r="E71" s="198">
        <f>$H$53*$S$44</f>
        <v>0</v>
      </c>
      <c r="F71" s="919"/>
      <c r="G71" s="198">
        <f>$H$53*$T$44</f>
        <v>0</v>
      </c>
      <c r="H71" s="198">
        <f>B71+E71</f>
        <v>10000</v>
      </c>
    </row>
    <row r="72" spans="1:8" ht="14.25" customHeight="1" x14ac:dyDescent="0.3">
      <c r="B72" s="99"/>
      <c r="E72" s="99"/>
      <c r="F72" s="99"/>
    </row>
    <row r="73" spans="1:8" ht="17.75" customHeight="1" x14ac:dyDescent="0.3">
      <c r="A73" s="321"/>
      <c r="B73" s="1447" t="str">
        <f>"دجاج مندى 2 / " &amp; COUNTIF($H$53:$H$56, "&gt;0")</f>
        <v>دجاج مندى 2 / 2</v>
      </c>
      <c r="C73" s="1456"/>
      <c r="D73" s="1456"/>
      <c r="E73" s="1456"/>
      <c r="F73" s="1456"/>
      <c r="G73" s="1456"/>
      <c r="H73" s="1456"/>
    </row>
    <row r="74" spans="1:8" ht="17.75" customHeight="1" x14ac:dyDescent="0.3">
      <c r="A74" s="321"/>
      <c r="B74" s="1447" t="str">
        <f>"Mandi Chicken 2 / " &amp; COUNTIF($H$53:$H$56, "&gt;0")</f>
        <v>Mandi Chicken 2 / 2</v>
      </c>
      <c r="C74" s="1456"/>
      <c r="D74" s="1456"/>
      <c r="E74" s="1456"/>
      <c r="F74" s="1456"/>
      <c r="G74" s="1456"/>
      <c r="H74" s="1456"/>
    </row>
    <row r="75" spans="1:8" ht="32" customHeight="1" x14ac:dyDescent="0.3">
      <c r="A75" s="90"/>
      <c r="B75" s="90" t="s">
        <v>245</v>
      </c>
      <c r="C75" s="106" t="s">
        <v>246</v>
      </c>
      <c r="D75" s="90" t="s">
        <v>235</v>
      </c>
      <c r="E75" s="217" t="s">
        <v>238</v>
      </c>
      <c r="F75" s="107" t="s">
        <v>334</v>
      </c>
      <c r="G75" s="90" t="s">
        <v>248</v>
      </c>
      <c r="H75" s="217" t="s">
        <v>249</v>
      </c>
    </row>
    <row r="76" spans="1:8" ht="14.25" customHeight="1" x14ac:dyDescent="0.3">
      <c r="A76" s="218" t="s">
        <v>225</v>
      </c>
      <c r="B76" s="322" t="str">
        <f t="shared" ref="B76:D80" si="4">B5</f>
        <v>Chicken - دجاج</v>
      </c>
      <c r="C76" s="322" t="str">
        <f t="shared" si="4"/>
        <v>gm</v>
      </c>
      <c r="D76" s="118">
        <f t="shared" si="4"/>
        <v>1351.3513513513512</v>
      </c>
      <c r="E76" s="196">
        <f>$H$54</f>
        <v>7.6600000000000037</v>
      </c>
      <c r="F76" s="126">
        <f>F5</f>
        <v>1</v>
      </c>
      <c r="G76" s="118">
        <f>D76*E76</f>
        <v>10351.351351351355</v>
      </c>
      <c r="H76" s="119">
        <f>G76*F76</f>
        <v>10351.351351351355</v>
      </c>
    </row>
    <row r="77" spans="1:8" ht="14.25" customHeight="1" x14ac:dyDescent="0.3">
      <c r="A77" s="269" t="s">
        <v>95</v>
      </c>
      <c r="B77" s="322" t="str">
        <f t="shared" si="4"/>
        <v>Salt - ملح</v>
      </c>
      <c r="C77" s="322" t="str">
        <f t="shared" si="4"/>
        <v>gm</v>
      </c>
      <c r="D77" s="322">
        <f t="shared" si="4"/>
        <v>50</v>
      </c>
      <c r="E77" s="196">
        <f>$H$54</f>
        <v>7.6600000000000037</v>
      </c>
      <c r="F77" s="126">
        <f>F6</f>
        <v>0.75</v>
      </c>
      <c r="G77" s="118">
        <f>D77*E77</f>
        <v>383.00000000000017</v>
      </c>
      <c r="H77" s="119">
        <f>G77*F77</f>
        <v>287.25000000000011</v>
      </c>
    </row>
    <row r="78" spans="1:8" ht="14.25" customHeight="1" x14ac:dyDescent="0.3">
      <c r="A78" s="269" t="s">
        <v>215</v>
      </c>
      <c r="B78" s="322" t="str">
        <f t="shared" si="4"/>
        <v>Saffron yellow color powder - لون صفار زعفران بودر</v>
      </c>
      <c r="C78" s="322" t="str">
        <f t="shared" si="4"/>
        <v>gm</v>
      </c>
      <c r="D78" s="322">
        <f t="shared" si="4"/>
        <v>3</v>
      </c>
      <c r="E78" s="196">
        <f>$H$54</f>
        <v>7.6600000000000037</v>
      </c>
      <c r="F78" s="126">
        <f>F7</f>
        <v>0.75</v>
      </c>
      <c r="G78" s="118">
        <f>D78*E78</f>
        <v>22.980000000000011</v>
      </c>
      <c r="H78" s="119">
        <f>G78*F78</f>
        <v>17.235000000000007</v>
      </c>
    </row>
    <row r="79" spans="1:8" ht="14.25" customHeight="1" x14ac:dyDescent="0.3">
      <c r="A79" s="269" t="s">
        <v>215</v>
      </c>
      <c r="B79" s="322" t="str">
        <f t="shared" si="4"/>
        <v>Orange Color - لون برتقالي</v>
      </c>
      <c r="C79" s="322" t="str">
        <f t="shared" si="4"/>
        <v>gm</v>
      </c>
      <c r="D79" s="322">
        <f t="shared" si="4"/>
        <v>3</v>
      </c>
      <c r="E79" s="196">
        <f>$H$54</f>
        <v>7.6600000000000037</v>
      </c>
      <c r="F79" s="126">
        <f>F8</f>
        <v>0.9</v>
      </c>
      <c r="G79" s="118">
        <f>D79*E79</f>
        <v>22.980000000000011</v>
      </c>
      <c r="H79" s="119">
        <f>G79*F79</f>
        <v>20.682000000000009</v>
      </c>
    </row>
    <row r="80" spans="1:8" ht="14.25" customHeight="1" x14ac:dyDescent="0.3">
      <c r="A80" s="269" t="s">
        <v>95</v>
      </c>
      <c r="B80" s="322" t="str">
        <f t="shared" si="4"/>
        <v>Cumin Powder - كمون مطحون</v>
      </c>
      <c r="C80" s="322" t="str">
        <f t="shared" si="4"/>
        <v>gm</v>
      </c>
      <c r="D80" s="322">
        <f t="shared" si="4"/>
        <v>5</v>
      </c>
      <c r="E80" s="196">
        <f>$H$54</f>
        <v>7.6600000000000037</v>
      </c>
      <c r="F80" s="126">
        <f>F9</f>
        <v>0.8</v>
      </c>
      <c r="G80" s="118">
        <f>D80*E80</f>
        <v>38.300000000000018</v>
      </c>
      <c r="H80" s="119">
        <f>G80*F80</f>
        <v>30.640000000000015</v>
      </c>
    </row>
    <row r="81" spans="1:8" ht="20.25" customHeight="1" x14ac:dyDescent="0.3">
      <c r="A81" s="210"/>
      <c r="B81" s="197" t="s">
        <v>291</v>
      </c>
      <c r="C81" s="199" t="s">
        <v>277</v>
      </c>
      <c r="D81" s="14"/>
      <c r="E81" s="199" t="s">
        <v>292</v>
      </c>
      <c r="F81" s="14"/>
      <c r="G81" s="878" t="s">
        <v>268</v>
      </c>
      <c r="H81" s="878" t="s">
        <v>703</v>
      </c>
    </row>
    <row r="82" spans="1:8" ht="22.5" customHeight="1" x14ac:dyDescent="0.4">
      <c r="A82" s="210"/>
      <c r="B82" s="198">
        <f>$J$54</f>
        <v>7660</v>
      </c>
      <c r="C82" s="198">
        <f>E82+G82</f>
        <v>0</v>
      </c>
      <c r="D82" s="915"/>
      <c r="E82" s="198">
        <f>$H$54*$S$44</f>
        <v>0</v>
      </c>
      <c r="F82" s="919"/>
      <c r="G82" s="198">
        <f>$H$54*$T$44</f>
        <v>0</v>
      </c>
      <c r="H82" s="198">
        <f>B82+E82</f>
        <v>7660</v>
      </c>
    </row>
    <row r="83" spans="1:8" ht="14.25" customHeight="1" x14ac:dyDescent="0.3">
      <c r="B83" s="99"/>
      <c r="E83" s="99"/>
      <c r="F83" s="99"/>
    </row>
    <row r="84" spans="1:8" ht="14" customHeight="1" x14ac:dyDescent="0.3">
      <c r="B84" s="99"/>
      <c r="E84" s="99"/>
      <c r="F84" s="99"/>
    </row>
    <row r="85" spans="1:8" ht="14.25" customHeight="1" x14ac:dyDescent="0.3">
      <c r="B85" s="99"/>
      <c r="E85" s="99"/>
      <c r="F85" s="99"/>
    </row>
    <row r="86" spans="1:8" ht="17.75" customHeight="1" x14ac:dyDescent="0.3">
      <c r="A86" s="321"/>
      <c r="B86" s="1447" t="str">
        <f>"دجاج مندى 3 / " &amp; COUNTIF($H$53:$H$56, "&gt;0")</f>
        <v>دجاج مندى 3 / 2</v>
      </c>
      <c r="C86" s="1456"/>
      <c r="D86" s="1456"/>
      <c r="E86" s="1456"/>
      <c r="F86" s="1456"/>
      <c r="G86" s="1456"/>
      <c r="H86" s="1456"/>
    </row>
    <row r="87" spans="1:8" ht="17.75" customHeight="1" x14ac:dyDescent="0.3">
      <c r="A87" s="321"/>
      <c r="B87" s="1447" t="str">
        <f>"Mandi Chicken 3 / " &amp; COUNTIF($H$53:$H$56, "&gt;0")</f>
        <v>Mandi Chicken 3 / 2</v>
      </c>
      <c r="C87" s="1456"/>
      <c r="D87" s="1456"/>
      <c r="E87" s="1456"/>
      <c r="F87" s="1456"/>
      <c r="G87" s="1456"/>
      <c r="H87" s="1456"/>
    </row>
    <row r="88" spans="1:8" ht="32.75" customHeight="1" x14ac:dyDescent="0.3">
      <c r="A88" s="90"/>
      <c r="B88" s="90" t="s">
        <v>245</v>
      </c>
      <c r="C88" s="106" t="s">
        <v>246</v>
      </c>
      <c r="D88" s="90" t="s">
        <v>235</v>
      </c>
      <c r="E88" s="217" t="s">
        <v>238</v>
      </c>
      <c r="F88" s="107" t="s">
        <v>334</v>
      </c>
      <c r="G88" s="90" t="s">
        <v>248</v>
      </c>
      <c r="H88" s="217" t="s">
        <v>249</v>
      </c>
    </row>
    <row r="89" spans="1:8" ht="14.25" customHeight="1" x14ac:dyDescent="0.3">
      <c r="A89" s="218" t="s">
        <v>225</v>
      </c>
      <c r="B89" s="218" t="str">
        <f t="shared" ref="B89:D93" si="5">B5</f>
        <v>Chicken - دجاج</v>
      </c>
      <c r="C89" s="218" t="str">
        <f t="shared" si="5"/>
        <v>gm</v>
      </c>
      <c r="D89" s="118">
        <f t="shared" si="5"/>
        <v>1351.3513513513512</v>
      </c>
      <c r="E89" s="196">
        <f>$H$55</f>
        <v>0</v>
      </c>
      <c r="F89" s="324">
        <f>F5</f>
        <v>1</v>
      </c>
      <c r="G89" s="118">
        <f>D89*E89</f>
        <v>0</v>
      </c>
      <c r="H89" s="119">
        <f>G89*F89</f>
        <v>0</v>
      </c>
    </row>
    <row r="90" spans="1:8" ht="14.25" customHeight="1" x14ac:dyDescent="0.3">
      <c r="A90" s="218" t="s">
        <v>95</v>
      </c>
      <c r="B90" s="218" t="str">
        <f t="shared" si="5"/>
        <v>Salt - ملح</v>
      </c>
      <c r="C90" s="218" t="str">
        <f t="shared" si="5"/>
        <v>gm</v>
      </c>
      <c r="D90" s="218">
        <f t="shared" si="5"/>
        <v>50</v>
      </c>
      <c r="E90" s="196">
        <f>$H$55</f>
        <v>0</v>
      </c>
      <c r="F90" s="324">
        <f>F6</f>
        <v>0.75</v>
      </c>
      <c r="G90" s="118">
        <f>D90*E90</f>
        <v>0</v>
      </c>
      <c r="H90" s="119">
        <f>G90*F90</f>
        <v>0</v>
      </c>
    </row>
    <row r="91" spans="1:8" ht="14.25" customHeight="1" x14ac:dyDescent="0.3">
      <c r="A91" s="218" t="s">
        <v>215</v>
      </c>
      <c r="B91" s="218" t="str">
        <f t="shared" si="5"/>
        <v>Saffron yellow color powder - لون صفار زعفران بودر</v>
      </c>
      <c r="C91" s="218" t="str">
        <f t="shared" si="5"/>
        <v>gm</v>
      </c>
      <c r="D91" s="218">
        <f t="shared" si="5"/>
        <v>3</v>
      </c>
      <c r="E91" s="196">
        <f>$H$55</f>
        <v>0</v>
      </c>
      <c r="F91" s="324">
        <f>F7</f>
        <v>0.75</v>
      </c>
      <c r="G91" s="118">
        <f>D91*E91</f>
        <v>0</v>
      </c>
      <c r="H91" s="119">
        <f>G91*F91</f>
        <v>0</v>
      </c>
    </row>
    <row r="92" spans="1:8" ht="14.25" customHeight="1" x14ac:dyDescent="0.3">
      <c r="A92" s="218" t="s">
        <v>215</v>
      </c>
      <c r="B92" s="218" t="str">
        <f t="shared" si="5"/>
        <v>Orange Color - لون برتقالي</v>
      </c>
      <c r="C92" s="218" t="str">
        <f t="shared" si="5"/>
        <v>gm</v>
      </c>
      <c r="D92" s="218">
        <f t="shared" si="5"/>
        <v>3</v>
      </c>
      <c r="E92" s="196">
        <f>$H$55</f>
        <v>0</v>
      </c>
      <c r="F92" s="324">
        <f>F8</f>
        <v>0.9</v>
      </c>
      <c r="G92" s="118">
        <f>D92*E92</f>
        <v>0</v>
      </c>
      <c r="H92" s="119">
        <f>G92*F92</f>
        <v>0</v>
      </c>
    </row>
    <row r="93" spans="1:8" ht="14.25" customHeight="1" x14ac:dyDescent="0.3">
      <c r="A93" s="218" t="s">
        <v>95</v>
      </c>
      <c r="B93" s="218" t="str">
        <f t="shared" si="5"/>
        <v>Cumin Powder - كمون مطحون</v>
      </c>
      <c r="C93" s="218" t="str">
        <f t="shared" si="5"/>
        <v>gm</v>
      </c>
      <c r="D93" s="218">
        <f t="shared" si="5"/>
        <v>5</v>
      </c>
      <c r="E93" s="196">
        <f>$H$55</f>
        <v>0</v>
      </c>
      <c r="F93" s="324">
        <f>F9</f>
        <v>0.8</v>
      </c>
      <c r="G93" s="118">
        <f>D93*E93</f>
        <v>0</v>
      </c>
      <c r="H93" s="119">
        <f>G93*F93</f>
        <v>0</v>
      </c>
    </row>
    <row r="94" spans="1:8" ht="20.25" customHeight="1" x14ac:dyDescent="0.3">
      <c r="A94" s="78"/>
      <c r="B94" s="197" t="s">
        <v>291</v>
      </c>
      <c r="C94" s="199" t="s">
        <v>277</v>
      </c>
      <c r="D94" s="14"/>
      <c r="E94" s="199" t="s">
        <v>292</v>
      </c>
      <c r="F94" s="14"/>
      <c r="G94" s="878" t="s">
        <v>268</v>
      </c>
      <c r="H94" s="878" t="s">
        <v>703</v>
      </c>
    </row>
    <row r="95" spans="1:8" ht="24.5" customHeight="1" x14ac:dyDescent="0.4">
      <c r="A95" s="78"/>
      <c r="B95" s="198">
        <f>$J$55</f>
        <v>0</v>
      </c>
      <c r="C95" s="200">
        <f>E95+G95</f>
        <v>0</v>
      </c>
      <c r="D95" s="14"/>
      <c r="E95" s="200">
        <f>$H$55*$S$44</f>
        <v>0</v>
      </c>
      <c r="F95" s="14"/>
      <c r="G95" s="201">
        <f>$H$55*$T$44</f>
        <v>0</v>
      </c>
      <c r="H95" s="201">
        <f>B95+E95</f>
        <v>0</v>
      </c>
    </row>
    <row r="97" spans="1:9" ht="17.75" customHeight="1" x14ac:dyDescent="0.3">
      <c r="A97" s="321"/>
      <c r="B97" s="1447" t="str">
        <f>"دجاج مندى 4 / " &amp; COUNTIF($H$53:$H$56, "&gt;0")</f>
        <v>دجاج مندى 4 / 2</v>
      </c>
      <c r="C97" s="1458"/>
      <c r="D97" s="1458"/>
      <c r="E97" s="1458"/>
      <c r="F97" s="1458"/>
      <c r="G97" s="1458"/>
      <c r="H97" s="1458"/>
    </row>
    <row r="98" spans="1:9" ht="17.75" customHeight="1" x14ac:dyDescent="0.3">
      <c r="A98" s="321"/>
      <c r="B98" s="1447" t="str">
        <f>"Mandi Chicken 4 / " &amp; COUNTIF($H$53:$H$56, "&gt;0")</f>
        <v>Mandi Chicken 4 / 2</v>
      </c>
      <c r="C98" s="1458"/>
      <c r="D98" s="1458"/>
      <c r="E98" s="1458"/>
      <c r="F98" s="1458"/>
      <c r="G98" s="1458"/>
      <c r="H98" s="1458"/>
    </row>
    <row r="99" spans="1:9" ht="25.5" customHeight="1" x14ac:dyDescent="0.3">
      <c r="A99" s="90"/>
      <c r="B99" s="90" t="s">
        <v>245</v>
      </c>
      <c r="C99" s="106" t="s">
        <v>246</v>
      </c>
      <c r="D99" s="90" t="s">
        <v>235</v>
      </c>
      <c r="E99" s="217" t="s">
        <v>238</v>
      </c>
      <c r="F99" s="107" t="s">
        <v>334</v>
      </c>
      <c r="G99" s="90" t="s">
        <v>248</v>
      </c>
      <c r="H99" s="217" t="s">
        <v>249</v>
      </c>
    </row>
    <row r="100" spans="1:9" ht="14.25" customHeight="1" x14ac:dyDescent="0.3">
      <c r="A100" s="218" t="s">
        <v>225</v>
      </c>
      <c r="B100" s="218" t="str">
        <f t="shared" ref="B100:D104" si="6">B5</f>
        <v>Chicken - دجاج</v>
      </c>
      <c r="C100" s="218" t="str">
        <f t="shared" si="6"/>
        <v>gm</v>
      </c>
      <c r="D100" s="564">
        <f t="shared" si="6"/>
        <v>1351.3513513513512</v>
      </c>
      <c r="E100" s="196">
        <f>$H$56</f>
        <v>0</v>
      </c>
      <c r="F100" s="324">
        <f>F5</f>
        <v>1</v>
      </c>
      <c r="G100" s="118">
        <f>D100*E100</f>
        <v>0</v>
      </c>
      <c r="H100" s="119">
        <f>G100*F100</f>
        <v>0</v>
      </c>
    </row>
    <row r="101" spans="1:9" ht="14.25" customHeight="1" x14ac:dyDescent="0.3">
      <c r="A101" s="218" t="s">
        <v>95</v>
      </c>
      <c r="B101" s="218" t="str">
        <f t="shared" si="6"/>
        <v>Salt - ملح</v>
      </c>
      <c r="C101" s="218" t="str">
        <f t="shared" si="6"/>
        <v>gm</v>
      </c>
      <c r="D101" s="564">
        <f t="shared" si="6"/>
        <v>50</v>
      </c>
      <c r="E101" s="196">
        <f>$H$56</f>
        <v>0</v>
      </c>
      <c r="F101" s="324">
        <f>F6</f>
        <v>0.75</v>
      </c>
      <c r="G101" s="118">
        <f>D101*E101</f>
        <v>0</v>
      </c>
      <c r="H101" s="119">
        <f>G101*F101</f>
        <v>0</v>
      </c>
    </row>
    <row r="102" spans="1:9" ht="14.25" customHeight="1" x14ac:dyDescent="0.3">
      <c r="A102" s="218" t="s">
        <v>215</v>
      </c>
      <c r="B102" s="218" t="str">
        <f t="shared" si="6"/>
        <v>Saffron yellow color powder - لون صفار زعفران بودر</v>
      </c>
      <c r="C102" s="218" t="str">
        <f t="shared" si="6"/>
        <v>gm</v>
      </c>
      <c r="D102" s="564">
        <f t="shared" si="6"/>
        <v>3</v>
      </c>
      <c r="E102" s="196">
        <f>$H$56</f>
        <v>0</v>
      </c>
      <c r="F102" s="324">
        <f>F7</f>
        <v>0.75</v>
      </c>
      <c r="G102" s="118">
        <f>D102*E102</f>
        <v>0</v>
      </c>
      <c r="H102" s="119">
        <f>G102*F102</f>
        <v>0</v>
      </c>
    </row>
    <row r="103" spans="1:9" ht="14.25" customHeight="1" x14ac:dyDescent="0.3">
      <c r="A103" s="218" t="s">
        <v>215</v>
      </c>
      <c r="B103" s="218" t="str">
        <f t="shared" si="6"/>
        <v>Orange Color - لون برتقالي</v>
      </c>
      <c r="C103" s="218" t="str">
        <f t="shared" si="6"/>
        <v>gm</v>
      </c>
      <c r="D103" s="564">
        <f t="shared" si="6"/>
        <v>3</v>
      </c>
      <c r="E103" s="196">
        <f>$H$56</f>
        <v>0</v>
      </c>
      <c r="F103" s="324">
        <f>F8</f>
        <v>0.9</v>
      </c>
      <c r="G103" s="118">
        <f>D103*E103</f>
        <v>0</v>
      </c>
      <c r="H103" s="119">
        <f>G103*F103</f>
        <v>0</v>
      </c>
    </row>
    <row r="104" spans="1:9" ht="14.25" customHeight="1" x14ac:dyDescent="0.3">
      <c r="A104" s="218" t="s">
        <v>95</v>
      </c>
      <c r="B104" s="218" t="str">
        <f t="shared" si="6"/>
        <v>Cumin Powder - كمون مطحون</v>
      </c>
      <c r="C104" s="218" t="str">
        <f t="shared" si="6"/>
        <v>gm</v>
      </c>
      <c r="D104" s="564">
        <f t="shared" si="6"/>
        <v>5</v>
      </c>
      <c r="E104" s="196">
        <f>$H$56</f>
        <v>0</v>
      </c>
      <c r="F104" s="324">
        <f>F9</f>
        <v>0.8</v>
      </c>
      <c r="G104" s="118">
        <f>D104*E104</f>
        <v>0</v>
      </c>
      <c r="H104" s="119">
        <f>G104*F104</f>
        <v>0</v>
      </c>
    </row>
    <row r="105" spans="1:9" ht="20.25" customHeight="1" x14ac:dyDescent="0.3">
      <c r="A105" s="78"/>
      <c r="B105" s="197" t="s">
        <v>291</v>
      </c>
      <c r="C105" s="199" t="s">
        <v>277</v>
      </c>
      <c r="D105" s="14"/>
      <c r="E105" s="199" t="s">
        <v>292</v>
      </c>
      <c r="F105" s="14"/>
      <c r="G105" s="878" t="s">
        <v>268</v>
      </c>
      <c r="H105" s="878" t="s">
        <v>703</v>
      </c>
    </row>
    <row r="106" spans="1:9" ht="20" x14ac:dyDescent="0.4">
      <c r="A106" s="78"/>
      <c r="B106" s="198">
        <f>$J$56</f>
        <v>0</v>
      </c>
      <c r="C106" s="198">
        <f>E106+G106</f>
        <v>0</v>
      </c>
      <c r="D106" s="930"/>
      <c r="E106" s="198">
        <f>$H$56*$S$44</f>
        <v>0</v>
      </c>
      <c r="F106" s="930"/>
      <c r="G106" s="198">
        <f>$H$56*$T$44</f>
        <v>0</v>
      </c>
      <c r="H106" s="198">
        <f>B106+E106</f>
        <v>0</v>
      </c>
      <c r="I106" s="915"/>
    </row>
  </sheetData>
  <mergeCells count="12">
    <mergeCell ref="B62:H62"/>
    <mergeCell ref="R26:T26"/>
    <mergeCell ref="B86:H86"/>
    <mergeCell ref="R25:T25"/>
    <mergeCell ref="B2:K3"/>
    <mergeCell ref="B63:H63"/>
    <mergeCell ref="B35:F35"/>
    <mergeCell ref="B98:H98"/>
    <mergeCell ref="B74:H74"/>
    <mergeCell ref="B97:H97"/>
    <mergeCell ref="B73:H73"/>
    <mergeCell ref="B87:H87"/>
  </mergeCells>
  <printOptions horizontalCentered="1"/>
  <pageMargins left="0.5" right="0.5" top="1" bottom="0.5" header="0.3" footer="0.511811023622047"/>
  <pageSetup paperSize="9" scale="27" orientation="portrait"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C8016F-730B-4507-91C6-22D4A1D84E11}">
  <sheetPr codeName="Sheet76">
    <tabColor rgb="FFFFFF00"/>
    <pageSetUpPr fitToPage="1"/>
  </sheetPr>
  <dimension ref="A1:AG102"/>
  <sheetViews>
    <sheetView topLeftCell="H1" zoomScale="59" zoomScaleNormal="100" workbookViewId="0">
      <selection activeCell="B22" sqref="B22:L22"/>
    </sheetView>
  </sheetViews>
  <sheetFormatPr defaultColWidth="12.5" defaultRowHeight="12.5" x14ac:dyDescent="0.25"/>
  <cols>
    <col min="1" max="1" width="12.5" style="14" customWidth="1"/>
    <col min="2" max="2" width="31.4140625" style="14" customWidth="1"/>
    <col min="3" max="3" width="11.6640625" style="14" customWidth="1"/>
    <col min="4" max="4" width="14.08203125"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7" width="5.5" style="14" customWidth="1"/>
    <col min="18" max="18" width="31.5" style="14" customWidth="1"/>
    <col min="19" max="19" width="15.5" style="14" customWidth="1"/>
    <col min="20" max="27" width="12.5" style="14"/>
    <col min="28" max="28" width="6.75" style="14" customWidth="1"/>
    <col min="29" max="16384" width="12.5" style="14"/>
  </cols>
  <sheetData>
    <row r="1" spans="1:33" ht="28.5" customHeight="1" x14ac:dyDescent="0.3">
      <c r="B1" s="79" t="s">
        <v>235</v>
      </c>
      <c r="C1" s="80">
        <v>1000</v>
      </c>
      <c r="D1" s="81" t="s">
        <v>236</v>
      </c>
      <c r="E1" s="116">
        <f>S30</f>
        <v>14940</v>
      </c>
      <c r="F1" s="79" t="s">
        <v>237</v>
      </c>
      <c r="G1" s="116">
        <f>E1/C1</f>
        <v>14.94</v>
      </c>
      <c r="H1" s="79" t="s">
        <v>238</v>
      </c>
      <c r="I1" s="116">
        <f>G1/K1</f>
        <v>14.94</v>
      </c>
      <c r="J1" s="325" t="s">
        <v>239</v>
      </c>
      <c r="K1" s="326">
        <v>1</v>
      </c>
      <c r="L1" s="99"/>
      <c r="M1" s="99"/>
      <c r="N1" s="99"/>
      <c r="O1" s="99"/>
      <c r="P1" s="99"/>
      <c r="Q1" s="99"/>
      <c r="R1" s="99"/>
      <c r="S1" s="92" t="s">
        <v>337</v>
      </c>
      <c r="T1" s="327">
        <v>90</v>
      </c>
      <c r="U1" s="99"/>
      <c r="V1" s="99"/>
      <c r="Y1" s="90" t="s">
        <v>463</v>
      </c>
      <c r="Z1" s="835">
        <v>161</v>
      </c>
      <c r="AA1" s="90" t="s">
        <v>578</v>
      </c>
      <c r="AB1" s="835">
        <v>5</v>
      </c>
      <c r="AC1" s="90" t="s">
        <v>567</v>
      </c>
      <c r="AD1" s="835">
        <v>161</v>
      </c>
    </row>
    <row r="2" spans="1:33" ht="12.75" customHeight="1" x14ac:dyDescent="0.25">
      <c r="A2" s="329"/>
      <c r="B2" s="1443" t="s">
        <v>718</v>
      </c>
      <c r="C2" s="1466"/>
      <c r="D2" s="1466"/>
      <c r="E2" s="1466"/>
      <c r="F2" s="1466"/>
      <c r="G2" s="1466"/>
      <c r="H2" s="1466"/>
      <c r="I2" s="351"/>
      <c r="J2" s="351"/>
      <c r="K2" s="351"/>
      <c r="L2" s="99"/>
      <c r="M2" s="99"/>
      <c r="N2" s="99"/>
      <c r="O2" s="99"/>
      <c r="P2" s="99"/>
      <c r="Q2" s="99"/>
      <c r="R2" s="99"/>
      <c r="S2" s="99"/>
      <c r="T2" s="99"/>
      <c r="U2" s="99"/>
      <c r="AE2" s="1452"/>
      <c r="AF2" s="1460"/>
      <c r="AG2" s="1460"/>
    </row>
    <row r="3" spans="1:33" ht="12.75" customHeight="1" x14ac:dyDescent="0.25">
      <c r="A3" s="329"/>
      <c r="B3" s="1444"/>
      <c r="C3" s="1444"/>
      <c r="D3" s="1444"/>
      <c r="E3" s="1444"/>
      <c r="F3" s="1444"/>
      <c r="G3" s="1444"/>
      <c r="H3" s="1444"/>
      <c r="I3" s="352"/>
      <c r="J3" s="351"/>
      <c r="K3" s="351"/>
      <c r="L3" s="99"/>
      <c r="M3" s="99"/>
      <c r="N3" s="99"/>
      <c r="O3" s="99"/>
      <c r="P3" s="99"/>
      <c r="Q3" s="99"/>
      <c r="R3" s="99"/>
      <c r="S3" s="99"/>
      <c r="T3" s="99"/>
      <c r="U3" s="99"/>
      <c r="AE3" s="1460"/>
      <c r="AF3" s="1460"/>
      <c r="AG3" s="1460"/>
    </row>
    <row r="4" spans="1:33" ht="68.75" customHeight="1" x14ac:dyDescent="0.25">
      <c r="A4" s="90" t="s">
        <v>1</v>
      </c>
      <c r="B4" s="90" t="s">
        <v>245</v>
      </c>
      <c r="C4" s="106" t="s">
        <v>246</v>
      </c>
      <c r="D4" s="90" t="s">
        <v>235</v>
      </c>
      <c r="E4" s="217" t="s">
        <v>238</v>
      </c>
      <c r="F4" s="107" t="s">
        <v>247</v>
      </c>
      <c r="G4" s="90" t="s">
        <v>248</v>
      </c>
      <c r="H4" s="353" t="s">
        <v>339</v>
      </c>
      <c r="I4" s="90" t="s">
        <v>250</v>
      </c>
      <c r="J4" s="90" t="s">
        <v>251</v>
      </c>
      <c r="K4" s="90" t="s">
        <v>252</v>
      </c>
      <c r="L4" s="90" t="s">
        <v>253</v>
      </c>
      <c r="M4" s="99"/>
      <c r="N4" s="99"/>
      <c r="O4" s="99"/>
      <c r="P4" s="99"/>
      <c r="Q4" s="99"/>
      <c r="R4" s="99"/>
    </row>
    <row r="5" spans="1:33" ht="14.25" customHeight="1" x14ac:dyDescent="0.25">
      <c r="A5" s="218"/>
      <c r="B5" s="649"/>
      <c r="C5" s="650"/>
      <c r="D5" s="218"/>
      <c r="E5" s="651"/>
      <c r="F5" s="218"/>
      <c r="G5" s="218"/>
      <c r="H5" s="652"/>
      <c r="I5" s="80"/>
      <c r="J5" s="118"/>
      <c r="K5" s="121"/>
      <c r="L5" s="121"/>
    </row>
    <row r="6" spans="1:33" ht="14.25" customHeight="1" x14ac:dyDescent="0.25">
      <c r="A6" s="294" t="s">
        <v>13</v>
      </c>
      <c r="B6" s="22" t="s">
        <v>21</v>
      </c>
      <c r="C6" s="123" t="s">
        <v>14</v>
      </c>
      <c r="D6" s="115">
        <v>1400</v>
      </c>
      <c r="E6" s="115">
        <f>$I$1</f>
        <v>14.94</v>
      </c>
      <c r="F6" s="126">
        <v>1</v>
      </c>
      <c r="G6" s="118">
        <f>D6*E6</f>
        <v>20916</v>
      </c>
      <c r="H6" s="354">
        <f>G6*F6</f>
        <v>20916</v>
      </c>
      <c r="I6" s="80">
        <f>VLOOKUP(B6,All_Ingredients!$A$1:$F$149,6,FALSE())</f>
        <v>0.9</v>
      </c>
      <c r="J6" s="118">
        <f>VLOOKUP(B6,All_Ingredients!$A$1:$J$149,10,FALSE())</f>
        <v>2.2999999999999998</v>
      </c>
      <c r="K6" s="121">
        <f t="shared" ref="K6:K10" si="0">(H6/I6)/1000</f>
        <v>23.24</v>
      </c>
      <c r="L6" s="121">
        <f t="shared" ref="L6:L10" si="1">K6*J6</f>
        <v>53.451999999999991</v>
      </c>
    </row>
    <row r="7" spans="1:33" ht="14.25" customHeight="1" x14ac:dyDescent="0.25">
      <c r="A7" s="294" t="s">
        <v>81</v>
      </c>
      <c r="B7" s="22" t="s">
        <v>111</v>
      </c>
      <c r="C7" s="123" t="s">
        <v>14</v>
      </c>
      <c r="D7" s="115">
        <v>3</v>
      </c>
      <c r="E7" s="115">
        <f>$I$1</f>
        <v>14.94</v>
      </c>
      <c r="F7" s="126">
        <v>1</v>
      </c>
      <c r="G7" s="118">
        <f>D7*E7</f>
        <v>44.82</v>
      </c>
      <c r="H7" s="354">
        <f>G7*F7</f>
        <v>44.82</v>
      </c>
      <c r="I7" s="80">
        <f>VLOOKUP(B7,All_Ingredients!$A$1:$F$149,6,FALSE())</f>
        <v>1</v>
      </c>
      <c r="J7" s="118">
        <f>VLOOKUP(B7,All_Ingredients!$A$1:$J$149,10,FALSE())</f>
        <v>64.243759177679877</v>
      </c>
      <c r="K7" s="121">
        <f t="shared" si="0"/>
        <v>4.4819999999999999E-2</v>
      </c>
      <c r="L7" s="121">
        <f t="shared" si="1"/>
        <v>2.8794052863436121</v>
      </c>
    </row>
    <row r="8" spans="1:33" ht="14.25" customHeight="1" x14ac:dyDescent="0.25">
      <c r="A8" s="294" t="s">
        <v>95</v>
      </c>
      <c r="B8" s="22" t="s">
        <v>94</v>
      </c>
      <c r="C8" s="123" t="s">
        <v>14</v>
      </c>
      <c r="D8" s="115">
        <v>5</v>
      </c>
      <c r="E8" s="115">
        <f>$I$1</f>
        <v>14.94</v>
      </c>
      <c r="F8" s="126">
        <v>0.75</v>
      </c>
      <c r="G8" s="118">
        <f>D8*E8</f>
        <v>74.7</v>
      </c>
      <c r="H8" s="354">
        <f>G8*F8</f>
        <v>56.025000000000006</v>
      </c>
      <c r="I8" s="80">
        <f>VLOOKUP(B8,All_Ingredients!$A$1:$F$149,6,FALSE())</f>
        <v>1</v>
      </c>
      <c r="J8" s="118">
        <f>VLOOKUP(B8,All_Ingredients!$A$1:$J$149,10,FALSE())</f>
        <v>0.74</v>
      </c>
      <c r="K8" s="121">
        <f t="shared" si="0"/>
        <v>5.6025000000000005E-2</v>
      </c>
      <c r="L8" s="121">
        <f t="shared" si="1"/>
        <v>4.1458500000000002E-2</v>
      </c>
    </row>
    <row r="9" spans="1:33" ht="14.25" customHeight="1" x14ac:dyDescent="0.25">
      <c r="A9" s="294" t="s">
        <v>95</v>
      </c>
      <c r="B9" s="22" t="s">
        <v>100</v>
      </c>
      <c r="C9" s="123" t="s">
        <v>14</v>
      </c>
      <c r="D9" s="222">
        <v>0.5</v>
      </c>
      <c r="E9" s="115">
        <f>$I$1</f>
        <v>14.94</v>
      </c>
      <c r="F9" s="126">
        <v>0.75</v>
      </c>
      <c r="G9" s="118">
        <f>D9*E9</f>
        <v>7.47</v>
      </c>
      <c r="H9" s="354">
        <f>G9*F9</f>
        <v>5.6025</v>
      </c>
      <c r="I9" s="80">
        <f>VLOOKUP(B9,All_Ingredients!$A$1:$F$149,6,FALSE())</f>
        <v>1</v>
      </c>
      <c r="J9" s="118">
        <f>VLOOKUP(B9,All_Ingredients!$A$1:$J$149,10,FALSE())</f>
        <v>31</v>
      </c>
      <c r="K9" s="121">
        <f t="shared" si="0"/>
        <v>5.6024999999999998E-3</v>
      </c>
      <c r="L9" s="121">
        <f t="shared" si="1"/>
        <v>0.17367749999999998</v>
      </c>
    </row>
    <row r="10" spans="1:33" ht="14.25" customHeight="1" x14ac:dyDescent="0.25">
      <c r="A10" s="294" t="s">
        <v>206</v>
      </c>
      <c r="B10" s="322" t="s">
        <v>214</v>
      </c>
      <c r="C10" s="123" t="s">
        <v>161</v>
      </c>
      <c r="D10" s="115">
        <v>7</v>
      </c>
      <c r="E10" s="115">
        <f>$I$1</f>
        <v>14.94</v>
      </c>
      <c r="F10" s="126">
        <v>1</v>
      </c>
      <c r="G10" s="118">
        <f>D10*E10</f>
        <v>104.58</v>
      </c>
      <c r="H10" s="354">
        <f>G10*F10</f>
        <v>104.58</v>
      </c>
      <c r="I10" s="80">
        <f>VLOOKUP(B10,All_Ingredients!$A$1:$F$149,6,FALSE())</f>
        <v>1</v>
      </c>
      <c r="J10" s="118">
        <f>VLOOKUP(B10,All_Ingredients!$A$1:$J$149,10,FALSE())</f>
        <v>5</v>
      </c>
      <c r="K10" s="121">
        <f t="shared" si="0"/>
        <v>0.10457999999999999</v>
      </c>
      <c r="L10" s="121">
        <f t="shared" si="1"/>
        <v>0.52289999999999992</v>
      </c>
    </row>
    <row r="11" spans="1:33" ht="14.25" customHeight="1" x14ac:dyDescent="0.25">
      <c r="B11" s="348"/>
      <c r="C11" s="132"/>
      <c r="D11" s="253"/>
      <c r="E11" s="224"/>
      <c r="F11" s="135"/>
      <c r="G11" s="139"/>
      <c r="H11" s="137"/>
      <c r="I11" s="91"/>
    </row>
    <row r="12" spans="1:33" ht="14.25" customHeight="1" x14ac:dyDescent="0.25">
      <c r="B12" s="348"/>
      <c r="C12" s="132"/>
      <c r="D12" s="253"/>
      <c r="E12" s="224"/>
      <c r="F12" s="135"/>
      <c r="G12" s="139"/>
      <c r="H12" s="137"/>
      <c r="I12" s="91"/>
    </row>
    <row r="13" spans="1:33" ht="14.25" customHeight="1" x14ac:dyDescent="0.25">
      <c r="B13" s="348"/>
      <c r="C13" s="132"/>
      <c r="D13" s="253"/>
      <c r="E13" s="224"/>
      <c r="F13" s="135"/>
      <c r="G13" s="139"/>
      <c r="H13" s="137"/>
      <c r="I13" s="91"/>
      <c r="J13" s="138"/>
    </row>
    <row r="14" spans="1:33" ht="14.25" customHeight="1" x14ac:dyDescent="0.25">
      <c r="E14" s="99"/>
      <c r="F14" s="99"/>
      <c r="I14" s="91"/>
      <c r="J14" s="138"/>
    </row>
    <row r="15" spans="1:33" ht="14.25" customHeight="1" x14ac:dyDescent="0.25">
      <c r="E15" s="99"/>
      <c r="F15" s="99"/>
    </row>
    <row r="16" spans="1:33" ht="14.25" customHeight="1" x14ac:dyDescent="0.25">
      <c r="E16" s="99"/>
      <c r="F16" s="99"/>
    </row>
    <row r="17" spans="2:29" ht="14.25" customHeight="1" x14ac:dyDescent="0.25">
      <c r="E17" s="99"/>
      <c r="F17" s="99"/>
    </row>
    <row r="18" spans="2:29" ht="14.25" customHeight="1" x14ac:dyDescent="0.25">
      <c r="E18" s="99"/>
      <c r="F18" s="99"/>
    </row>
    <row r="19" spans="2:29" ht="14.25" customHeight="1" x14ac:dyDescent="0.25">
      <c r="E19" s="99"/>
      <c r="F19" s="99"/>
    </row>
    <row r="20" spans="2:29" ht="14.25" customHeight="1" x14ac:dyDescent="0.3">
      <c r="B20" s="11"/>
      <c r="C20" s="335"/>
      <c r="D20" s="336"/>
      <c r="E20" s="99"/>
      <c r="F20" s="99"/>
      <c r="N20" s="362"/>
    </row>
    <row r="21" spans="2:29" ht="14.25" customHeight="1" x14ac:dyDescent="0.3">
      <c r="B21" s="11"/>
      <c r="C21" s="335"/>
      <c r="D21" s="336"/>
      <c r="E21" s="99"/>
      <c r="F21" s="99"/>
    </row>
    <row r="22" spans="2:29" ht="14.25" customHeight="1" x14ac:dyDescent="0.3">
      <c r="B22" s="11"/>
      <c r="C22" s="335"/>
      <c r="D22" s="336"/>
      <c r="E22" s="99"/>
      <c r="F22" s="99"/>
    </row>
    <row r="23" spans="2:29" ht="18" customHeight="1" x14ac:dyDescent="0.3">
      <c r="B23" s="363"/>
      <c r="C23" s="335"/>
      <c r="D23" s="336"/>
      <c r="E23" s="99"/>
      <c r="F23" s="99"/>
    </row>
    <row r="24" spans="2:29" ht="14.25" customHeight="1" x14ac:dyDescent="0.3">
      <c r="B24" s="11"/>
      <c r="C24" s="335"/>
      <c r="D24" s="336"/>
      <c r="E24" s="99"/>
      <c r="F24" s="99"/>
      <c r="Z24" s="1208"/>
    </row>
    <row r="25" spans="2:29" ht="14.25" customHeight="1" x14ac:dyDescent="0.3">
      <c r="B25" s="11"/>
      <c r="C25" s="335"/>
      <c r="D25" s="336"/>
      <c r="E25" s="99"/>
      <c r="F25" s="99"/>
      <c r="R25" s="1467" t="s">
        <v>741</v>
      </c>
      <c r="S25" s="1444"/>
      <c r="T25" s="1444"/>
      <c r="Z25" s="140" t="s">
        <v>822</v>
      </c>
      <c r="AA25" s="141">
        <v>1</v>
      </c>
      <c r="AB25" s="140" t="s">
        <v>253</v>
      </c>
      <c r="AC25" s="142">
        <f>AA25*(T31/AD1)</f>
        <v>0.35446857941828319</v>
      </c>
    </row>
    <row r="26" spans="2:29" ht="14.25" customHeight="1" x14ac:dyDescent="0.3">
      <c r="B26" s="11"/>
      <c r="C26" s="335"/>
      <c r="D26" s="336"/>
      <c r="E26" s="99"/>
      <c r="F26" s="99"/>
      <c r="N26" s="362"/>
      <c r="R26" s="1477" t="s">
        <v>342</v>
      </c>
      <c r="S26" s="1446"/>
      <c r="T26" s="1446"/>
    </row>
    <row r="27" spans="2:29" ht="14.25" customHeight="1" x14ac:dyDescent="0.3">
      <c r="B27" s="11"/>
      <c r="C27" s="335"/>
      <c r="D27" s="336"/>
      <c r="E27" s="99"/>
      <c r="F27" s="99"/>
      <c r="R27" s="144" t="s">
        <v>258</v>
      </c>
      <c r="S27" s="144" t="s">
        <v>343</v>
      </c>
      <c r="T27" s="144" t="s">
        <v>261</v>
      </c>
    </row>
    <row r="28" spans="2:29" ht="14.25" customHeight="1" x14ac:dyDescent="0.3">
      <c r="B28" s="11"/>
      <c r="C28" s="335"/>
      <c r="D28" s="336"/>
      <c r="E28" s="99"/>
      <c r="F28" s="99"/>
      <c r="R28" s="144" t="s">
        <v>267</v>
      </c>
      <c r="S28" s="1362">
        <f>$Z$1*$T$1</f>
        <v>14490</v>
      </c>
      <c r="T28" s="1372">
        <f>S28</f>
        <v>14490</v>
      </c>
      <c r="U28" s="1377"/>
    </row>
    <row r="29" spans="2:29" ht="14.25" customHeight="1" x14ac:dyDescent="0.3">
      <c r="B29" s="11"/>
      <c r="C29" s="335"/>
      <c r="D29" s="336"/>
      <c r="E29" s="99"/>
      <c r="F29" s="99"/>
      <c r="R29" s="144" t="s">
        <v>269</v>
      </c>
      <c r="S29" s="1362">
        <f>$AB$1*$T$1</f>
        <v>450</v>
      </c>
      <c r="T29" s="787">
        <f>S29</f>
        <v>450</v>
      </c>
      <c r="U29" s="1377"/>
    </row>
    <row r="30" spans="2:29" ht="14.25" customHeight="1" x14ac:dyDescent="0.3">
      <c r="B30" s="11"/>
      <c r="C30" s="335"/>
      <c r="D30" s="336"/>
      <c r="E30" s="99"/>
      <c r="F30" s="99"/>
      <c r="R30" s="144" t="s">
        <v>261</v>
      </c>
      <c r="S30" s="1397">
        <f>SUM(S28:S29)</f>
        <v>14940</v>
      </c>
      <c r="T30" s="1397">
        <f>S30</f>
        <v>14940</v>
      </c>
      <c r="U30" s="1377"/>
    </row>
    <row r="31" spans="2:29" ht="14.25" customHeight="1" x14ac:dyDescent="0.3">
      <c r="B31" s="11"/>
      <c r="C31" s="335"/>
      <c r="D31" s="336"/>
      <c r="E31" s="99"/>
      <c r="F31" s="99"/>
      <c r="R31" s="162" t="s">
        <v>253</v>
      </c>
      <c r="S31" s="297">
        <f>SUM(L6:L10)</f>
        <v>57.069441286343597</v>
      </c>
      <c r="T31" s="297">
        <f>S31</f>
        <v>57.069441286343597</v>
      </c>
    </row>
    <row r="32" spans="2:29" ht="14.25" customHeight="1" x14ac:dyDescent="0.3">
      <c r="B32" s="11"/>
      <c r="C32" s="335"/>
      <c r="D32" s="336"/>
      <c r="E32" s="99"/>
      <c r="F32" s="99"/>
      <c r="N32" s="338"/>
    </row>
    <row r="33" spans="2:6" ht="14.25" customHeight="1" x14ac:dyDescent="0.3">
      <c r="B33" s="11"/>
      <c r="C33" s="335"/>
      <c r="D33" s="336"/>
      <c r="E33" s="99"/>
      <c r="F33" s="99"/>
    </row>
    <row r="34" spans="2:6" ht="14.25" customHeight="1" x14ac:dyDescent="0.3">
      <c r="B34" s="11"/>
      <c r="C34" s="335"/>
      <c r="D34" s="336"/>
      <c r="E34" s="99"/>
      <c r="F34" s="99"/>
    </row>
    <row r="35" spans="2:6" ht="14.25" customHeight="1" x14ac:dyDescent="0.3">
      <c r="B35" s="11"/>
      <c r="C35" s="335"/>
      <c r="D35" s="336"/>
      <c r="E35" s="99"/>
      <c r="F35" s="99"/>
    </row>
    <row r="36" spans="2:6" ht="14.25" customHeight="1" x14ac:dyDescent="0.25">
      <c r="B36" s="99"/>
      <c r="E36" s="99"/>
      <c r="F36" s="99"/>
    </row>
    <row r="37" spans="2:6" ht="18" customHeight="1" x14ac:dyDescent="0.25">
      <c r="B37" s="99"/>
      <c r="E37" s="99"/>
      <c r="F37" s="99"/>
    </row>
    <row r="38" spans="2:6" ht="12.75" customHeight="1" x14ac:dyDescent="0.25"/>
    <row r="44" spans="2:6" ht="14" customHeight="1" x14ac:dyDescent="0.25"/>
    <row r="45" spans="2:6" ht="14" customHeight="1" x14ac:dyDescent="0.25"/>
    <row r="46" spans="2:6" ht="14" customHeight="1" x14ac:dyDescent="0.25"/>
    <row r="47" spans="2:6" ht="14" customHeight="1" x14ac:dyDescent="0.25"/>
    <row r="50" spans="1:8" ht="14" x14ac:dyDescent="0.3">
      <c r="B50" s="225"/>
      <c r="C50" s="225" t="s">
        <v>237</v>
      </c>
      <c r="D50" s="225" t="s">
        <v>283</v>
      </c>
    </row>
    <row r="51" spans="1:8" ht="14" x14ac:dyDescent="0.3">
      <c r="B51" s="179" t="s">
        <v>287</v>
      </c>
      <c r="C51" s="180">
        <f>10/$K$1</f>
        <v>10</v>
      </c>
      <c r="D51" s="181">
        <f>$C$1*10</f>
        <v>10000</v>
      </c>
    </row>
    <row r="52" spans="1:8" ht="14" x14ac:dyDescent="0.3">
      <c r="B52" s="230" t="s">
        <v>261</v>
      </c>
      <c r="C52" s="232">
        <f>I1</f>
        <v>14.94</v>
      </c>
      <c r="D52" s="232">
        <f>E1</f>
        <v>14940</v>
      </c>
    </row>
    <row r="53" spans="1:8" ht="14" x14ac:dyDescent="0.3">
      <c r="B53" s="230" t="s">
        <v>288</v>
      </c>
      <c r="C53" s="233">
        <f>MIN($C$52, $C$51)</f>
        <v>10</v>
      </c>
      <c r="D53" s="232">
        <f>(C53*$K$1)*$C$1</f>
        <v>10000</v>
      </c>
    </row>
    <row r="54" spans="1:8" ht="18" customHeight="1" x14ac:dyDescent="0.3">
      <c r="B54" s="230" t="s">
        <v>289</v>
      </c>
      <c r="C54" s="233">
        <f>MIN(MAX($C$52-C53,0),$C$51)</f>
        <v>4.9399999999999995</v>
      </c>
      <c r="D54" s="232">
        <f>(C54*$K$1)*$C$1</f>
        <v>4939.9999999999991</v>
      </c>
    </row>
    <row r="55" spans="1:8" ht="14" x14ac:dyDescent="0.3">
      <c r="B55" s="230" t="s">
        <v>290</v>
      </c>
      <c r="C55" s="233">
        <f>MIN(MAX($C$52-C53-C54,0),$C$51)</f>
        <v>0</v>
      </c>
      <c r="D55" s="232">
        <f>(C55*$K$1)*$C$1</f>
        <v>0</v>
      </c>
    </row>
    <row r="62" spans="1:8" ht="14" x14ac:dyDescent="0.3">
      <c r="A62" s="927"/>
      <c r="B62" s="1438" t="s">
        <v>827</v>
      </c>
      <c r="C62" s="1439"/>
      <c r="D62" s="1439"/>
      <c r="E62" s="1439"/>
      <c r="F62" s="1439"/>
      <c r="G62" s="1439"/>
      <c r="H62" s="1439"/>
    </row>
    <row r="63" spans="1:8" ht="14" x14ac:dyDescent="0.3">
      <c r="A63" s="927"/>
      <c r="B63" s="1436" t="s">
        <v>718</v>
      </c>
      <c r="C63" s="1437"/>
      <c r="D63" s="1437"/>
      <c r="E63" s="1437"/>
      <c r="F63" s="1437"/>
      <c r="G63" s="1437"/>
      <c r="H63" s="1437"/>
    </row>
    <row r="64" spans="1:8" ht="33" customHeight="1" x14ac:dyDescent="0.25">
      <c r="A64" s="90"/>
      <c r="B64" s="242" t="s">
        <v>245</v>
      </c>
      <c r="C64" s="243" t="s">
        <v>246</v>
      </c>
      <c r="D64" s="244" t="s">
        <v>235</v>
      </c>
      <c r="E64" s="217" t="s">
        <v>238</v>
      </c>
      <c r="F64" s="217" t="s">
        <v>247</v>
      </c>
      <c r="G64" s="244" t="s">
        <v>248</v>
      </c>
      <c r="H64" s="217" t="s">
        <v>249</v>
      </c>
    </row>
    <row r="65" spans="1:8" ht="19.5" customHeight="1" x14ac:dyDescent="0.25">
      <c r="A65" s="294" t="s">
        <v>13</v>
      </c>
      <c r="B65" s="322" t="str">
        <f t="shared" ref="B65:D69" si="2">B6</f>
        <v>Potato - بطاطس</v>
      </c>
      <c r="C65" s="322" t="str">
        <f t="shared" si="2"/>
        <v>gm</v>
      </c>
      <c r="D65" s="322">
        <f t="shared" si="2"/>
        <v>1400</v>
      </c>
      <c r="E65" s="115">
        <f>$C$52</f>
        <v>14.94</v>
      </c>
      <c r="F65" s="126">
        <f>F6</f>
        <v>1</v>
      </c>
      <c r="G65" s="118">
        <f>D65*E65</f>
        <v>20916</v>
      </c>
      <c r="H65" s="119">
        <f>G65*F65</f>
        <v>20916</v>
      </c>
    </row>
    <row r="66" spans="1:8" ht="14" x14ac:dyDescent="0.25">
      <c r="A66" s="294" t="s">
        <v>62</v>
      </c>
      <c r="B66" s="322" t="str">
        <f t="shared" si="2"/>
        <v>Paprika Powder - بابريكا مطحون</v>
      </c>
      <c r="C66" s="322" t="str">
        <f t="shared" si="2"/>
        <v>gm</v>
      </c>
      <c r="D66" s="322">
        <f t="shared" si="2"/>
        <v>3</v>
      </c>
      <c r="E66" s="115">
        <f t="shared" ref="E66:E69" si="3">$C$52</f>
        <v>14.94</v>
      </c>
      <c r="F66" s="126">
        <f>F7</f>
        <v>1</v>
      </c>
      <c r="G66" s="118">
        <f>D66*E66</f>
        <v>44.82</v>
      </c>
      <c r="H66" s="119">
        <f>G66*F66</f>
        <v>44.82</v>
      </c>
    </row>
    <row r="67" spans="1:8" ht="14" customHeight="1" x14ac:dyDescent="0.25">
      <c r="A67" s="294" t="s">
        <v>62</v>
      </c>
      <c r="B67" s="322" t="str">
        <f t="shared" si="2"/>
        <v>Salt - ملح</v>
      </c>
      <c r="C67" s="322" t="str">
        <f t="shared" si="2"/>
        <v>gm</v>
      </c>
      <c r="D67" s="322">
        <f t="shared" si="2"/>
        <v>5</v>
      </c>
      <c r="E67" s="115">
        <f t="shared" si="3"/>
        <v>14.94</v>
      </c>
      <c r="F67" s="126">
        <f>F8</f>
        <v>0.75</v>
      </c>
      <c r="G67" s="118">
        <f>D67*E67</f>
        <v>74.7</v>
      </c>
      <c r="H67" s="119">
        <f>G67*F67</f>
        <v>56.025000000000006</v>
      </c>
    </row>
    <row r="68" spans="1:8" ht="14" customHeight="1" x14ac:dyDescent="0.25">
      <c r="A68" s="294" t="s">
        <v>95</v>
      </c>
      <c r="B68" s="322" t="str">
        <f t="shared" si="2"/>
        <v>Black Pepper Powder - فلفل أسود مطحون</v>
      </c>
      <c r="C68" s="322" t="str">
        <f t="shared" si="2"/>
        <v>gm</v>
      </c>
      <c r="D68" s="322">
        <f t="shared" si="2"/>
        <v>0.5</v>
      </c>
      <c r="E68" s="115">
        <f t="shared" si="3"/>
        <v>14.94</v>
      </c>
      <c r="F68" s="126">
        <f>F9</f>
        <v>0.75</v>
      </c>
      <c r="G68" s="118">
        <f>D68*E68</f>
        <v>7.47</v>
      </c>
      <c r="H68" s="119">
        <f>G68*F68</f>
        <v>5.6025</v>
      </c>
    </row>
    <row r="69" spans="1:8" ht="14.25" customHeight="1" x14ac:dyDescent="0.25">
      <c r="A69" s="294" t="s">
        <v>81</v>
      </c>
      <c r="B69" s="322" t="str">
        <f t="shared" si="2"/>
        <v>Lemon Juice - عصير ليمون</v>
      </c>
      <c r="C69" s="322" t="str">
        <f t="shared" si="2"/>
        <v>ml</v>
      </c>
      <c r="D69" s="322">
        <f t="shared" si="2"/>
        <v>7</v>
      </c>
      <c r="E69" s="115">
        <f t="shared" si="3"/>
        <v>14.94</v>
      </c>
      <c r="F69" s="126">
        <f>F10</f>
        <v>1</v>
      </c>
      <c r="G69" s="118">
        <f>D69*E69</f>
        <v>104.58</v>
      </c>
      <c r="H69" s="119">
        <f>G69*F69</f>
        <v>104.58</v>
      </c>
    </row>
    <row r="70" spans="1:8" ht="18" customHeight="1" x14ac:dyDescent="0.25">
      <c r="B70" s="197" t="s">
        <v>737</v>
      </c>
      <c r="C70" s="99"/>
      <c r="D70" s="99"/>
      <c r="E70" s="99"/>
      <c r="F70" s="99"/>
      <c r="G70" s="99"/>
      <c r="H70" s="99"/>
    </row>
    <row r="71" spans="1:8" ht="24" customHeight="1" x14ac:dyDescent="0.4">
      <c r="B71" s="198">
        <f>D52</f>
        <v>14940</v>
      </c>
      <c r="C71" s="99"/>
      <c r="D71" s="99"/>
      <c r="E71" s="99"/>
      <c r="F71" s="99"/>
      <c r="G71" s="99"/>
    </row>
    <row r="72" spans="1:8" ht="14.25" customHeight="1" x14ac:dyDescent="0.25">
      <c r="B72" s="99"/>
      <c r="C72" s="99"/>
      <c r="D72" s="99"/>
      <c r="E72" s="99"/>
      <c r="F72" s="99"/>
      <c r="G72" s="99"/>
      <c r="H72" s="99"/>
    </row>
    <row r="73" spans="1:8" ht="14.25" customHeight="1" x14ac:dyDescent="0.3">
      <c r="A73" s="1226"/>
      <c r="B73" s="1475"/>
      <c r="C73" s="1476"/>
      <c r="D73" s="1476"/>
      <c r="E73" s="1476"/>
      <c r="F73" s="1476"/>
      <c r="G73" s="1476"/>
      <c r="H73" s="1476"/>
    </row>
    <row r="74" spans="1:8" ht="12.75" customHeight="1" x14ac:dyDescent="0.3">
      <c r="A74" s="1226"/>
      <c r="B74" s="1475"/>
      <c r="C74" s="1476"/>
      <c r="D74" s="1476"/>
      <c r="E74" s="1476"/>
      <c r="F74" s="1476"/>
      <c r="G74" s="1476"/>
      <c r="H74" s="1476"/>
    </row>
    <row r="75" spans="1:8" ht="29.75" customHeight="1" x14ac:dyDescent="0.25">
      <c r="A75" s="1231"/>
      <c r="B75" s="1241"/>
      <c r="C75" s="1242"/>
      <c r="D75" s="1241"/>
      <c r="E75" s="1243"/>
      <c r="F75" s="1243"/>
      <c r="G75" s="1241"/>
      <c r="H75" s="1243"/>
    </row>
    <row r="76" spans="1:8" ht="12.75" customHeight="1" x14ac:dyDescent="0.25">
      <c r="A76" s="869"/>
      <c r="B76" s="1244"/>
      <c r="C76" s="1244"/>
      <c r="D76" s="1244"/>
      <c r="E76" s="1245"/>
      <c r="F76" s="1246"/>
      <c r="G76" s="1247"/>
      <c r="H76" s="1248"/>
    </row>
    <row r="77" spans="1:8" ht="17.75" customHeight="1" x14ac:dyDescent="0.25">
      <c r="A77" s="869"/>
      <c r="B77" s="1244"/>
      <c r="C77" s="1244"/>
      <c r="D77" s="1244"/>
      <c r="E77" s="1245"/>
      <c r="F77" s="1246"/>
      <c r="G77" s="1247"/>
      <c r="H77" s="1248"/>
    </row>
    <row r="78" spans="1:8" ht="18" customHeight="1" x14ac:dyDescent="0.25">
      <c r="A78" s="869"/>
      <c r="B78" s="1244"/>
      <c r="C78" s="1244"/>
      <c r="D78" s="1244"/>
      <c r="E78" s="1245"/>
      <c r="F78" s="1246"/>
      <c r="G78" s="1247"/>
      <c r="H78" s="1248"/>
    </row>
    <row r="79" spans="1:8" ht="14" x14ac:dyDescent="0.25">
      <c r="A79" s="869"/>
      <c r="B79" s="1244"/>
      <c r="C79" s="1244"/>
      <c r="D79" s="1244"/>
      <c r="E79" s="1245"/>
      <c r="F79" s="1246"/>
      <c r="G79" s="1247"/>
      <c r="H79" s="1248"/>
    </row>
    <row r="80" spans="1:8" ht="14" x14ac:dyDescent="0.25">
      <c r="A80" s="869"/>
      <c r="B80" s="1244"/>
      <c r="C80" s="1244"/>
      <c r="D80" s="1244"/>
      <c r="E80" s="1245"/>
      <c r="F80" s="1246"/>
      <c r="G80" s="1247"/>
      <c r="H80" s="1248"/>
    </row>
    <row r="81" spans="1:8" ht="14.25" customHeight="1" x14ac:dyDescent="0.25">
      <c r="A81" s="869"/>
      <c r="B81" s="888"/>
      <c r="C81" s="863"/>
      <c r="D81" s="863"/>
      <c r="E81" s="863"/>
      <c r="F81" s="863"/>
      <c r="G81" s="863"/>
      <c r="H81" s="863"/>
    </row>
    <row r="82" spans="1:8" ht="26" customHeight="1" x14ac:dyDescent="0.4">
      <c r="A82" s="869"/>
      <c r="B82" s="889"/>
      <c r="C82" s="863"/>
      <c r="D82" s="863"/>
      <c r="E82" s="863"/>
      <c r="F82" s="863"/>
      <c r="G82" s="863"/>
      <c r="H82" s="869"/>
    </row>
    <row r="83" spans="1:8" ht="14.25" customHeight="1" x14ac:dyDescent="0.25">
      <c r="A83" s="869"/>
      <c r="B83" s="863"/>
      <c r="C83" s="863"/>
      <c r="D83" s="863"/>
      <c r="E83" s="863"/>
      <c r="F83" s="863"/>
      <c r="G83" s="863"/>
      <c r="H83" s="863"/>
    </row>
    <row r="84" spans="1:8" ht="14.25" customHeight="1" x14ac:dyDescent="0.25">
      <c r="A84" s="869"/>
      <c r="B84" s="863"/>
      <c r="C84" s="863"/>
      <c r="D84" s="863"/>
      <c r="E84" s="863"/>
      <c r="F84" s="863"/>
      <c r="G84" s="863"/>
      <c r="H84" s="863"/>
    </row>
    <row r="85" spans="1:8" ht="14.25" customHeight="1" x14ac:dyDescent="0.3">
      <c r="A85" s="1226"/>
      <c r="B85" s="1475"/>
      <c r="C85" s="1476"/>
      <c r="D85" s="1476"/>
      <c r="E85" s="1476"/>
      <c r="F85" s="1476"/>
      <c r="G85" s="1476"/>
      <c r="H85" s="1476"/>
    </row>
    <row r="86" spans="1:8" ht="14.25" customHeight="1" x14ac:dyDescent="0.3">
      <c r="A86" s="1226"/>
      <c r="B86" s="1475"/>
      <c r="C86" s="1476"/>
      <c r="D86" s="1476"/>
      <c r="E86" s="1476"/>
      <c r="F86" s="1476"/>
      <c r="G86" s="1476"/>
      <c r="H86" s="1476"/>
    </row>
    <row r="87" spans="1:8" ht="33" customHeight="1" x14ac:dyDescent="0.25">
      <c r="A87" s="1231"/>
      <c r="B87" s="1241"/>
      <c r="C87" s="1242"/>
      <c r="D87" s="1241"/>
      <c r="E87" s="1243"/>
      <c r="F87" s="1243"/>
      <c r="G87" s="1241"/>
      <c r="H87" s="1243"/>
    </row>
    <row r="88" spans="1:8" ht="12.75" customHeight="1" x14ac:dyDescent="0.25">
      <c r="A88" s="869"/>
      <c r="B88" s="1244"/>
      <c r="C88" s="1244"/>
      <c r="D88" s="1244"/>
      <c r="E88" s="1245"/>
      <c r="F88" s="1246"/>
      <c r="G88" s="1247"/>
      <c r="H88" s="1248"/>
    </row>
    <row r="89" spans="1:8" ht="12.75" customHeight="1" x14ac:dyDescent="0.25">
      <c r="A89" s="869"/>
      <c r="B89" s="1244"/>
      <c r="C89" s="1244"/>
      <c r="D89" s="1244"/>
      <c r="E89" s="1245"/>
      <c r="F89" s="1246"/>
      <c r="G89" s="1247"/>
      <c r="H89" s="1248"/>
    </row>
    <row r="90" spans="1:8" ht="12.75" customHeight="1" x14ac:dyDescent="0.25">
      <c r="A90" s="869"/>
      <c r="B90" s="1244"/>
      <c r="C90" s="1244"/>
      <c r="D90" s="1244"/>
      <c r="E90" s="1245"/>
      <c r="F90" s="1246"/>
      <c r="G90" s="1247"/>
      <c r="H90" s="1248"/>
    </row>
    <row r="91" spans="1:8" ht="12.75" customHeight="1" x14ac:dyDescent="0.25">
      <c r="A91" s="869"/>
      <c r="B91" s="1244"/>
      <c r="C91" s="1244"/>
      <c r="D91" s="1244"/>
      <c r="E91" s="1245"/>
      <c r="F91" s="1246"/>
      <c r="G91" s="1247"/>
      <c r="H91" s="1248"/>
    </row>
    <row r="92" spans="1:8" ht="17.75" customHeight="1" x14ac:dyDescent="0.25">
      <c r="A92" s="869"/>
      <c r="B92" s="1244"/>
      <c r="C92" s="1244"/>
      <c r="D92" s="1244"/>
      <c r="E92" s="1245"/>
      <c r="F92" s="1246"/>
      <c r="G92" s="1247"/>
      <c r="H92" s="1248"/>
    </row>
    <row r="93" spans="1:8" ht="15.5" x14ac:dyDescent="0.25">
      <c r="A93" s="869"/>
      <c r="B93" s="888"/>
      <c r="C93" s="869"/>
      <c r="D93" s="869"/>
      <c r="E93" s="869"/>
      <c r="F93" s="869"/>
      <c r="G93" s="869"/>
      <c r="H93" s="869"/>
    </row>
    <row r="94" spans="1:8" ht="26.75" customHeight="1" x14ac:dyDescent="0.4">
      <c r="A94" s="869"/>
      <c r="B94" s="889"/>
      <c r="C94" s="869"/>
      <c r="D94" s="869"/>
      <c r="E94" s="869"/>
      <c r="F94" s="869"/>
      <c r="G94" s="869"/>
      <c r="H94" s="869"/>
    </row>
    <row r="95" spans="1:8" ht="42" customHeight="1" x14ac:dyDescent="0.25"/>
    <row r="96" spans="1:8"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sheetData>
  <mergeCells count="10">
    <mergeCell ref="AE2:AG3"/>
    <mergeCell ref="R25:T25"/>
    <mergeCell ref="R26:T26"/>
    <mergeCell ref="B62:H62"/>
    <mergeCell ref="B63:H63"/>
    <mergeCell ref="B73:H73"/>
    <mergeCell ref="B74:H74"/>
    <mergeCell ref="B85:H85"/>
    <mergeCell ref="B86:H86"/>
    <mergeCell ref="B2:H3"/>
  </mergeCells>
  <printOptions horizontalCentered="1"/>
  <pageMargins left="0.5" right="0.5" top="1" bottom="0.5" header="0.3" footer="0.511811023622047"/>
  <pageSetup paperSize="9" scale="35"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FFFF00"/>
    <pageSetUpPr fitToPage="1"/>
  </sheetPr>
  <dimension ref="A1:AG103"/>
  <sheetViews>
    <sheetView topLeftCell="I1" zoomScale="115" zoomScaleNormal="115" workbookViewId="0">
      <selection activeCell="B22" sqref="B22:L22"/>
    </sheetView>
  </sheetViews>
  <sheetFormatPr defaultColWidth="12.5" defaultRowHeight="12.5" x14ac:dyDescent="0.25"/>
  <cols>
    <col min="1" max="1" width="12.5" style="14" customWidth="1"/>
    <col min="2" max="2" width="31.414062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7" width="5.5" style="14" customWidth="1"/>
    <col min="18" max="18" width="31.5" style="14" customWidth="1"/>
    <col min="19" max="19" width="16.58203125" style="14" bestFit="1" customWidth="1"/>
    <col min="20" max="27" width="12.5" style="14"/>
    <col min="28" max="28" width="6.75" style="14" customWidth="1"/>
    <col min="29" max="16384" width="12.5" style="14"/>
  </cols>
  <sheetData>
    <row r="1" spans="1:33" ht="28.5" customHeight="1" x14ac:dyDescent="0.25">
      <c r="B1" s="79" t="s">
        <v>235</v>
      </c>
      <c r="C1" s="80">
        <v>1000</v>
      </c>
      <c r="D1" s="81" t="s">
        <v>236</v>
      </c>
      <c r="E1" s="116">
        <f>S30</f>
        <v>22460</v>
      </c>
      <c r="F1" s="79" t="s">
        <v>237</v>
      </c>
      <c r="G1" s="116">
        <f>E1/C1</f>
        <v>22.46</v>
      </c>
      <c r="H1" s="79" t="s">
        <v>238</v>
      </c>
      <c r="I1" s="116">
        <f>G1/K1</f>
        <v>20.418181818181818</v>
      </c>
      <c r="J1" s="325" t="s">
        <v>239</v>
      </c>
      <c r="K1" s="326">
        <v>1.1000000000000001</v>
      </c>
      <c r="L1" s="99"/>
      <c r="M1" s="99"/>
      <c r="N1" s="99"/>
      <c r="O1" s="99"/>
      <c r="P1" s="99"/>
      <c r="Q1" s="99"/>
      <c r="R1" s="99"/>
      <c r="S1" s="99"/>
      <c r="T1" s="99"/>
      <c r="U1" s="99"/>
      <c r="V1" s="99"/>
      <c r="Y1" s="90" t="s">
        <v>463</v>
      </c>
      <c r="Z1" s="835">
        <v>21960</v>
      </c>
      <c r="AA1" s="90" t="s">
        <v>578</v>
      </c>
      <c r="AB1" s="835">
        <v>500</v>
      </c>
      <c r="AC1" s="90" t="s">
        <v>567</v>
      </c>
      <c r="AD1" s="835">
        <v>147</v>
      </c>
    </row>
    <row r="2" spans="1:33" ht="12.75" customHeight="1" x14ac:dyDescent="0.25">
      <c r="A2" s="329"/>
      <c r="B2" s="1443" t="s">
        <v>35</v>
      </c>
      <c r="C2" s="1466"/>
      <c r="D2" s="1466"/>
      <c r="E2" s="1466"/>
      <c r="F2" s="1466"/>
      <c r="G2" s="1466"/>
      <c r="H2" s="1466"/>
      <c r="I2" s="351"/>
      <c r="J2" s="351"/>
      <c r="K2" s="351"/>
      <c r="L2" s="99"/>
      <c r="M2" s="99"/>
      <c r="N2" s="99"/>
      <c r="O2" s="99"/>
      <c r="P2" s="99"/>
      <c r="Q2" s="99"/>
      <c r="R2" s="99"/>
      <c r="S2" s="99"/>
      <c r="T2" s="99"/>
      <c r="U2" s="99"/>
      <c r="AE2" s="1452"/>
      <c r="AF2" s="1460"/>
      <c r="AG2" s="1460"/>
    </row>
    <row r="3" spans="1:33" ht="12.75" customHeight="1" x14ac:dyDescent="0.25">
      <c r="A3" s="329"/>
      <c r="B3" s="1444"/>
      <c r="C3" s="1444"/>
      <c r="D3" s="1444"/>
      <c r="E3" s="1444"/>
      <c r="F3" s="1444"/>
      <c r="G3" s="1444"/>
      <c r="H3" s="1444"/>
      <c r="I3" s="352"/>
      <c r="J3" s="351"/>
      <c r="K3" s="351"/>
      <c r="L3" s="99"/>
      <c r="M3" s="99"/>
      <c r="N3" s="99"/>
      <c r="O3" s="99"/>
      <c r="P3" s="99"/>
      <c r="Q3" s="99"/>
      <c r="R3" s="99"/>
      <c r="S3" s="99"/>
      <c r="T3" s="99"/>
      <c r="U3" s="99"/>
      <c r="AE3" s="1460"/>
      <c r="AF3" s="1460"/>
      <c r="AG3" s="1460"/>
    </row>
    <row r="4" spans="1:33" ht="68.75" customHeight="1" x14ac:dyDescent="0.25">
      <c r="A4" s="90" t="s">
        <v>1</v>
      </c>
      <c r="B4" s="90" t="s">
        <v>245</v>
      </c>
      <c r="C4" s="106" t="s">
        <v>246</v>
      </c>
      <c r="D4" s="90" t="s">
        <v>235</v>
      </c>
      <c r="E4" s="217" t="s">
        <v>238</v>
      </c>
      <c r="F4" s="107" t="s">
        <v>247</v>
      </c>
      <c r="G4" s="90" t="s">
        <v>248</v>
      </c>
      <c r="H4" s="353" t="s">
        <v>339</v>
      </c>
      <c r="I4" s="90" t="s">
        <v>250</v>
      </c>
      <c r="J4" s="90" t="s">
        <v>251</v>
      </c>
      <c r="K4" s="90" t="s">
        <v>252</v>
      </c>
      <c r="L4" s="90" t="s">
        <v>253</v>
      </c>
      <c r="M4" s="99"/>
      <c r="N4" s="99"/>
      <c r="O4" s="99"/>
      <c r="P4" s="99"/>
      <c r="Q4" s="99"/>
      <c r="R4" s="99"/>
    </row>
    <row r="5" spans="1:33" ht="14.25" customHeight="1" x14ac:dyDescent="0.25">
      <c r="A5" s="218"/>
      <c r="B5" s="649"/>
      <c r="C5" s="650"/>
      <c r="D5" s="218"/>
      <c r="E5" s="651"/>
      <c r="F5" s="218"/>
      <c r="G5" s="218"/>
      <c r="H5" s="652"/>
      <c r="I5" s="80"/>
      <c r="J5" s="118"/>
      <c r="K5" s="121"/>
      <c r="L5" s="121"/>
    </row>
    <row r="6" spans="1:33" ht="14.25" customHeight="1" x14ac:dyDescent="0.25">
      <c r="A6" s="294" t="s">
        <v>13</v>
      </c>
      <c r="B6" s="22" t="s">
        <v>21</v>
      </c>
      <c r="C6" s="123" t="s">
        <v>14</v>
      </c>
      <c r="D6" s="115">
        <v>1400</v>
      </c>
      <c r="E6" s="115">
        <f t="shared" ref="E6:E13" si="0">$I$1</f>
        <v>20.418181818181818</v>
      </c>
      <c r="F6" s="126">
        <v>1</v>
      </c>
      <c r="G6" s="118">
        <f t="shared" ref="G6:G13" si="1">D6*E6</f>
        <v>28585.454545454544</v>
      </c>
      <c r="H6" s="1195">
        <f t="shared" ref="H6:H13" si="2">G6*F6</f>
        <v>28585.454545454544</v>
      </c>
      <c r="I6" s="80">
        <f>VLOOKUP(B6,All_Ingredients!$A$1:$F$149,6,FALSE())</f>
        <v>0.9</v>
      </c>
      <c r="J6" s="118">
        <f>VLOOKUP(B6,All_Ingredients!$A$1:$J$149,10,FALSE())</f>
        <v>2.2999999999999998</v>
      </c>
      <c r="K6" s="121">
        <f t="shared" ref="K6" si="3">(H6/I6)/1000</f>
        <v>31.761616161616161</v>
      </c>
      <c r="L6" s="121">
        <f t="shared" ref="L6" si="4">K6*J6</f>
        <v>73.051717171717158</v>
      </c>
    </row>
    <row r="7" spans="1:33" ht="14.25" customHeight="1" x14ac:dyDescent="0.25">
      <c r="A7" s="294" t="s">
        <v>62</v>
      </c>
      <c r="B7" s="22" t="s">
        <v>764</v>
      </c>
      <c r="C7" s="123" t="s">
        <v>14</v>
      </c>
      <c r="D7" s="115">
        <v>1</v>
      </c>
      <c r="E7" s="115">
        <f t="shared" si="0"/>
        <v>20.418181818181818</v>
      </c>
      <c r="F7" s="126">
        <v>1</v>
      </c>
      <c r="G7" s="118">
        <f t="shared" si="1"/>
        <v>20.418181818181818</v>
      </c>
      <c r="H7" s="354">
        <f t="shared" si="2"/>
        <v>20.418181818181818</v>
      </c>
      <c r="I7" s="80">
        <f>VLOOKUP(B7,All_Ingredients!$A$1:$F$149,6,FALSE())</f>
        <v>0.5</v>
      </c>
      <c r="J7" s="118">
        <f>VLOOKUP(B7,All_Ingredients!$A$1:$J$149,10,FALSE())</f>
        <v>90</v>
      </c>
      <c r="K7" s="121">
        <f t="shared" ref="K7:K13" si="5">(H7/I7)/1000</f>
        <v>4.0836363636363636E-2</v>
      </c>
      <c r="L7" s="121">
        <f t="shared" ref="L7:L13" si="6">K7*J7</f>
        <v>3.675272727272727</v>
      </c>
    </row>
    <row r="8" spans="1:33" ht="14.25" customHeight="1" x14ac:dyDescent="0.25">
      <c r="A8" s="294" t="s">
        <v>62</v>
      </c>
      <c r="B8" s="22" t="s">
        <v>791</v>
      </c>
      <c r="C8" s="123" t="s">
        <v>14</v>
      </c>
      <c r="D8" s="115">
        <v>1</v>
      </c>
      <c r="E8" s="115">
        <f t="shared" si="0"/>
        <v>20.418181818181818</v>
      </c>
      <c r="F8" s="126">
        <v>1</v>
      </c>
      <c r="G8" s="118">
        <f t="shared" si="1"/>
        <v>20.418181818181818</v>
      </c>
      <c r="H8" s="354">
        <f t="shared" si="2"/>
        <v>20.418181818181818</v>
      </c>
      <c r="I8" s="80">
        <f>VLOOKUP(B8,All_Ingredients!$A$1:$F$149,6,FALSE())</f>
        <v>0.74</v>
      </c>
      <c r="J8" s="118">
        <f>VLOOKUP(B8,All_Ingredients!$A$1:$J$149,10,FALSE())</f>
        <v>100</v>
      </c>
      <c r="K8" s="121">
        <f t="shared" si="5"/>
        <v>2.7592137592137592E-2</v>
      </c>
      <c r="L8" s="121">
        <f t="shared" si="6"/>
        <v>2.7592137592137593</v>
      </c>
    </row>
    <row r="9" spans="1:33" ht="14.25" customHeight="1" x14ac:dyDescent="0.25">
      <c r="A9" s="294" t="s">
        <v>95</v>
      </c>
      <c r="B9" s="22" t="s">
        <v>142</v>
      </c>
      <c r="C9" s="123" t="s">
        <v>14</v>
      </c>
      <c r="D9" s="115">
        <v>1</v>
      </c>
      <c r="E9" s="115">
        <f t="shared" si="0"/>
        <v>20.418181818181818</v>
      </c>
      <c r="F9" s="126">
        <v>1</v>
      </c>
      <c r="G9" s="118">
        <f t="shared" si="1"/>
        <v>20.418181818181818</v>
      </c>
      <c r="H9" s="354">
        <f t="shared" si="2"/>
        <v>20.418181818181818</v>
      </c>
      <c r="I9" s="80">
        <f>VLOOKUP(B9,All_Ingredients!$A$1:$F$149,6,FALSE())</f>
        <v>1</v>
      </c>
      <c r="J9" s="118">
        <f>VLOOKUP(B9,All_Ingredients!$A$1:$J$149,10,FALSE())</f>
        <v>249.99999999999997</v>
      </c>
      <c r="K9" s="121">
        <f t="shared" si="5"/>
        <v>2.0418181818181818E-2</v>
      </c>
      <c r="L9" s="121">
        <f t="shared" si="6"/>
        <v>5.1045454545454536</v>
      </c>
    </row>
    <row r="10" spans="1:33" ht="14.25" customHeight="1" x14ac:dyDescent="0.25">
      <c r="A10" s="294" t="s">
        <v>81</v>
      </c>
      <c r="B10" s="22" t="s">
        <v>83</v>
      </c>
      <c r="C10" s="123" t="s">
        <v>14</v>
      </c>
      <c r="D10" s="115">
        <v>1</v>
      </c>
      <c r="E10" s="115">
        <f t="shared" si="0"/>
        <v>20.418181818181818</v>
      </c>
      <c r="F10" s="126">
        <v>1</v>
      </c>
      <c r="G10" s="118">
        <f t="shared" si="1"/>
        <v>20.418181818181818</v>
      </c>
      <c r="H10" s="354">
        <f t="shared" si="2"/>
        <v>20.418181818181818</v>
      </c>
      <c r="I10" s="80">
        <f>VLOOKUP(B10,All_Ingredients!$A$1:$F$149,6,FALSE())</f>
        <v>1</v>
      </c>
      <c r="J10" s="118">
        <f>VLOOKUP(B10,All_Ingredients!$A$1:$J$149,10,FALSE())</f>
        <v>147.88732394366198</v>
      </c>
      <c r="K10" s="121">
        <f t="shared" si="5"/>
        <v>2.0418181818181818E-2</v>
      </c>
      <c r="L10" s="121">
        <f t="shared" si="6"/>
        <v>3.0195902688860436</v>
      </c>
    </row>
    <row r="11" spans="1:33" ht="14.25" customHeight="1" x14ac:dyDescent="0.25">
      <c r="A11" s="294" t="s">
        <v>95</v>
      </c>
      <c r="B11" s="22" t="s">
        <v>94</v>
      </c>
      <c r="C11" s="123" t="s">
        <v>14</v>
      </c>
      <c r="D11" s="115">
        <v>2</v>
      </c>
      <c r="E11" s="115">
        <f t="shared" si="0"/>
        <v>20.418181818181818</v>
      </c>
      <c r="F11" s="126">
        <v>0.75</v>
      </c>
      <c r="G11" s="118">
        <f t="shared" si="1"/>
        <v>40.836363636363636</v>
      </c>
      <c r="H11" s="354">
        <f t="shared" si="2"/>
        <v>30.627272727272725</v>
      </c>
      <c r="I11" s="80">
        <f>VLOOKUP(B11,All_Ingredients!$A$1:$F$149,6,FALSE())</f>
        <v>1</v>
      </c>
      <c r="J11" s="118">
        <f>VLOOKUP(B11,All_Ingredients!$A$1:$J$149,10,FALSE())</f>
        <v>0.74</v>
      </c>
      <c r="K11" s="121">
        <f t="shared" si="5"/>
        <v>3.0627272727272725E-2</v>
      </c>
      <c r="L11" s="121">
        <f t="shared" si="6"/>
        <v>2.2664181818181816E-2</v>
      </c>
    </row>
    <row r="12" spans="1:33" ht="14.25" customHeight="1" x14ac:dyDescent="0.25">
      <c r="A12" s="294" t="s">
        <v>95</v>
      </c>
      <c r="B12" s="22" t="s">
        <v>100</v>
      </c>
      <c r="C12" s="123" t="s">
        <v>14</v>
      </c>
      <c r="D12" s="222">
        <v>0.5</v>
      </c>
      <c r="E12" s="115">
        <f t="shared" si="0"/>
        <v>20.418181818181818</v>
      </c>
      <c r="F12" s="126">
        <v>0.75</v>
      </c>
      <c r="G12" s="118">
        <f t="shared" si="1"/>
        <v>10.209090909090909</v>
      </c>
      <c r="H12" s="354">
        <f t="shared" si="2"/>
        <v>7.6568181818181813</v>
      </c>
      <c r="I12" s="80">
        <f>VLOOKUP(B12,All_Ingredients!$A$1:$F$149,6,FALSE())</f>
        <v>1</v>
      </c>
      <c r="J12" s="118">
        <f>VLOOKUP(B12,All_Ingredients!$A$1:$J$149,10,FALSE())</f>
        <v>31</v>
      </c>
      <c r="K12" s="121">
        <f t="shared" si="5"/>
        <v>7.6568181818181813E-3</v>
      </c>
      <c r="L12" s="121">
        <f t="shared" si="6"/>
        <v>0.23736136363636362</v>
      </c>
    </row>
    <row r="13" spans="1:33" ht="14.25" customHeight="1" x14ac:dyDescent="0.25">
      <c r="A13" s="294" t="s">
        <v>206</v>
      </c>
      <c r="B13" s="322" t="s">
        <v>214</v>
      </c>
      <c r="C13" s="123" t="s">
        <v>161</v>
      </c>
      <c r="D13" s="115">
        <v>5</v>
      </c>
      <c r="E13" s="115">
        <f t="shared" si="0"/>
        <v>20.418181818181818</v>
      </c>
      <c r="F13" s="126">
        <v>1</v>
      </c>
      <c r="G13" s="118">
        <f t="shared" si="1"/>
        <v>102.09090909090909</v>
      </c>
      <c r="H13" s="354">
        <f t="shared" si="2"/>
        <v>102.09090909090909</v>
      </c>
      <c r="I13" s="80">
        <f>VLOOKUP(B13,All_Ingredients!$A$1:$F$149,6,FALSE())</f>
        <v>1</v>
      </c>
      <c r="J13" s="118">
        <f>VLOOKUP(B13,All_Ingredients!$A$1:$J$149,10,FALSE())</f>
        <v>5</v>
      </c>
      <c r="K13" s="121">
        <f t="shared" si="5"/>
        <v>0.10209090909090909</v>
      </c>
      <c r="L13" s="121">
        <f t="shared" si="6"/>
        <v>0.51045454545454549</v>
      </c>
    </row>
    <row r="14" spans="1:33" ht="14.25" customHeight="1" x14ac:dyDescent="0.25">
      <c r="B14" s="355"/>
      <c r="C14" s="356"/>
      <c r="D14" s="357"/>
      <c r="E14" s="358"/>
      <c r="F14" s="359"/>
      <c r="G14" s="360"/>
      <c r="H14" s="361"/>
      <c r="I14" s="91"/>
      <c r="J14" s="138"/>
    </row>
    <row r="15" spans="1:33" ht="14.25" customHeight="1" x14ac:dyDescent="0.25">
      <c r="B15" s="348"/>
      <c r="C15" s="132"/>
      <c r="D15" s="253"/>
      <c r="E15" s="224"/>
      <c r="F15" s="135"/>
      <c r="G15" s="139"/>
      <c r="H15" s="137"/>
    </row>
    <row r="16" spans="1:33" ht="14.25" customHeight="1" x14ac:dyDescent="0.25">
      <c r="E16" s="99"/>
      <c r="F16" s="99"/>
    </row>
    <row r="17" spans="2:29" ht="14.25" customHeight="1" x14ac:dyDescent="0.25">
      <c r="E17" s="99"/>
      <c r="F17" s="99"/>
    </row>
    <row r="18" spans="2:29" ht="14.25" customHeight="1" x14ac:dyDescent="0.25">
      <c r="E18" s="99"/>
      <c r="F18" s="99"/>
    </row>
    <row r="19" spans="2:29" ht="14.25" customHeight="1" x14ac:dyDescent="0.25">
      <c r="E19" s="99"/>
      <c r="F19" s="99"/>
    </row>
    <row r="20" spans="2:29" ht="14.25" customHeight="1" x14ac:dyDescent="0.25">
      <c r="E20" s="99"/>
      <c r="F20" s="99"/>
      <c r="N20" s="362"/>
    </row>
    <row r="21" spans="2:29" ht="14.25" customHeight="1" x14ac:dyDescent="0.25">
      <c r="E21" s="99"/>
      <c r="F21" s="99"/>
    </row>
    <row r="22" spans="2:29" ht="14.25" customHeight="1" x14ac:dyDescent="0.3">
      <c r="B22" s="11"/>
      <c r="C22" s="335"/>
      <c r="D22" s="336"/>
      <c r="E22" s="99"/>
      <c r="F22" s="99"/>
    </row>
    <row r="23" spans="2:29" ht="18" customHeight="1" x14ac:dyDescent="0.3">
      <c r="B23" s="11"/>
      <c r="C23" s="335"/>
      <c r="D23" s="336"/>
      <c r="E23" s="99"/>
      <c r="F23" s="99"/>
      <c r="Z23" s="1208"/>
    </row>
    <row r="24" spans="2:29" ht="14.25" customHeight="1" x14ac:dyDescent="0.3">
      <c r="B24" s="11"/>
      <c r="C24" s="335"/>
      <c r="D24" s="336"/>
      <c r="E24" s="99"/>
      <c r="F24" s="99"/>
      <c r="Z24" s="140" t="s">
        <v>14</v>
      </c>
      <c r="AA24" s="141">
        <v>1</v>
      </c>
      <c r="AB24" s="140" t="s">
        <v>253</v>
      </c>
      <c r="AC24" s="142">
        <f>(S31/S30)*AA24</f>
        <v>3.9350320335059781E-3</v>
      </c>
    </row>
    <row r="25" spans="2:29" ht="14.25" customHeight="1" x14ac:dyDescent="0.3">
      <c r="B25" s="363"/>
      <c r="C25" s="335"/>
      <c r="D25" s="336"/>
      <c r="E25" s="99"/>
      <c r="F25" s="99"/>
      <c r="R25" s="1467" t="s">
        <v>341</v>
      </c>
      <c r="S25" s="1444"/>
      <c r="T25" s="1444"/>
    </row>
    <row r="26" spans="2:29" ht="14.25" customHeight="1" x14ac:dyDescent="0.3">
      <c r="B26" s="11"/>
      <c r="C26" s="335"/>
      <c r="D26" s="336"/>
      <c r="E26" s="99"/>
      <c r="F26" s="99"/>
      <c r="N26" s="362"/>
      <c r="R26" s="1477" t="s">
        <v>342</v>
      </c>
      <c r="S26" s="1446"/>
      <c r="T26" s="1446"/>
    </row>
    <row r="27" spans="2:29" ht="14.25" customHeight="1" x14ac:dyDescent="0.3">
      <c r="B27" s="11"/>
      <c r="C27" s="335"/>
      <c r="D27" s="336"/>
      <c r="E27" s="99"/>
      <c r="F27" s="99"/>
      <c r="R27" s="144" t="s">
        <v>258</v>
      </c>
      <c r="S27" s="144" t="s">
        <v>343</v>
      </c>
      <c r="T27" s="144" t="s">
        <v>261</v>
      </c>
    </row>
    <row r="28" spans="2:29" ht="14.25" customHeight="1" x14ac:dyDescent="0.3">
      <c r="B28" s="11"/>
      <c r="C28" s="335"/>
      <c r="D28" s="336"/>
      <c r="E28" s="99"/>
      <c r="F28" s="99"/>
      <c r="R28" s="144" t="s">
        <v>267</v>
      </c>
      <c r="S28" s="1362">
        <f>$Z$1</f>
        <v>21960</v>
      </c>
      <c r="T28" s="1372">
        <f>S28</f>
        <v>21960</v>
      </c>
      <c r="U28" s="1377"/>
    </row>
    <row r="29" spans="2:29" ht="14.25" customHeight="1" x14ac:dyDescent="0.3">
      <c r="B29" s="11"/>
      <c r="C29" s="335"/>
      <c r="D29" s="336"/>
      <c r="E29" s="99"/>
      <c r="F29" s="99"/>
      <c r="R29" s="144" t="s">
        <v>269</v>
      </c>
      <c r="S29" s="1362">
        <f>$AB$1</f>
        <v>500</v>
      </c>
      <c r="T29" s="787">
        <f>S29</f>
        <v>500</v>
      </c>
      <c r="U29" s="1377"/>
    </row>
    <row r="30" spans="2:29" ht="14.25" customHeight="1" thickBot="1" x14ac:dyDescent="0.35">
      <c r="B30" s="11"/>
      <c r="C30" s="335"/>
      <c r="D30" s="336"/>
      <c r="E30" s="99"/>
      <c r="F30" s="99"/>
      <c r="R30" s="144" t="s">
        <v>261</v>
      </c>
      <c r="S30" s="1397">
        <f>SUM(S28:S29)</f>
        <v>22460</v>
      </c>
      <c r="T30" s="1397">
        <f>S30</f>
        <v>22460</v>
      </c>
      <c r="U30" s="1377"/>
    </row>
    <row r="31" spans="2:29" ht="14.25" customHeight="1" thickBot="1" x14ac:dyDescent="0.35">
      <c r="B31" s="11"/>
      <c r="C31" s="335"/>
      <c r="D31" s="336"/>
      <c r="E31" s="99"/>
      <c r="F31" s="99"/>
      <c r="R31" s="162" t="s">
        <v>253</v>
      </c>
      <c r="S31" s="1125">
        <f>SUM(L6:L13)</f>
        <v>88.38081947254426</v>
      </c>
      <c r="T31" s="1196">
        <f>S31</f>
        <v>88.38081947254426</v>
      </c>
    </row>
    <row r="32" spans="2:29" ht="14.25" customHeight="1" x14ac:dyDescent="0.3">
      <c r="B32" s="11"/>
      <c r="C32" s="335"/>
      <c r="D32" s="336"/>
      <c r="E32" s="99"/>
      <c r="F32" s="99"/>
      <c r="N32" s="338"/>
    </row>
    <row r="33" spans="2:7" ht="14.25" customHeight="1" x14ac:dyDescent="0.3">
      <c r="B33" s="11"/>
      <c r="C33" s="335"/>
      <c r="D33" s="336"/>
      <c r="E33" s="99"/>
      <c r="F33" s="99"/>
    </row>
    <row r="34" spans="2:7" ht="14.25" customHeight="1" x14ac:dyDescent="0.3">
      <c r="B34" s="11"/>
      <c r="C34" s="335"/>
      <c r="D34" s="336"/>
      <c r="E34" s="99"/>
      <c r="F34" s="99"/>
    </row>
    <row r="35" spans="2:7" ht="14.25" customHeight="1" x14ac:dyDescent="0.3">
      <c r="B35" s="11"/>
      <c r="C35" s="335"/>
      <c r="D35" s="336"/>
      <c r="E35" s="99"/>
      <c r="F35" s="99"/>
    </row>
    <row r="36" spans="2:7" ht="14.25" customHeight="1" x14ac:dyDescent="0.3">
      <c r="B36" s="11"/>
      <c r="C36" s="335"/>
      <c r="D36" s="336"/>
      <c r="E36" s="99"/>
      <c r="F36" s="99"/>
    </row>
    <row r="37" spans="2:7" ht="18" customHeight="1" x14ac:dyDescent="0.3">
      <c r="B37" s="11"/>
      <c r="C37" s="335"/>
      <c r="D37" s="336"/>
      <c r="E37" s="99"/>
      <c r="F37" s="99"/>
    </row>
    <row r="38" spans="2:7" ht="12.75" customHeight="1" x14ac:dyDescent="0.25">
      <c r="B38" s="99"/>
      <c r="E38" s="99"/>
      <c r="F38" s="99"/>
    </row>
    <row r="39" spans="2:7" x14ac:dyDescent="0.25">
      <c r="B39" s="99"/>
      <c r="E39" s="99"/>
      <c r="F39" s="99"/>
    </row>
    <row r="44" spans="2:7" ht="14" customHeight="1" x14ac:dyDescent="0.3">
      <c r="G44" s="337"/>
    </row>
    <row r="45" spans="2:7" ht="14" customHeight="1" x14ac:dyDescent="0.25"/>
    <row r="50" spans="1:8" ht="14" x14ac:dyDescent="0.3">
      <c r="B50" s="225"/>
      <c r="C50" s="225" t="s">
        <v>237</v>
      </c>
      <c r="D50" s="225" t="s">
        <v>283</v>
      </c>
    </row>
    <row r="51" spans="1:8" ht="14" x14ac:dyDescent="0.3">
      <c r="B51" s="179" t="s">
        <v>287</v>
      </c>
      <c r="C51" s="180">
        <f>10/$K$1</f>
        <v>9.0909090909090899</v>
      </c>
      <c r="D51" s="181">
        <f>$C$1*10</f>
        <v>10000</v>
      </c>
    </row>
    <row r="52" spans="1:8" ht="18" customHeight="1" x14ac:dyDescent="0.3">
      <c r="B52" s="230" t="s">
        <v>261</v>
      </c>
      <c r="C52" s="232">
        <f>I1</f>
        <v>20.418181818181818</v>
      </c>
      <c r="D52" s="232">
        <f>E1</f>
        <v>22460</v>
      </c>
    </row>
    <row r="53" spans="1:8" ht="14" x14ac:dyDescent="0.3">
      <c r="B53" s="230" t="s">
        <v>288</v>
      </c>
      <c r="C53" s="233">
        <f>MIN($C$52, $C$51)</f>
        <v>9.0909090909090899</v>
      </c>
      <c r="D53" s="232">
        <f>(C53*$K$1)*$C$1</f>
        <v>10000</v>
      </c>
    </row>
    <row r="54" spans="1:8" ht="14" x14ac:dyDescent="0.3">
      <c r="B54" s="230" t="s">
        <v>289</v>
      </c>
      <c r="C54" s="233">
        <f>MIN(MAX($C$52-C53,0),$C$51)</f>
        <v>9.0909090909090899</v>
      </c>
      <c r="D54" s="232">
        <f>(C54*$K$1)*$C$1</f>
        <v>10000</v>
      </c>
    </row>
    <row r="55" spans="1:8" ht="14" x14ac:dyDescent="0.3">
      <c r="B55" s="230" t="s">
        <v>290</v>
      </c>
      <c r="C55" s="233">
        <f>MIN(MAX($C$52-C53-C54,0),$C$51)</f>
        <v>2.2363636363636381</v>
      </c>
      <c r="D55" s="232">
        <f>(C55*$K$1)*$C$1</f>
        <v>2460.0000000000023</v>
      </c>
    </row>
    <row r="62" spans="1:8" ht="18" customHeight="1" x14ac:dyDescent="0.3">
      <c r="A62" s="927"/>
      <c r="B62" s="1438" t="s">
        <v>824</v>
      </c>
      <c r="C62" s="1439"/>
      <c r="D62" s="1439"/>
      <c r="E62" s="1439"/>
      <c r="F62" s="1439"/>
      <c r="G62" s="1439"/>
      <c r="H62" s="1439"/>
    </row>
    <row r="63" spans="1:8" ht="14" x14ac:dyDescent="0.3">
      <c r="A63" s="927"/>
      <c r="B63" s="1436" t="s">
        <v>35</v>
      </c>
      <c r="C63" s="1437"/>
      <c r="D63" s="1437"/>
      <c r="E63" s="1437"/>
      <c r="F63" s="1437"/>
      <c r="G63" s="1437"/>
      <c r="H63" s="1437"/>
    </row>
    <row r="64" spans="1:8" ht="50.75" customHeight="1" x14ac:dyDescent="0.25">
      <c r="A64" s="90"/>
      <c r="B64" s="242" t="s">
        <v>245</v>
      </c>
      <c r="C64" s="243" t="s">
        <v>246</v>
      </c>
      <c r="D64" s="244" t="s">
        <v>235</v>
      </c>
      <c r="E64" s="217" t="s">
        <v>238</v>
      </c>
      <c r="F64" s="217" t="s">
        <v>247</v>
      </c>
      <c r="G64" s="244" t="s">
        <v>248</v>
      </c>
      <c r="H64" s="217" t="s">
        <v>249</v>
      </c>
    </row>
    <row r="65" spans="1:8" ht="14" customHeight="1" x14ac:dyDescent="0.25">
      <c r="A65" s="294" t="s">
        <v>13</v>
      </c>
      <c r="B65" s="322" t="str">
        <f t="shared" ref="B65:D72" si="7">B6</f>
        <v>Potato - بطاطس</v>
      </c>
      <c r="C65" s="123" t="str">
        <f t="shared" si="7"/>
        <v>gm</v>
      </c>
      <c r="D65" s="124">
        <f t="shared" si="7"/>
        <v>1400</v>
      </c>
      <c r="E65" s="115">
        <f>$C$52</f>
        <v>20.418181818181818</v>
      </c>
      <c r="F65" s="126">
        <f t="shared" ref="F65:F72" si="8">F6</f>
        <v>1</v>
      </c>
      <c r="G65" s="118">
        <f t="shared" ref="G65:G72" si="9">D65*E65</f>
        <v>28585.454545454544</v>
      </c>
      <c r="H65" s="119">
        <f t="shared" ref="H65:H72" si="10">G65*F65</f>
        <v>28585.454545454544</v>
      </c>
    </row>
    <row r="66" spans="1:8" ht="14" customHeight="1" x14ac:dyDescent="0.25">
      <c r="A66" s="294" t="s">
        <v>62</v>
      </c>
      <c r="B66" s="322" t="str">
        <f t="shared" si="7"/>
        <v>Fresh Thyme - بذور الزعتر</v>
      </c>
      <c r="C66" s="123" t="str">
        <f t="shared" si="7"/>
        <v>gm</v>
      </c>
      <c r="D66" s="124">
        <f t="shared" si="7"/>
        <v>1</v>
      </c>
      <c r="E66" s="115">
        <f t="shared" ref="E66:E72" si="11">$C$52</f>
        <v>20.418181818181818</v>
      </c>
      <c r="F66" s="126">
        <f t="shared" si="8"/>
        <v>1</v>
      </c>
      <c r="G66" s="118">
        <f t="shared" si="9"/>
        <v>20.418181818181818</v>
      </c>
      <c r="H66" s="119">
        <f t="shared" si="10"/>
        <v>20.418181818181818</v>
      </c>
    </row>
    <row r="67" spans="1:8" ht="14.25" customHeight="1" x14ac:dyDescent="0.25">
      <c r="A67" s="294" t="s">
        <v>62</v>
      </c>
      <c r="B67" s="322" t="str">
        <f t="shared" si="7"/>
        <v>Rosemary - روزميري مستورد</v>
      </c>
      <c r="C67" s="123" t="str">
        <f t="shared" si="7"/>
        <v>gm</v>
      </c>
      <c r="D67" s="124">
        <f t="shared" si="7"/>
        <v>1</v>
      </c>
      <c r="E67" s="115">
        <f t="shared" si="11"/>
        <v>20.418181818181818</v>
      </c>
      <c r="F67" s="126">
        <f t="shared" si="8"/>
        <v>1</v>
      </c>
      <c r="G67" s="118">
        <f t="shared" si="9"/>
        <v>20.418181818181818</v>
      </c>
      <c r="H67" s="119">
        <f t="shared" si="10"/>
        <v>20.418181818181818</v>
      </c>
    </row>
    <row r="68" spans="1:8" ht="18" customHeight="1" x14ac:dyDescent="0.25">
      <c r="A68" s="294" t="s">
        <v>95</v>
      </c>
      <c r="B68" s="322" t="str">
        <f t="shared" si="7"/>
        <v>Italian Seasoning - توابل إيطالية</v>
      </c>
      <c r="C68" s="123" t="str">
        <f t="shared" si="7"/>
        <v>gm</v>
      </c>
      <c r="D68" s="124">
        <f t="shared" si="7"/>
        <v>1</v>
      </c>
      <c r="E68" s="115">
        <f t="shared" si="11"/>
        <v>20.418181818181818</v>
      </c>
      <c r="F68" s="126">
        <f t="shared" si="8"/>
        <v>1</v>
      </c>
      <c r="G68" s="118">
        <f t="shared" si="9"/>
        <v>20.418181818181818</v>
      </c>
      <c r="H68" s="119">
        <f t="shared" si="10"/>
        <v>20.418181818181818</v>
      </c>
    </row>
    <row r="69" spans="1:8" ht="14.25" customHeight="1" x14ac:dyDescent="0.25">
      <c r="A69" s="294" t="s">
        <v>81</v>
      </c>
      <c r="B69" s="322" t="str">
        <f t="shared" si="7"/>
        <v>Dry Oregano - أوريجانو مجفف</v>
      </c>
      <c r="C69" s="123" t="str">
        <f t="shared" si="7"/>
        <v>gm</v>
      </c>
      <c r="D69" s="124">
        <f t="shared" si="7"/>
        <v>1</v>
      </c>
      <c r="E69" s="115">
        <f t="shared" si="11"/>
        <v>20.418181818181818</v>
      </c>
      <c r="F69" s="126">
        <f t="shared" si="8"/>
        <v>1</v>
      </c>
      <c r="G69" s="118">
        <f t="shared" si="9"/>
        <v>20.418181818181818</v>
      </c>
      <c r="H69" s="119">
        <f t="shared" si="10"/>
        <v>20.418181818181818</v>
      </c>
    </row>
    <row r="70" spans="1:8" ht="14.25" customHeight="1" x14ac:dyDescent="0.25">
      <c r="A70" s="294" t="s">
        <v>95</v>
      </c>
      <c r="B70" s="322" t="str">
        <f t="shared" si="7"/>
        <v>Salt - ملح</v>
      </c>
      <c r="C70" s="123" t="str">
        <f t="shared" si="7"/>
        <v>gm</v>
      </c>
      <c r="D70" s="124">
        <f t="shared" si="7"/>
        <v>2</v>
      </c>
      <c r="E70" s="115">
        <f t="shared" si="11"/>
        <v>20.418181818181818</v>
      </c>
      <c r="F70" s="126">
        <f t="shared" si="8"/>
        <v>0.75</v>
      </c>
      <c r="G70" s="118">
        <f t="shared" si="9"/>
        <v>40.836363636363636</v>
      </c>
      <c r="H70" s="119">
        <f t="shared" si="10"/>
        <v>30.627272727272725</v>
      </c>
    </row>
    <row r="71" spans="1:8" ht="14.25" customHeight="1" x14ac:dyDescent="0.25">
      <c r="A71" s="294" t="s">
        <v>95</v>
      </c>
      <c r="B71" s="322" t="str">
        <f t="shared" si="7"/>
        <v>Black Pepper Powder - فلفل أسود مطحون</v>
      </c>
      <c r="C71" s="123" t="str">
        <f t="shared" si="7"/>
        <v>gm</v>
      </c>
      <c r="D71" s="124">
        <f t="shared" si="7"/>
        <v>0.5</v>
      </c>
      <c r="E71" s="115">
        <f t="shared" si="11"/>
        <v>20.418181818181818</v>
      </c>
      <c r="F71" s="126">
        <f t="shared" si="8"/>
        <v>0.75</v>
      </c>
      <c r="G71" s="118">
        <f t="shared" si="9"/>
        <v>10.209090909090909</v>
      </c>
      <c r="H71" s="119">
        <f t="shared" si="10"/>
        <v>7.6568181818181813</v>
      </c>
    </row>
    <row r="72" spans="1:8" ht="12.75" customHeight="1" x14ac:dyDescent="0.25">
      <c r="A72" s="294" t="s">
        <v>206</v>
      </c>
      <c r="B72" s="322" t="str">
        <f t="shared" si="7"/>
        <v>Lemon Juice - عصير ليمون</v>
      </c>
      <c r="C72" s="123" t="str">
        <f t="shared" si="7"/>
        <v>ml</v>
      </c>
      <c r="D72" s="124">
        <f t="shared" si="7"/>
        <v>5</v>
      </c>
      <c r="E72" s="115">
        <f t="shared" si="11"/>
        <v>20.418181818181818</v>
      </c>
      <c r="F72" s="126">
        <f t="shared" si="8"/>
        <v>1</v>
      </c>
      <c r="G72" s="118">
        <f t="shared" si="9"/>
        <v>102.09090909090909</v>
      </c>
      <c r="H72" s="119">
        <f t="shared" si="10"/>
        <v>102.09090909090909</v>
      </c>
    </row>
    <row r="73" spans="1:8" ht="18" customHeight="1" x14ac:dyDescent="0.25">
      <c r="B73" s="197" t="s">
        <v>737</v>
      </c>
      <c r="C73" s="99"/>
      <c r="D73" s="99"/>
      <c r="E73" s="99"/>
      <c r="F73" s="99"/>
      <c r="G73" s="99"/>
      <c r="H73" s="99"/>
    </row>
    <row r="74" spans="1:8" ht="21" customHeight="1" x14ac:dyDescent="0.4">
      <c r="B74" s="198">
        <f>D52</f>
        <v>22460</v>
      </c>
      <c r="C74" s="99"/>
      <c r="D74" s="99"/>
      <c r="E74" s="99"/>
      <c r="F74" s="99"/>
      <c r="G74" s="99"/>
    </row>
    <row r="75" spans="1:8" ht="17.75" customHeight="1" x14ac:dyDescent="0.25">
      <c r="A75" s="869"/>
      <c r="B75" s="863"/>
      <c r="C75" s="863"/>
      <c r="D75" s="863"/>
      <c r="E75" s="863"/>
      <c r="F75" s="863"/>
      <c r="G75" s="863"/>
      <c r="H75" s="863"/>
    </row>
    <row r="76" spans="1:8" ht="18" customHeight="1" x14ac:dyDescent="0.3">
      <c r="A76" s="1226"/>
      <c r="B76" s="1475"/>
      <c r="C76" s="1476"/>
      <c r="D76" s="1476"/>
      <c r="E76" s="1476"/>
      <c r="F76" s="1476"/>
      <c r="G76" s="1476"/>
      <c r="H76" s="1476"/>
    </row>
    <row r="77" spans="1:8" ht="18" x14ac:dyDescent="0.3">
      <c r="A77" s="1226"/>
      <c r="B77" s="1475"/>
      <c r="C77" s="1476"/>
      <c r="D77" s="1476"/>
      <c r="E77" s="1476"/>
      <c r="F77" s="1476"/>
      <c r="G77" s="1476"/>
      <c r="H77" s="1476"/>
    </row>
    <row r="78" spans="1:8" ht="40.5" customHeight="1" x14ac:dyDescent="0.25">
      <c r="A78" s="1231"/>
      <c r="B78" s="1241"/>
      <c r="C78" s="1242"/>
      <c r="D78" s="1241"/>
      <c r="E78" s="1243"/>
      <c r="F78" s="1243"/>
      <c r="G78" s="1241"/>
      <c r="H78" s="1243"/>
    </row>
    <row r="79" spans="1:8" ht="14.25" customHeight="1" x14ac:dyDescent="0.25">
      <c r="A79" s="869"/>
      <c r="B79" s="1244"/>
      <c r="C79" s="1244"/>
      <c r="D79" s="1244"/>
      <c r="E79" s="1245"/>
      <c r="F79" s="1246"/>
      <c r="G79" s="1247"/>
      <c r="H79" s="1248"/>
    </row>
    <row r="80" spans="1:8" ht="14.25" customHeight="1" x14ac:dyDescent="0.25">
      <c r="A80" s="869"/>
      <c r="B80" s="1244"/>
      <c r="C80" s="1244"/>
      <c r="D80" s="1244"/>
      <c r="E80" s="1245"/>
      <c r="F80" s="1246"/>
      <c r="G80" s="1247"/>
      <c r="H80" s="1248"/>
    </row>
    <row r="81" spans="1:8" ht="14.25" customHeight="1" x14ac:dyDescent="0.25">
      <c r="A81" s="869"/>
      <c r="B81" s="1244"/>
      <c r="C81" s="1244"/>
      <c r="D81" s="1244"/>
      <c r="E81" s="1245"/>
      <c r="F81" s="1246"/>
      <c r="G81" s="1247"/>
      <c r="H81" s="1248"/>
    </row>
    <row r="82" spans="1:8" ht="14.25" customHeight="1" x14ac:dyDescent="0.25">
      <c r="A82" s="869"/>
      <c r="B82" s="1244"/>
      <c r="C82" s="1244"/>
      <c r="D82" s="1244"/>
      <c r="E82" s="1245"/>
      <c r="F82" s="1246"/>
      <c r="G82" s="1247"/>
      <c r="H82" s="1248"/>
    </row>
    <row r="83" spans="1:8" ht="14.25" customHeight="1" x14ac:dyDescent="0.25">
      <c r="A83" s="869"/>
      <c r="B83" s="1244"/>
      <c r="C83" s="1244"/>
      <c r="D83" s="1244"/>
      <c r="E83" s="1245"/>
      <c r="F83" s="1246"/>
      <c r="G83" s="1247"/>
      <c r="H83" s="1248"/>
    </row>
    <row r="84" spans="1:8" ht="14.25" customHeight="1" x14ac:dyDescent="0.25">
      <c r="A84" s="869"/>
      <c r="B84" s="1244"/>
      <c r="C84" s="1244"/>
      <c r="D84" s="1244"/>
      <c r="E84" s="1245"/>
      <c r="F84" s="1246"/>
      <c r="G84" s="1247"/>
      <c r="H84" s="1248"/>
    </row>
    <row r="85" spans="1:8" ht="14.25" customHeight="1" x14ac:dyDescent="0.25">
      <c r="A85" s="869"/>
      <c r="B85" s="1244"/>
      <c r="C85" s="1244"/>
      <c r="D85" s="1244"/>
      <c r="E85" s="1245"/>
      <c r="F85" s="1246"/>
      <c r="G85" s="1247"/>
      <c r="H85" s="1248"/>
    </row>
    <row r="86" spans="1:8" ht="12.75" customHeight="1" x14ac:dyDescent="0.25">
      <c r="A86" s="869"/>
      <c r="B86" s="1244"/>
      <c r="C86" s="1244"/>
      <c r="D86" s="1244"/>
      <c r="E86" s="1245"/>
      <c r="F86" s="1246"/>
      <c r="G86" s="1247"/>
      <c r="H86" s="1248"/>
    </row>
    <row r="87" spans="1:8" ht="16.25" customHeight="1" x14ac:dyDescent="0.25">
      <c r="A87" s="869"/>
      <c r="B87" s="888"/>
      <c r="C87" s="863"/>
      <c r="D87" s="863"/>
      <c r="E87" s="863"/>
      <c r="F87" s="863"/>
      <c r="G87" s="863"/>
      <c r="H87" s="863"/>
    </row>
    <row r="88" spans="1:8" ht="17" customHeight="1" x14ac:dyDescent="0.4">
      <c r="A88" s="869"/>
      <c r="B88" s="889"/>
      <c r="C88" s="863"/>
      <c r="D88" s="863"/>
      <c r="E88" s="863"/>
      <c r="F88" s="863"/>
      <c r="G88" s="863"/>
      <c r="H88" s="869"/>
    </row>
    <row r="89" spans="1:8" ht="12.75" customHeight="1" x14ac:dyDescent="0.25">
      <c r="A89" s="869"/>
      <c r="B89" s="863"/>
      <c r="C89" s="863"/>
      <c r="D89" s="863"/>
      <c r="E89" s="863"/>
      <c r="F89" s="863"/>
      <c r="G89" s="863"/>
      <c r="H89" s="863"/>
    </row>
    <row r="90" spans="1:8" ht="17.75" customHeight="1" x14ac:dyDescent="0.25">
      <c r="A90" s="869"/>
      <c r="B90" s="863"/>
      <c r="C90" s="863"/>
      <c r="D90" s="863"/>
      <c r="E90" s="863"/>
      <c r="F90" s="863"/>
      <c r="G90" s="863"/>
      <c r="H90" s="863"/>
    </row>
    <row r="91" spans="1:8" ht="18" x14ac:dyDescent="0.3">
      <c r="A91" s="1226"/>
      <c r="B91" s="1475"/>
      <c r="C91" s="1476"/>
      <c r="D91" s="1476"/>
      <c r="E91" s="1476"/>
      <c r="F91" s="1476"/>
      <c r="G91" s="1476"/>
      <c r="H91" s="1476"/>
    </row>
    <row r="92" spans="1:8" ht="18" x14ac:dyDescent="0.3">
      <c r="A92" s="1226"/>
      <c r="B92" s="1475"/>
      <c r="C92" s="1476"/>
      <c r="D92" s="1476"/>
      <c r="E92" s="1476"/>
      <c r="F92" s="1476"/>
      <c r="G92" s="1476"/>
      <c r="H92" s="1476"/>
    </row>
    <row r="93" spans="1:8" ht="42" customHeight="1" x14ac:dyDescent="0.25">
      <c r="A93" s="1231"/>
      <c r="B93" s="1241"/>
      <c r="C93" s="1242"/>
      <c r="D93" s="1241"/>
      <c r="E93" s="1243"/>
      <c r="F93" s="1243"/>
      <c r="G93" s="1241"/>
      <c r="H93" s="1243"/>
    </row>
    <row r="94" spans="1:8" ht="14.25" customHeight="1" x14ac:dyDescent="0.25">
      <c r="A94" s="869"/>
      <c r="B94" s="1244"/>
      <c r="C94" s="1244"/>
      <c r="D94" s="1244"/>
      <c r="E94" s="1245"/>
      <c r="F94" s="1246"/>
      <c r="G94" s="1247"/>
      <c r="H94" s="1248"/>
    </row>
    <row r="95" spans="1:8" ht="14.25" customHeight="1" x14ac:dyDescent="0.25">
      <c r="A95" s="869"/>
      <c r="B95" s="1244"/>
      <c r="C95" s="1244"/>
      <c r="D95" s="1244"/>
      <c r="E95" s="1245"/>
      <c r="F95" s="1246"/>
      <c r="G95" s="1247"/>
      <c r="H95" s="1248"/>
    </row>
    <row r="96" spans="1:8" ht="14.25" customHeight="1" x14ac:dyDescent="0.25">
      <c r="A96" s="869"/>
      <c r="B96" s="1244"/>
      <c r="C96" s="1244"/>
      <c r="D96" s="1244"/>
      <c r="E96" s="1245"/>
      <c r="F96" s="1246"/>
      <c r="G96" s="1247"/>
      <c r="H96" s="1248"/>
    </row>
    <row r="97" spans="1:8" ht="14.25" customHeight="1" x14ac:dyDescent="0.25">
      <c r="A97" s="869"/>
      <c r="B97" s="1244"/>
      <c r="C97" s="1244"/>
      <c r="D97" s="1244"/>
      <c r="E97" s="1245"/>
      <c r="F97" s="1246"/>
      <c r="G97" s="1247"/>
      <c r="H97" s="1248"/>
    </row>
    <row r="98" spans="1:8" ht="14.25" customHeight="1" x14ac:dyDescent="0.25">
      <c r="A98" s="869"/>
      <c r="B98" s="1244"/>
      <c r="C98" s="1244"/>
      <c r="D98" s="1244"/>
      <c r="E98" s="1245"/>
      <c r="F98" s="1246"/>
      <c r="G98" s="1247"/>
      <c r="H98" s="1248"/>
    </row>
    <row r="99" spans="1:8" ht="14.25" customHeight="1" x14ac:dyDescent="0.25">
      <c r="A99" s="869"/>
      <c r="B99" s="1244"/>
      <c r="C99" s="1244"/>
      <c r="D99" s="1244"/>
      <c r="E99" s="1245"/>
      <c r="F99" s="1246"/>
      <c r="G99" s="1247"/>
      <c r="H99" s="1248"/>
    </row>
    <row r="100" spans="1:8" ht="14.25" customHeight="1" x14ac:dyDescent="0.25">
      <c r="A100" s="869"/>
      <c r="B100" s="1244"/>
      <c r="C100" s="1244"/>
      <c r="D100" s="1244"/>
      <c r="E100" s="1245"/>
      <c r="F100" s="1246"/>
      <c r="G100" s="1247"/>
      <c r="H100" s="1248"/>
    </row>
    <row r="101" spans="1:8" ht="14" x14ac:dyDescent="0.25">
      <c r="A101" s="869"/>
      <c r="B101" s="1244"/>
      <c r="C101" s="1244"/>
      <c r="D101" s="1244"/>
      <c r="E101" s="1245"/>
      <c r="F101" s="1246"/>
      <c r="G101" s="1247"/>
      <c r="H101" s="1248"/>
    </row>
    <row r="102" spans="1:8" ht="21.5" customHeight="1" x14ac:dyDescent="0.25">
      <c r="A102" s="869"/>
      <c r="B102" s="888"/>
      <c r="C102" s="869"/>
      <c r="D102" s="869"/>
      <c r="E102" s="869"/>
      <c r="F102" s="869"/>
      <c r="G102" s="869"/>
      <c r="H102" s="869"/>
    </row>
    <row r="103" spans="1:8" ht="20" x14ac:dyDescent="0.4">
      <c r="A103" s="869"/>
      <c r="B103" s="889"/>
      <c r="C103" s="869"/>
      <c r="D103" s="869"/>
      <c r="E103" s="869"/>
      <c r="F103" s="869"/>
      <c r="G103" s="869"/>
      <c r="H103" s="869"/>
    </row>
  </sheetData>
  <mergeCells count="10">
    <mergeCell ref="AE2:AG3"/>
    <mergeCell ref="B91:H91"/>
    <mergeCell ref="B92:H92"/>
    <mergeCell ref="B77:H77"/>
    <mergeCell ref="B62:H62"/>
    <mergeCell ref="R26:T26"/>
    <mergeCell ref="B2:H3"/>
    <mergeCell ref="R25:T25"/>
    <mergeCell ref="B76:H76"/>
    <mergeCell ref="B63:H63"/>
  </mergeCells>
  <printOptions horizontalCentered="1"/>
  <pageMargins left="0.5" right="0.5" top="1" bottom="0.5" header="0.3" footer="0.511811023622047"/>
  <pageSetup paperSize="9" scale="33"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4B47F-D714-41FE-BE41-B4CF3CBD53F0}">
  <sheetPr codeName="Sheet83">
    <tabColor rgb="FFFFFF00"/>
    <outlinePr summaryBelow="0" summaryRight="0"/>
    <pageSetUpPr fitToPage="1"/>
  </sheetPr>
  <dimension ref="A1:AD963"/>
  <sheetViews>
    <sheetView topLeftCell="I1" zoomScale="85" zoomScaleNormal="85" workbookViewId="0">
      <selection activeCell="B22" sqref="B22:L22"/>
    </sheetView>
  </sheetViews>
  <sheetFormatPr defaultColWidth="12.5" defaultRowHeight="13" x14ac:dyDescent="0.3"/>
  <cols>
    <col min="1" max="1" width="12.5" style="662"/>
    <col min="2" max="2" width="31.33203125" style="662" bestFit="1" customWidth="1"/>
    <col min="3" max="3" width="24" style="662" customWidth="1"/>
    <col min="4" max="4" width="19" style="662" customWidth="1"/>
    <col min="5" max="5" width="16.1640625" style="662" bestFit="1" customWidth="1"/>
    <col min="6" max="6" width="23" style="662" customWidth="1"/>
    <col min="7" max="7" width="25.1640625" style="662" customWidth="1"/>
    <col min="8" max="8" width="36.1640625" style="662" bestFit="1" customWidth="1"/>
    <col min="9" max="10" width="12.5" style="662"/>
    <col min="11" max="11" width="7.08203125" style="662" customWidth="1"/>
    <col min="12" max="12" width="8.33203125" style="662" customWidth="1"/>
    <col min="13" max="13" width="5.75" style="662" customWidth="1"/>
    <col min="14" max="15" width="16.75" style="662" bestFit="1" customWidth="1"/>
    <col min="16" max="27" width="12.5" style="662"/>
    <col min="28" max="28" width="6.75" style="662" customWidth="1"/>
    <col min="29" max="16384" width="12.5" style="662"/>
  </cols>
  <sheetData>
    <row r="1" spans="1:30" ht="28.5" customHeight="1" x14ac:dyDescent="0.3">
      <c r="A1" s="14"/>
      <c r="B1" s="653" t="s">
        <v>235</v>
      </c>
      <c r="C1" s="658">
        <v>1000</v>
      </c>
      <c r="D1" s="659" t="s">
        <v>236</v>
      </c>
      <c r="E1" s="660">
        <f>S29</f>
        <v>36160</v>
      </c>
      <c r="F1" s="653" t="s">
        <v>237</v>
      </c>
      <c r="G1" s="660">
        <f>E1/C1</f>
        <v>36.159999999999997</v>
      </c>
      <c r="H1" s="653" t="s">
        <v>238</v>
      </c>
      <c r="I1" s="764">
        <f>G1/K1</f>
        <v>12.053333333333333</v>
      </c>
      <c r="J1" s="765" t="s">
        <v>239</v>
      </c>
      <c r="K1" s="766">
        <v>3</v>
      </c>
      <c r="L1" s="661"/>
      <c r="M1" s="661"/>
      <c r="N1" s="661"/>
      <c r="O1" s="661"/>
      <c r="P1" s="661"/>
      <c r="Q1" s="661"/>
      <c r="R1" s="661"/>
      <c r="S1" s="661"/>
      <c r="T1" s="661"/>
      <c r="U1" s="661"/>
      <c r="V1" s="661"/>
      <c r="Y1" s="90" t="s">
        <v>463</v>
      </c>
      <c r="Z1" s="835">
        <v>36160</v>
      </c>
      <c r="AA1" s="90" t="s">
        <v>578</v>
      </c>
      <c r="AB1" s="835">
        <v>0</v>
      </c>
      <c r="AC1" s="90" t="s">
        <v>567</v>
      </c>
      <c r="AD1" s="835">
        <v>246</v>
      </c>
    </row>
    <row r="2" spans="1:30" ht="12.75" customHeight="1" x14ac:dyDescent="0.3">
      <c r="A2" s="329"/>
      <c r="B2" s="1478" t="s">
        <v>536</v>
      </c>
      <c r="C2" s="1478"/>
      <c r="D2" s="1478"/>
      <c r="E2" s="1478"/>
      <c r="F2" s="1478"/>
      <c r="G2" s="1478"/>
      <c r="H2" s="1478"/>
      <c r="I2" s="767"/>
      <c r="J2" s="767"/>
      <c r="K2" s="767"/>
      <c r="L2" s="661"/>
      <c r="M2" s="661"/>
      <c r="N2" s="661"/>
      <c r="O2" s="661"/>
      <c r="P2" s="661"/>
      <c r="Q2" s="661"/>
      <c r="R2" s="661"/>
      <c r="S2" s="661"/>
      <c r="T2" s="661"/>
      <c r="U2" s="661"/>
    </row>
    <row r="3" spans="1:30" ht="12.75" customHeight="1" x14ac:dyDescent="0.3">
      <c r="A3" s="329"/>
      <c r="B3" s="1479"/>
      <c r="C3" s="1479"/>
      <c r="D3" s="1479"/>
      <c r="E3" s="1479"/>
      <c r="F3" s="1479"/>
      <c r="G3" s="1479"/>
      <c r="H3" s="1479"/>
      <c r="I3" s="767"/>
      <c r="J3" s="767"/>
      <c r="K3" s="767"/>
      <c r="L3" s="661"/>
      <c r="M3" s="661"/>
      <c r="N3" s="661"/>
      <c r="O3" s="661"/>
      <c r="P3" s="661"/>
      <c r="Q3" s="661"/>
      <c r="R3" s="661"/>
      <c r="S3" s="661"/>
      <c r="T3" s="661"/>
      <c r="U3" s="661"/>
    </row>
    <row r="4" spans="1:30" ht="68.75" customHeight="1" x14ac:dyDescent="0.3">
      <c r="A4" s="90" t="s">
        <v>1</v>
      </c>
      <c r="B4" s="663" t="s">
        <v>245</v>
      </c>
      <c r="C4" s="664" t="s">
        <v>246</v>
      </c>
      <c r="D4" s="663" t="s">
        <v>235</v>
      </c>
      <c r="E4" s="665" t="s">
        <v>238</v>
      </c>
      <c r="F4" s="666" t="s">
        <v>247</v>
      </c>
      <c r="G4" s="663" t="s">
        <v>248</v>
      </c>
      <c r="H4" s="762" t="s">
        <v>532</v>
      </c>
      <c r="I4" s="90" t="s">
        <v>250</v>
      </c>
      <c r="J4" s="90" t="s">
        <v>251</v>
      </c>
      <c r="K4" s="90" t="s">
        <v>252</v>
      </c>
      <c r="L4" s="90" t="s">
        <v>253</v>
      </c>
      <c r="M4" s="661"/>
      <c r="N4" s="661"/>
      <c r="O4" s="661"/>
      <c r="P4" s="661"/>
      <c r="Q4" s="661"/>
      <c r="R4" s="661"/>
      <c r="S4" s="661"/>
      <c r="T4" s="661"/>
      <c r="U4" s="661"/>
    </row>
    <row r="5" spans="1:30" x14ac:dyDescent="0.3">
      <c r="A5" s="370"/>
      <c r="B5" s="768"/>
      <c r="C5" s="769"/>
      <c r="D5" s="768"/>
      <c r="E5" s="770"/>
      <c r="F5" s="768"/>
      <c r="G5" s="768"/>
      <c r="H5" s="771"/>
      <c r="I5" s="80"/>
      <c r="J5" s="118"/>
      <c r="K5" s="121"/>
      <c r="L5" s="121"/>
    </row>
    <row r="6" spans="1:30" ht="14.5" x14ac:dyDescent="0.3">
      <c r="B6" s="667" t="s">
        <v>537</v>
      </c>
      <c r="C6" s="668" t="s">
        <v>14</v>
      </c>
      <c r="D6" s="1109">
        <v>330</v>
      </c>
      <c r="E6" s="670">
        <f>$I$1</f>
        <v>12.053333333333333</v>
      </c>
      <c r="F6" s="671">
        <v>1</v>
      </c>
      <c r="G6" s="672">
        <f>D6*E6</f>
        <v>3977.6</v>
      </c>
      <c r="H6" s="763">
        <f>G6*F6</f>
        <v>3977.6</v>
      </c>
      <c r="I6" s="80">
        <f>VLOOKUP(B6,All_Ingredients!$A$1:$F$149,6,FALSE())</f>
        <v>1</v>
      </c>
      <c r="J6" s="118">
        <f>VLOOKUP(B6,All_Ingredients!$A$1:$J$149,10,FALSE())</f>
        <v>9.0740740740740726</v>
      </c>
      <c r="K6" s="121">
        <f t="shared" ref="K6" si="0">(H6/I6)/1000</f>
        <v>3.9775999999999998</v>
      </c>
      <c r="L6" s="121">
        <f t="shared" ref="L6" si="1">K6*J6</f>
        <v>36.093037037037028</v>
      </c>
    </row>
    <row r="7" spans="1:30" ht="14.5" x14ac:dyDescent="0.3">
      <c r="B7" s="667" t="s">
        <v>205</v>
      </c>
      <c r="C7" s="123" t="s">
        <v>161</v>
      </c>
      <c r="D7" s="669">
        <v>8000</v>
      </c>
      <c r="E7" s="669">
        <f>$I$1</f>
        <v>12.053333333333333</v>
      </c>
      <c r="F7" s="671">
        <v>1</v>
      </c>
      <c r="G7" s="672">
        <f>D7*E7</f>
        <v>96426.666666666657</v>
      </c>
      <c r="H7" s="763">
        <f>G7*F7</f>
        <v>96426.666666666657</v>
      </c>
      <c r="I7" s="80">
        <f>VLOOKUP(B7,All_Ingredients!$A$1:$F$149,6,FALSE())</f>
        <v>1</v>
      </c>
      <c r="J7" s="118">
        <f>VLOOKUP(B7,All_Ingredients!$A$1:$J$149,10,FALSE())</f>
        <v>0</v>
      </c>
      <c r="K7" s="121">
        <f t="shared" ref="K7:K9" si="2">(H7/I7)/1000</f>
        <v>96.426666666666662</v>
      </c>
      <c r="L7" s="121">
        <f t="shared" ref="L7:L9" si="3">K7*J7</f>
        <v>0</v>
      </c>
    </row>
    <row r="8" spans="1:30" ht="14.5" x14ac:dyDescent="0.3">
      <c r="B8" s="667" t="s">
        <v>94</v>
      </c>
      <c r="C8" s="668" t="s">
        <v>14</v>
      </c>
      <c r="D8" s="669">
        <v>10</v>
      </c>
      <c r="E8" s="669">
        <f>$I$1</f>
        <v>12.053333333333333</v>
      </c>
      <c r="F8" s="671">
        <v>1</v>
      </c>
      <c r="G8" s="672">
        <f>D8*E8</f>
        <v>120.53333333333333</v>
      </c>
      <c r="H8" s="763">
        <f>G8*F8</f>
        <v>120.53333333333333</v>
      </c>
      <c r="I8" s="80">
        <f>VLOOKUP(B8,All_Ingredients!$A$1:$F$149,6,FALSE())</f>
        <v>1</v>
      </c>
      <c r="J8" s="118">
        <f>VLOOKUP(B8,All_Ingredients!$A$1:$J$149,10,FALSE())</f>
        <v>0.74</v>
      </c>
      <c r="K8" s="121">
        <f t="shared" si="2"/>
        <v>0.12053333333333333</v>
      </c>
      <c r="L8" s="121">
        <f t="shared" si="3"/>
        <v>8.9194666666666658E-2</v>
      </c>
    </row>
    <row r="9" spans="1:30" ht="14.5" x14ac:dyDescent="0.3">
      <c r="B9" s="667" t="s">
        <v>213</v>
      </c>
      <c r="C9" s="668" t="s">
        <v>14</v>
      </c>
      <c r="D9" s="669">
        <v>5</v>
      </c>
      <c r="E9" s="669">
        <f>$I$1</f>
        <v>12.053333333333333</v>
      </c>
      <c r="F9" s="671">
        <v>1</v>
      </c>
      <c r="G9" s="672">
        <f>D9*E9</f>
        <v>60.266666666666666</v>
      </c>
      <c r="H9" s="763">
        <f>G9*F9</f>
        <v>60.266666666666666</v>
      </c>
      <c r="I9" s="80">
        <f>VLOOKUP(B9,All_Ingredients!$A$1:$F$149,6,FALSE())</f>
        <v>1</v>
      </c>
      <c r="J9" s="118">
        <f>VLOOKUP(B9,All_Ingredients!$A$1:$J$149,10,FALSE())</f>
        <v>15.5</v>
      </c>
      <c r="K9" s="121">
        <f t="shared" si="2"/>
        <v>6.0266666666666663E-2</v>
      </c>
      <c r="L9" s="121">
        <f t="shared" si="3"/>
        <v>0.93413333333333326</v>
      </c>
    </row>
    <row r="10" spans="1:30" ht="14.5" x14ac:dyDescent="0.3">
      <c r="B10" s="674"/>
      <c r="C10" s="675"/>
      <c r="D10" s="676"/>
      <c r="E10" s="677"/>
      <c r="F10" s="678"/>
      <c r="G10" s="679"/>
      <c r="H10" s="680"/>
    </row>
    <row r="11" spans="1:30" x14ac:dyDescent="0.3">
      <c r="E11" s="661"/>
      <c r="F11" s="661"/>
      <c r="Q11" s="662">
        <v>3350</v>
      </c>
      <c r="R11" s="662">
        <v>10000</v>
      </c>
    </row>
    <row r="12" spans="1:30" x14ac:dyDescent="0.3">
      <c r="E12" s="661"/>
      <c r="F12" s="661"/>
      <c r="Q12" s="662">
        <v>3350</v>
      </c>
      <c r="R12" s="662">
        <v>10000</v>
      </c>
    </row>
    <row r="13" spans="1:30" x14ac:dyDescent="0.3">
      <c r="E13" s="661"/>
      <c r="F13" s="661"/>
      <c r="Q13" s="662">
        <v>3350</v>
      </c>
      <c r="R13" s="662">
        <v>10000</v>
      </c>
    </row>
    <row r="14" spans="1:30" x14ac:dyDescent="0.3">
      <c r="E14" s="661"/>
      <c r="F14" s="661"/>
      <c r="Q14" s="662">
        <v>1760</v>
      </c>
      <c r="R14" s="662">
        <v>8260</v>
      </c>
    </row>
    <row r="15" spans="1:30" x14ac:dyDescent="0.3">
      <c r="E15" s="661"/>
      <c r="F15" s="661"/>
      <c r="Q15" s="662">
        <f>SUM(Q11:Q14)</f>
        <v>11810</v>
      </c>
      <c r="R15" s="662">
        <f>SUM(R11:R14)</f>
        <v>38260</v>
      </c>
    </row>
    <row r="16" spans="1:30" x14ac:dyDescent="0.3">
      <c r="E16" s="661"/>
      <c r="F16" s="661"/>
    </row>
    <row r="17" spans="2:29" x14ac:dyDescent="0.3">
      <c r="E17" s="661"/>
      <c r="F17" s="661"/>
      <c r="H17" s="1108"/>
    </row>
    <row r="18" spans="2:29" x14ac:dyDescent="0.3">
      <c r="B18" s="661"/>
      <c r="E18" s="661"/>
      <c r="F18" s="661"/>
    </row>
    <row r="23" spans="2:29" x14ac:dyDescent="0.3">
      <c r="Z23" s="1271"/>
    </row>
    <row r="24" spans="2:29" x14ac:dyDescent="0.3">
      <c r="Z24" s="140" t="s">
        <v>14</v>
      </c>
      <c r="AA24" s="141">
        <v>1</v>
      </c>
      <c r="AB24" s="140" t="s">
        <v>253</v>
      </c>
      <c r="AC24" s="142">
        <f>(S30/S29)*AA24</f>
        <v>1.0264481481481479E-3</v>
      </c>
    </row>
    <row r="25" spans="2:29" ht="14" x14ac:dyDescent="0.3">
      <c r="R25" s="1480" t="s">
        <v>538</v>
      </c>
      <c r="S25" s="1480"/>
    </row>
    <row r="26" spans="2:29" ht="14" x14ac:dyDescent="0.3">
      <c r="R26" s="682" t="s">
        <v>258</v>
      </c>
      <c r="S26" s="682" t="s">
        <v>568</v>
      </c>
    </row>
    <row r="27" spans="2:29" ht="14" x14ac:dyDescent="0.3">
      <c r="R27" s="682" t="s">
        <v>531</v>
      </c>
      <c r="S27" s="789">
        <f>$Z$1</f>
        <v>36160</v>
      </c>
    </row>
    <row r="28" spans="2:29" ht="14" x14ac:dyDescent="0.3">
      <c r="R28" s="682" t="s">
        <v>269</v>
      </c>
      <c r="S28" s="1373">
        <f>$AB$1</f>
        <v>0</v>
      </c>
      <c r="T28" s="1385"/>
      <c r="U28" s="1385"/>
    </row>
    <row r="29" spans="2:29" ht="15" thickBot="1" x14ac:dyDescent="0.35">
      <c r="R29" s="682" t="s">
        <v>261</v>
      </c>
      <c r="S29" s="1386">
        <f>S27+S28</f>
        <v>36160</v>
      </c>
      <c r="U29" s="1385"/>
    </row>
    <row r="30" spans="2:29" ht="13.5" thickBot="1" x14ac:dyDescent="0.35">
      <c r="R30" s="162" t="s">
        <v>253</v>
      </c>
      <c r="S30" s="1398">
        <f>SUM(L5:L9)</f>
        <v>37.116365037037028</v>
      </c>
      <c r="T30" s="1399"/>
      <c r="U30" s="1385"/>
    </row>
    <row r="32" spans="2:29" x14ac:dyDescent="0.3">
      <c r="U32" s="1111"/>
    </row>
    <row r="34" spans="20:20" x14ac:dyDescent="0.3">
      <c r="T34" s="1110"/>
    </row>
    <row r="35" spans="20:20" ht="14" customHeight="1" x14ac:dyDescent="0.3"/>
    <row r="36" spans="20:20" ht="14" customHeight="1" x14ac:dyDescent="0.3"/>
    <row r="50" spans="1:8" ht="14.5" x14ac:dyDescent="0.35">
      <c r="B50" s="681"/>
      <c r="C50" s="681" t="s">
        <v>237</v>
      </c>
      <c r="D50" s="681" t="s">
        <v>283</v>
      </c>
    </row>
    <row r="51" spans="1:8" ht="14" x14ac:dyDescent="0.3">
      <c r="B51" s="179" t="s">
        <v>287</v>
      </c>
      <c r="C51" s="180">
        <f>10/$K$1</f>
        <v>3.3333333333333335</v>
      </c>
      <c r="D51" s="181">
        <f>$C$1*10</f>
        <v>10000</v>
      </c>
    </row>
    <row r="52" spans="1:8" ht="14.5" x14ac:dyDescent="0.35">
      <c r="B52" s="683" t="s">
        <v>261</v>
      </c>
      <c r="C52" s="654">
        <f>G1</f>
        <v>36.159999999999997</v>
      </c>
      <c r="D52" s="654">
        <f>E1</f>
        <v>36160</v>
      </c>
    </row>
    <row r="53" spans="1:8" ht="14.5" x14ac:dyDescent="0.35">
      <c r="B53" s="683" t="s">
        <v>288</v>
      </c>
      <c r="C53" s="655">
        <f>MIN($C$52, $C$51)</f>
        <v>3.3333333333333335</v>
      </c>
      <c r="D53" s="913">
        <f>(C53*$K$1)*$C$1</f>
        <v>10000</v>
      </c>
    </row>
    <row r="54" spans="1:8" ht="14.5" x14ac:dyDescent="0.35">
      <c r="B54" s="683" t="s">
        <v>289</v>
      </c>
      <c r="C54" s="655">
        <f>MIN(MAX($C$52-C53,0),$C$51)</f>
        <v>3.3333333333333335</v>
      </c>
      <c r="D54" s="913">
        <f>(C54*$K$1)*$C$1</f>
        <v>10000</v>
      </c>
    </row>
    <row r="55" spans="1:8" ht="14.5" x14ac:dyDescent="0.35">
      <c r="B55" s="683" t="s">
        <v>290</v>
      </c>
      <c r="C55" s="655">
        <f>MIN(MAX($C$52-C53-C54,0),$C$51)</f>
        <v>3.3333333333333335</v>
      </c>
      <c r="D55" s="913">
        <f>(C55*$K$1)*$C$1</f>
        <v>10000</v>
      </c>
    </row>
    <row r="56" spans="1:8" ht="14.5" x14ac:dyDescent="0.35">
      <c r="B56" s="683" t="s">
        <v>297</v>
      </c>
      <c r="C56" s="655">
        <f>MIN(MAX($C$52-C53-C54-C55,0),$C$51)</f>
        <v>3.3333333333333335</v>
      </c>
      <c r="D56" s="656">
        <f>C56*$K$1</f>
        <v>10</v>
      </c>
    </row>
    <row r="57" spans="1:8" ht="14" customHeight="1" x14ac:dyDescent="0.3"/>
    <row r="58" spans="1:8" ht="14" customHeight="1" x14ac:dyDescent="0.3"/>
    <row r="62" spans="1:8" ht="19.5" customHeight="1" x14ac:dyDescent="0.3">
      <c r="A62" s="927"/>
      <c r="B62" s="1438" t="s">
        <v>813</v>
      </c>
      <c r="C62" s="1439"/>
      <c r="D62" s="1439"/>
      <c r="E62" s="1439"/>
      <c r="F62" s="1439"/>
      <c r="G62" s="1439"/>
      <c r="H62" s="1439"/>
    </row>
    <row r="63" spans="1:8" ht="18" customHeight="1" x14ac:dyDescent="0.3">
      <c r="A63" s="927"/>
      <c r="B63" s="1438" t="s">
        <v>814</v>
      </c>
      <c r="C63" s="1439"/>
      <c r="D63" s="1439"/>
      <c r="E63" s="1439"/>
      <c r="F63" s="1439"/>
      <c r="G63" s="1439"/>
      <c r="H63" s="1439"/>
    </row>
    <row r="64" spans="1:8" ht="26" x14ac:dyDescent="0.3">
      <c r="A64" s="90" t="s">
        <v>1</v>
      </c>
      <c r="B64" s="242" t="s">
        <v>245</v>
      </c>
      <c r="C64" s="243" t="s">
        <v>246</v>
      </c>
      <c r="D64" s="244" t="s">
        <v>235</v>
      </c>
      <c r="E64" s="217" t="s">
        <v>238</v>
      </c>
      <c r="F64" s="217" t="s">
        <v>247</v>
      </c>
      <c r="G64" s="244" t="s">
        <v>248</v>
      </c>
      <c r="H64" s="217" t="s">
        <v>249</v>
      </c>
    </row>
    <row r="65" spans="1:8" ht="14.5" x14ac:dyDescent="0.3">
      <c r="A65" s="920"/>
      <c r="B65" s="667" t="str">
        <f t="shared" ref="B65:D68" si="4">B6</f>
        <v>Pasta Spaghettini  - مكرونة اسباجيتي</v>
      </c>
      <c r="C65" s="668" t="str">
        <f t="shared" si="4"/>
        <v>gm</v>
      </c>
      <c r="D65" s="685">
        <f t="shared" si="4"/>
        <v>330</v>
      </c>
      <c r="E65" s="669">
        <f>$C$52</f>
        <v>36.159999999999997</v>
      </c>
      <c r="F65" s="671">
        <f>F6</f>
        <v>1</v>
      </c>
      <c r="G65" s="672">
        <f>D65*E65</f>
        <v>11932.8</v>
      </c>
      <c r="H65" s="673">
        <f>G65*F65</f>
        <v>11932.8</v>
      </c>
    </row>
    <row r="66" spans="1:8" ht="14.5" x14ac:dyDescent="0.3">
      <c r="A66" s="920"/>
      <c r="B66" s="667" t="str">
        <f t="shared" si="4"/>
        <v>Water - ماء</v>
      </c>
      <c r="C66" s="668" t="str">
        <f t="shared" si="4"/>
        <v>ml</v>
      </c>
      <c r="D66" s="685">
        <f t="shared" si="4"/>
        <v>8000</v>
      </c>
      <c r="E66" s="669">
        <f>$C$52</f>
        <v>36.159999999999997</v>
      </c>
      <c r="F66" s="671">
        <f>F7</f>
        <v>1</v>
      </c>
      <c r="G66" s="672">
        <f>D66*E66</f>
        <v>289280</v>
      </c>
      <c r="H66" s="673">
        <f>G66*F66</f>
        <v>289280</v>
      </c>
    </row>
    <row r="67" spans="1:8" ht="14.5" x14ac:dyDescent="0.3">
      <c r="A67" s="920"/>
      <c r="B67" s="667" t="str">
        <f t="shared" si="4"/>
        <v>Salt - ملح</v>
      </c>
      <c r="C67" s="668" t="str">
        <f t="shared" si="4"/>
        <v>gm</v>
      </c>
      <c r="D67" s="685">
        <f t="shared" si="4"/>
        <v>10</v>
      </c>
      <c r="E67" s="669">
        <f>$C$52</f>
        <v>36.159999999999997</v>
      </c>
      <c r="F67" s="671">
        <f>F8</f>
        <v>1</v>
      </c>
      <c r="G67" s="672">
        <f>D67*E67</f>
        <v>361.59999999999997</v>
      </c>
      <c r="H67" s="673">
        <f>G67*F67</f>
        <v>361.59999999999997</v>
      </c>
    </row>
    <row r="68" spans="1:8" ht="14.5" x14ac:dyDescent="0.3">
      <c r="A68" s="920"/>
      <c r="B68" s="667" t="str">
        <f t="shared" si="4"/>
        <v>Olive Oil - زيت زيتون</v>
      </c>
      <c r="C68" s="668" t="str">
        <f t="shared" si="4"/>
        <v>gm</v>
      </c>
      <c r="D68" s="685">
        <f t="shared" si="4"/>
        <v>5</v>
      </c>
      <c r="E68" s="669">
        <f>$C$52</f>
        <v>36.159999999999997</v>
      </c>
      <c r="F68" s="671">
        <f>F9</f>
        <v>1</v>
      </c>
      <c r="G68" s="672">
        <f>D68*E68</f>
        <v>180.79999999999998</v>
      </c>
      <c r="H68" s="673">
        <f>G68*F68</f>
        <v>180.79999999999998</v>
      </c>
    </row>
    <row r="69" spans="1:8" ht="18" x14ac:dyDescent="0.3">
      <c r="B69" s="197" t="s">
        <v>736</v>
      </c>
      <c r="C69" s="482"/>
      <c r="D69" s="14"/>
      <c r="E69" s="482"/>
      <c r="F69" s="14"/>
      <c r="G69" s="482"/>
      <c r="H69" s="482"/>
    </row>
    <row r="70" spans="1:8" ht="20" x14ac:dyDescent="0.4">
      <c r="B70" s="198">
        <f>D52</f>
        <v>36160</v>
      </c>
      <c r="C70" s="481"/>
      <c r="D70" s="915"/>
      <c r="E70" s="481"/>
      <c r="F70" s="919"/>
      <c r="G70" s="481"/>
      <c r="H70" s="481"/>
    </row>
    <row r="71" spans="1:8" x14ac:dyDescent="0.3">
      <c r="B71" s="661"/>
      <c r="E71" s="661"/>
      <c r="F71" s="661"/>
    </row>
    <row r="72" spans="1:8" s="1227" customFormat="1" x14ac:dyDescent="0.3">
      <c r="B72" s="1228"/>
      <c r="C72" s="1228"/>
      <c r="D72" s="1228"/>
      <c r="E72" s="1228"/>
      <c r="F72" s="1228"/>
      <c r="G72" s="1228"/>
      <c r="H72" s="1228"/>
    </row>
    <row r="73" spans="1:8" s="1227" customFormat="1" ht="18" x14ac:dyDescent="0.3">
      <c r="A73" s="1226"/>
      <c r="B73" s="1475"/>
      <c r="C73" s="1476"/>
      <c r="D73" s="1476"/>
      <c r="E73" s="1476"/>
      <c r="F73" s="1476"/>
      <c r="G73" s="1476"/>
      <c r="H73" s="1476"/>
    </row>
    <row r="74" spans="1:8" s="1227" customFormat="1" ht="18" x14ac:dyDescent="0.3">
      <c r="A74" s="1226"/>
      <c r="B74" s="1475"/>
      <c r="C74" s="1476"/>
      <c r="D74" s="1476"/>
      <c r="E74" s="1476"/>
      <c r="F74" s="1476"/>
      <c r="G74" s="1476"/>
      <c r="H74" s="1476"/>
    </row>
    <row r="75" spans="1:8" s="1227" customFormat="1" x14ac:dyDescent="0.3">
      <c r="A75" s="1231"/>
      <c r="B75" s="1232"/>
      <c r="C75" s="1233"/>
      <c r="D75" s="1232"/>
      <c r="E75" s="1232"/>
      <c r="F75" s="1232"/>
      <c r="G75" s="1232"/>
      <c r="H75" s="1232"/>
    </row>
    <row r="76" spans="1:8" s="1227" customFormat="1" ht="14.5" x14ac:dyDescent="0.3">
      <c r="B76" s="1234"/>
      <c r="C76" s="1234"/>
      <c r="D76" s="1234"/>
      <c r="E76" s="1235"/>
      <c r="F76" s="1236"/>
      <c r="G76" s="1237"/>
      <c r="H76" s="1238"/>
    </row>
    <row r="77" spans="1:8" s="1227" customFormat="1" ht="14.5" x14ac:dyDescent="0.3">
      <c r="B77" s="1234"/>
      <c r="C77" s="1234"/>
      <c r="D77" s="1234"/>
      <c r="E77" s="1235"/>
      <c r="F77" s="1236"/>
      <c r="G77" s="1237"/>
      <c r="H77" s="1238"/>
    </row>
    <row r="78" spans="1:8" s="1227" customFormat="1" ht="14.5" x14ac:dyDescent="0.3">
      <c r="B78" s="1234"/>
      <c r="C78" s="1234"/>
      <c r="D78" s="1234"/>
      <c r="E78" s="1235"/>
      <c r="F78" s="1236"/>
      <c r="G78" s="1237"/>
      <c r="H78" s="1238"/>
    </row>
    <row r="79" spans="1:8" s="1227" customFormat="1" ht="14.5" x14ac:dyDescent="0.3">
      <c r="B79" s="1234"/>
      <c r="C79" s="1234"/>
      <c r="D79" s="1234"/>
      <c r="E79" s="1235"/>
      <c r="F79" s="1236"/>
      <c r="G79" s="1237"/>
      <c r="H79" s="1238"/>
    </row>
    <row r="80" spans="1:8" s="1227" customFormat="1" ht="15.5" x14ac:dyDescent="0.3">
      <c r="B80" s="888"/>
      <c r="E80" s="1228"/>
      <c r="F80" s="1228"/>
    </row>
    <row r="81" spans="1:8" s="1227" customFormat="1" ht="20" x14ac:dyDescent="0.4">
      <c r="B81" s="889"/>
      <c r="C81" s="1228"/>
      <c r="D81" s="1228"/>
      <c r="E81" s="1228"/>
      <c r="F81" s="1229"/>
    </row>
    <row r="82" spans="1:8" s="1227" customFormat="1" x14ac:dyDescent="0.3">
      <c r="B82" s="1228"/>
      <c r="C82" s="1228"/>
      <c r="D82" s="1228"/>
      <c r="E82" s="1228"/>
      <c r="F82" s="1228"/>
      <c r="G82" s="1228"/>
      <c r="H82" s="1228"/>
    </row>
    <row r="83" spans="1:8" s="1227" customFormat="1" x14ac:dyDescent="0.3">
      <c r="B83" s="1228"/>
      <c r="C83" s="1228"/>
      <c r="D83" s="1228"/>
      <c r="E83" s="1228"/>
      <c r="F83" s="1228"/>
      <c r="G83" s="1228"/>
      <c r="H83" s="1228"/>
    </row>
    <row r="84" spans="1:8" s="1227" customFormat="1" ht="18" x14ac:dyDescent="0.3">
      <c r="A84" s="1226"/>
      <c r="B84" s="1475"/>
      <c r="C84" s="1476"/>
      <c r="D84" s="1476"/>
      <c r="E84" s="1476"/>
      <c r="F84" s="1476"/>
      <c r="G84" s="1476"/>
      <c r="H84" s="1476"/>
    </row>
    <row r="85" spans="1:8" s="1227" customFormat="1" ht="18" x14ac:dyDescent="0.3">
      <c r="A85" s="1226"/>
      <c r="B85" s="1475"/>
      <c r="C85" s="1476"/>
      <c r="D85" s="1476"/>
      <c r="E85" s="1476"/>
      <c r="F85" s="1476"/>
      <c r="G85" s="1476"/>
      <c r="H85" s="1476"/>
    </row>
    <row r="86" spans="1:8" s="1227" customFormat="1" x14ac:dyDescent="0.3">
      <c r="A86" s="1231"/>
      <c r="B86" s="1232"/>
      <c r="C86" s="1233"/>
      <c r="D86" s="1232"/>
      <c r="E86" s="1232"/>
      <c r="F86" s="1232"/>
      <c r="G86" s="1232"/>
      <c r="H86" s="1232"/>
    </row>
    <row r="87" spans="1:8" s="1227" customFormat="1" ht="14.5" x14ac:dyDescent="0.3">
      <c r="B87" s="1234"/>
      <c r="C87" s="1234"/>
      <c r="D87" s="1234"/>
      <c r="E87" s="1239"/>
      <c r="F87" s="1240"/>
      <c r="G87" s="1237"/>
      <c r="H87" s="1238"/>
    </row>
    <row r="88" spans="1:8" s="1227" customFormat="1" ht="14.5" x14ac:dyDescent="0.3">
      <c r="B88" s="1234"/>
      <c r="C88" s="1234"/>
      <c r="D88" s="1234"/>
      <c r="E88" s="1239"/>
      <c r="F88" s="1240"/>
      <c r="G88" s="1237"/>
      <c r="H88" s="1238"/>
    </row>
    <row r="89" spans="1:8" s="1227" customFormat="1" ht="14.5" x14ac:dyDescent="0.3">
      <c r="B89" s="1234"/>
      <c r="C89" s="1234"/>
      <c r="D89" s="1234"/>
      <c r="E89" s="1239"/>
      <c r="F89" s="1240"/>
      <c r="G89" s="1237"/>
      <c r="H89" s="1238"/>
    </row>
    <row r="90" spans="1:8" s="1227" customFormat="1" ht="14.5" x14ac:dyDescent="0.3">
      <c r="B90" s="1234"/>
      <c r="C90" s="1234"/>
      <c r="D90" s="1234"/>
      <c r="E90" s="1239"/>
      <c r="F90" s="1240"/>
      <c r="G90" s="1237"/>
      <c r="H90" s="1238"/>
    </row>
    <row r="91" spans="1:8" s="1227" customFormat="1" ht="15.5" x14ac:dyDescent="0.3">
      <c r="B91" s="888"/>
      <c r="E91" s="1228"/>
      <c r="F91" s="1228"/>
    </row>
    <row r="92" spans="1:8" s="1227" customFormat="1" ht="20" x14ac:dyDescent="0.4">
      <c r="B92" s="889"/>
    </row>
    <row r="93" spans="1:8" s="1227" customFormat="1" ht="20" x14ac:dyDescent="0.4">
      <c r="B93" s="1230"/>
    </row>
    <row r="94" spans="1:8" s="1227" customFormat="1" ht="18" x14ac:dyDescent="0.3">
      <c r="A94" s="1226"/>
      <c r="B94" s="1475"/>
      <c r="C94" s="1476"/>
      <c r="D94" s="1476"/>
      <c r="E94" s="1476"/>
      <c r="F94" s="1476"/>
      <c r="G94" s="1476"/>
      <c r="H94" s="1476"/>
    </row>
    <row r="95" spans="1:8" s="1227" customFormat="1" ht="18" x14ac:dyDescent="0.3">
      <c r="A95" s="1226"/>
      <c r="B95" s="1475"/>
      <c r="C95" s="1476"/>
      <c r="D95" s="1476"/>
      <c r="E95" s="1476"/>
      <c r="F95" s="1476"/>
      <c r="G95" s="1476"/>
      <c r="H95" s="1476"/>
    </row>
    <row r="96" spans="1:8" s="1227" customFormat="1" x14ac:dyDescent="0.3">
      <c r="A96" s="1231"/>
      <c r="B96" s="1232"/>
      <c r="C96" s="1233"/>
      <c r="D96" s="1232"/>
      <c r="E96" s="1232"/>
      <c r="F96" s="1232"/>
      <c r="G96" s="1232"/>
      <c r="H96" s="1232"/>
    </row>
    <row r="97" spans="2:8" s="1227" customFormat="1" ht="14.5" x14ac:dyDescent="0.3">
      <c r="B97" s="1234"/>
      <c r="C97" s="1234"/>
      <c r="D97" s="1234"/>
      <c r="E97" s="1239"/>
      <c r="F97" s="1240"/>
      <c r="G97" s="1237"/>
      <c r="H97" s="1238"/>
    </row>
    <row r="98" spans="2:8" s="1227" customFormat="1" ht="14.5" x14ac:dyDescent="0.3">
      <c r="B98" s="1234"/>
      <c r="C98" s="1234"/>
      <c r="D98" s="1234"/>
      <c r="E98" s="1239"/>
      <c r="F98" s="1240"/>
      <c r="G98" s="1237"/>
      <c r="H98" s="1238"/>
    </row>
    <row r="99" spans="2:8" s="1227" customFormat="1" ht="14.5" x14ac:dyDescent="0.3">
      <c r="B99" s="1234"/>
      <c r="C99" s="1234"/>
      <c r="D99" s="1234"/>
      <c r="E99" s="1239"/>
      <c r="F99" s="1240"/>
      <c r="G99" s="1237"/>
      <c r="H99" s="1238"/>
    </row>
    <row r="100" spans="2:8" s="1227" customFormat="1" ht="14.5" x14ac:dyDescent="0.3">
      <c r="B100" s="1234"/>
      <c r="C100" s="1234"/>
      <c r="D100" s="1234"/>
      <c r="E100" s="1239"/>
      <c r="F100" s="1240"/>
      <c r="G100" s="1237"/>
      <c r="H100" s="1238"/>
    </row>
    <row r="101" spans="2:8" s="1227" customFormat="1" ht="15.5" x14ac:dyDescent="0.3">
      <c r="B101" s="888"/>
      <c r="E101" s="1228"/>
      <c r="F101" s="1228"/>
    </row>
    <row r="102" spans="2:8" s="1227" customFormat="1" ht="20" x14ac:dyDescent="0.4">
      <c r="B102" s="889"/>
      <c r="E102" s="1228"/>
      <c r="F102" s="1228"/>
    </row>
    <row r="103" spans="2:8" s="1227" customFormat="1" x14ac:dyDescent="0.3">
      <c r="B103" s="1228"/>
      <c r="E103" s="1228"/>
      <c r="F103" s="1228"/>
    </row>
    <row r="104" spans="2:8" s="1227" customFormat="1" x14ac:dyDescent="0.3">
      <c r="B104" s="1228"/>
      <c r="E104" s="1228"/>
      <c r="F104" s="1228"/>
    </row>
    <row r="105" spans="2:8" s="1227" customFormat="1" x14ac:dyDescent="0.3">
      <c r="B105" s="1228"/>
      <c r="E105" s="1228"/>
      <c r="F105" s="1228"/>
    </row>
    <row r="106" spans="2:8" s="1227" customFormat="1" x14ac:dyDescent="0.3">
      <c r="B106" s="1228"/>
      <c r="E106" s="1228"/>
      <c r="F106" s="1228"/>
    </row>
    <row r="107" spans="2:8" s="1227" customFormat="1" x14ac:dyDescent="0.3">
      <c r="B107" s="1228"/>
      <c r="E107" s="1228"/>
      <c r="F107" s="1228"/>
    </row>
    <row r="108" spans="2:8" s="1227" customFormat="1" x14ac:dyDescent="0.3">
      <c r="B108" s="1228"/>
      <c r="E108" s="1228"/>
      <c r="F108" s="1228"/>
    </row>
    <row r="109" spans="2:8" s="1227" customFormat="1" x14ac:dyDescent="0.3">
      <c r="B109" s="1228"/>
      <c r="E109" s="1228"/>
      <c r="F109" s="1228"/>
    </row>
    <row r="110" spans="2:8" s="1227" customFormat="1" x14ac:dyDescent="0.3">
      <c r="B110" s="1228"/>
      <c r="E110" s="1228"/>
      <c r="F110" s="1228"/>
    </row>
    <row r="111" spans="2:8" s="1227" customFormat="1" x14ac:dyDescent="0.3">
      <c r="B111" s="1228"/>
      <c r="E111" s="1228"/>
      <c r="F111" s="1228"/>
    </row>
    <row r="112" spans="2:8" s="1227" customFormat="1" x14ac:dyDescent="0.3">
      <c r="B112" s="1228"/>
      <c r="E112" s="1228"/>
      <c r="F112" s="1228"/>
    </row>
    <row r="113" spans="2:6" s="1227" customFormat="1" x14ac:dyDescent="0.3">
      <c r="B113" s="1228"/>
      <c r="E113" s="1228"/>
      <c r="F113" s="1228"/>
    </row>
    <row r="114" spans="2:6" s="1227" customFormat="1" x14ac:dyDescent="0.3">
      <c r="B114" s="1228"/>
      <c r="E114" s="1228"/>
      <c r="F114" s="1228"/>
    </row>
    <row r="115" spans="2:6" s="1227" customFormat="1" x14ac:dyDescent="0.3">
      <c r="B115" s="1228"/>
      <c r="E115" s="1228"/>
      <c r="F115" s="1228"/>
    </row>
    <row r="116" spans="2:6" s="1227" customFormat="1" x14ac:dyDescent="0.3">
      <c r="B116" s="1228"/>
      <c r="E116" s="1228"/>
      <c r="F116" s="1228"/>
    </row>
    <row r="117" spans="2:6" s="1227" customFormat="1" x14ac:dyDescent="0.3">
      <c r="B117" s="1228"/>
      <c r="E117" s="1228"/>
      <c r="F117" s="1228"/>
    </row>
    <row r="118" spans="2:6" s="1227" customFormat="1" x14ac:dyDescent="0.3">
      <c r="B118" s="1228"/>
      <c r="E118" s="1228"/>
      <c r="F118" s="1228"/>
    </row>
    <row r="119" spans="2:6" s="1227" customFormat="1" x14ac:dyDescent="0.3">
      <c r="B119" s="1228"/>
      <c r="E119" s="1228"/>
      <c r="F119" s="1228"/>
    </row>
    <row r="120" spans="2:6" s="1227" customFormat="1" x14ac:dyDescent="0.3">
      <c r="B120" s="1228"/>
      <c r="E120" s="1228"/>
      <c r="F120" s="1228"/>
    </row>
    <row r="121" spans="2:6" s="1227" customFormat="1" x14ac:dyDescent="0.3">
      <c r="B121" s="1228"/>
      <c r="E121" s="1228"/>
      <c r="F121" s="1228"/>
    </row>
    <row r="122" spans="2:6" s="1227" customFormat="1" x14ac:dyDescent="0.3">
      <c r="B122" s="1228"/>
      <c r="E122" s="1228"/>
      <c r="F122" s="1228"/>
    </row>
    <row r="123" spans="2:6" s="1227" customFormat="1" x14ac:dyDescent="0.3">
      <c r="B123" s="1228"/>
      <c r="E123" s="1228"/>
      <c r="F123" s="1228"/>
    </row>
    <row r="124" spans="2:6" s="1227" customFormat="1" x14ac:dyDescent="0.3">
      <c r="B124" s="1228"/>
      <c r="E124" s="1228"/>
      <c r="F124" s="1228"/>
    </row>
    <row r="125" spans="2:6" s="1227" customFormat="1" x14ac:dyDescent="0.3">
      <c r="B125" s="1228"/>
      <c r="E125" s="1228"/>
      <c r="F125" s="1228"/>
    </row>
    <row r="126" spans="2:6" s="1227" customFormat="1" x14ac:dyDescent="0.3">
      <c r="B126" s="1228"/>
      <c r="E126" s="1228"/>
      <c r="F126" s="1228"/>
    </row>
    <row r="127" spans="2:6" s="1227" customFormat="1" x14ac:dyDescent="0.3">
      <c r="B127" s="1228"/>
      <c r="E127" s="1228"/>
      <c r="F127" s="1228"/>
    </row>
    <row r="128" spans="2:6" s="1227" customFormat="1" x14ac:dyDescent="0.3">
      <c r="B128" s="1228"/>
      <c r="E128" s="1228"/>
      <c r="F128" s="1228"/>
    </row>
    <row r="129" spans="2:6" s="1227" customFormat="1" x14ac:dyDescent="0.3">
      <c r="B129" s="1228"/>
      <c r="E129" s="1228"/>
      <c r="F129" s="1228"/>
    </row>
    <row r="130" spans="2:6" s="1227" customFormat="1" x14ac:dyDescent="0.3">
      <c r="B130" s="1228"/>
      <c r="E130" s="1228"/>
      <c r="F130" s="1228"/>
    </row>
    <row r="131" spans="2:6" s="1227" customFormat="1" x14ac:dyDescent="0.3">
      <c r="B131" s="1228"/>
      <c r="E131" s="1228"/>
      <c r="F131" s="1228"/>
    </row>
    <row r="132" spans="2:6" s="1227" customFormat="1" x14ac:dyDescent="0.3">
      <c r="B132" s="1228"/>
      <c r="E132" s="1228"/>
      <c r="F132" s="1228"/>
    </row>
    <row r="133" spans="2:6" s="1227" customFormat="1" x14ac:dyDescent="0.3">
      <c r="B133" s="1228"/>
      <c r="E133" s="1228"/>
      <c r="F133" s="1228"/>
    </row>
    <row r="134" spans="2:6" s="1227" customFormat="1" x14ac:dyDescent="0.3">
      <c r="B134" s="1228"/>
      <c r="E134" s="1228"/>
      <c r="F134" s="1228"/>
    </row>
    <row r="135" spans="2:6" s="1227" customFormat="1" x14ac:dyDescent="0.3">
      <c r="B135" s="1228"/>
      <c r="E135" s="1228"/>
      <c r="F135" s="1228"/>
    </row>
    <row r="136" spans="2:6" s="1227" customFormat="1" x14ac:dyDescent="0.3">
      <c r="B136" s="1228"/>
      <c r="E136" s="1228"/>
      <c r="F136" s="1228"/>
    </row>
    <row r="137" spans="2:6" s="1227" customFormat="1" x14ac:dyDescent="0.3">
      <c r="B137" s="1228"/>
      <c r="E137" s="1228"/>
      <c r="F137" s="1228"/>
    </row>
    <row r="138" spans="2:6" s="1227" customFormat="1" x14ac:dyDescent="0.3">
      <c r="B138" s="1228"/>
      <c r="E138" s="1228"/>
      <c r="F138" s="1228"/>
    </row>
    <row r="139" spans="2:6" s="1227" customFormat="1" x14ac:dyDescent="0.3">
      <c r="B139" s="1228"/>
      <c r="E139" s="1228"/>
      <c r="F139" s="1228"/>
    </row>
    <row r="140" spans="2:6" s="1227" customFormat="1" x14ac:dyDescent="0.3">
      <c r="B140" s="1228"/>
      <c r="E140" s="1228"/>
      <c r="F140" s="1228"/>
    </row>
    <row r="141" spans="2:6" s="1227" customFormat="1" x14ac:dyDescent="0.3">
      <c r="B141" s="1228"/>
      <c r="E141" s="1228"/>
      <c r="F141" s="1228"/>
    </row>
    <row r="142" spans="2:6" s="1227" customFormat="1" x14ac:dyDescent="0.3">
      <c r="B142" s="1228"/>
      <c r="E142" s="1228"/>
      <c r="F142" s="1228"/>
    </row>
    <row r="143" spans="2:6" s="1227" customFormat="1" x14ac:dyDescent="0.3">
      <c r="B143" s="1228"/>
      <c r="E143" s="1228"/>
      <c r="F143" s="1228"/>
    </row>
    <row r="144" spans="2:6" s="1227" customFormat="1" x14ac:dyDescent="0.3">
      <c r="B144" s="1228"/>
      <c r="E144" s="1228"/>
      <c r="F144" s="1228"/>
    </row>
    <row r="145" spans="2:6" s="1227" customFormat="1" x14ac:dyDescent="0.3">
      <c r="B145" s="1228"/>
      <c r="E145" s="1228"/>
      <c r="F145" s="1228"/>
    </row>
    <row r="146" spans="2:6" s="1227" customFormat="1" x14ac:dyDescent="0.3">
      <c r="B146" s="1228"/>
      <c r="E146" s="1228"/>
      <c r="F146" s="1228"/>
    </row>
    <row r="147" spans="2:6" s="1227" customFormat="1" x14ac:dyDescent="0.3">
      <c r="B147" s="1228"/>
      <c r="E147" s="1228"/>
      <c r="F147" s="1228"/>
    </row>
    <row r="148" spans="2:6" s="1227" customFormat="1" x14ac:dyDescent="0.3">
      <c r="B148" s="1228"/>
      <c r="E148" s="1228"/>
      <c r="F148" s="1228"/>
    </row>
    <row r="149" spans="2:6" s="1227" customFormat="1" x14ac:dyDescent="0.3">
      <c r="B149" s="1228"/>
      <c r="E149" s="1228"/>
      <c r="F149" s="1228"/>
    </row>
    <row r="150" spans="2:6" s="1227" customFormat="1" x14ac:dyDescent="0.3">
      <c r="B150" s="1228"/>
      <c r="E150" s="1228"/>
      <c r="F150" s="1228"/>
    </row>
    <row r="151" spans="2:6" s="1227" customFormat="1" x14ac:dyDescent="0.3">
      <c r="B151" s="1228"/>
      <c r="E151" s="1228"/>
      <c r="F151" s="1228"/>
    </row>
    <row r="152" spans="2:6" s="1227" customFormat="1" x14ac:dyDescent="0.3">
      <c r="B152" s="1228"/>
      <c r="E152" s="1228"/>
      <c r="F152" s="1228"/>
    </row>
    <row r="153" spans="2:6" s="1227" customFormat="1" x14ac:dyDescent="0.3">
      <c r="B153" s="1228"/>
      <c r="E153" s="1228"/>
      <c r="F153" s="1228"/>
    </row>
    <row r="154" spans="2:6" s="1227" customFormat="1" x14ac:dyDescent="0.3">
      <c r="B154" s="1228"/>
      <c r="E154" s="1228"/>
      <c r="F154" s="1228"/>
    </row>
    <row r="155" spans="2:6" s="1227" customFormat="1" x14ac:dyDescent="0.3">
      <c r="B155" s="1228"/>
      <c r="E155" s="1228"/>
      <c r="F155" s="1228"/>
    </row>
    <row r="156" spans="2:6" s="1227" customFormat="1" x14ac:dyDescent="0.3">
      <c r="B156" s="1228"/>
      <c r="E156" s="1228"/>
      <c r="F156" s="1228"/>
    </row>
    <row r="157" spans="2:6" s="1227" customFormat="1" x14ac:dyDescent="0.3">
      <c r="B157" s="1228"/>
      <c r="E157" s="1228"/>
      <c r="F157" s="1228"/>
    </row>
    <row r="158" spans="2:6" s="1227" customFormat="1" x14ac:dyDescent="0.3">
      <c r="B158" s="1228"/>
      <c r="E158" s="1228"/>
      <c r="F158" s="1228"/>
    </row>
    <row r="159" spans="2:6" s="1227" customFormat="1" x14ac:dyDescent="0.3">
      <c r="B159" s="1228"/>
      <c r="E159" s="1228"/>
      <c r="F159" s="1228"/>
    </row>
    <row r="160" spans="2:6" s="1227" customFormat="1" x14ac:dyDescent="0.3">
      <c r="B160" s="1228"/>
      <c r="E160" s="1228"/>
      <c r="F160" s="1228"/>
    </row>
    <row r="161" spans="2:6" s="1227" customFormat="1" x14ac:dyDescent="0.3">
      <c r="B161" s="1228"/>
      <c r="E161" s="1228"/>
      <c r="F161" s="1228"/>
    </row>
    <row r="162" spans="2:6" s="1227" customFormat="1" x14ac:dyDescent="0.3">
      <c r="B162" s="1228"/>
      <c r="E162" s="1228"/>
      <c r="F162" s="1228"/>
    </row>
    <row r="163" spans="2:6" s="1227" customFormat="1" x14ac:dyDescent="0.3">
      <c r="B163" s="1228"/>
      <c r="E163" s="1228"/>
      <c r="F163" s="1228"/>
    </row>
    <row r="164" spans="2:6" s="1227" customFormat="1" x14ac:dyDescent="0.3">
      <c r="B164" s="1228"/>
      <c r="E164" s="1228"/>
      <c r="F164" s="1228"/>
    </row>
    <row r="165" spans="2:6" s="1227" customFormat="1" x14ac:dyDescent="0.3">
      <c r="B165" s="1228"/>
      <c r="E165" s="1228"/>
      <c r="F165" s="1228"/>
    </row>
    <row r="166" spans="2:6" s="1227" customFormat="1" x14ac:dyDescent="0.3">
      <c r="B166" s="1228"/>
      <c r="E166" s="1228"/>
      <c r="F166" s="1228"/>
    </row>
    <row r="167" spans="2:6" s="1227" customFormat="1" x14ac:dyDescent="0.3">
      <c r="B167" s="1228"/>
      <c r="E167" s="1228"/>
      <c r="F167" s="1228"/>
    </row>
    <row r="168" spans="2:6" s="1227" customFormat="1" x14ac:dyDescent="0.3">
      <c r="B168" s="1228"/>
      <c r="E168" s="1228"/>
      <c r="F168" s="1228"/>
    </row>
    <row r="169" spans="2:6" s="1227" customFormat="1" x14ac:dyDescent="0.3">
      <c r="B169" s="1228"/>
      <c r="E169" s="1228"/>
      <c r="F169" s="1228"/>
    </row>
    <row r="170" spans="2:6" s="1227" customFormat="1" x14ac:dyDescent="0.3">
      <c r="B170" s="1228"/>
      <c r="E170" s="1228"/>
      <c r="F170" s="1228"/>
    </row>
    <row r="171" spans="2:6" s="1227" customFormat="1" x14ac:dyDescent="0.3">
      <c r="B171" s="1228"/>
      <c r="E171" s="1228"/>
      <c r="F171" s="1228"/>
    </row>
    <row r="172" spans="2:6" s="1227" customFormat="1" x14ac:dyDescent="0.3">
      <c r="B172" s="1228"/>
      <c r="E172" s="1228"/>
      <c r="F172" s="1228"/>
    </row>
    <row r="173" spans="2:6" s="1227" customFormat="1" x14ac:dyDescent="0.3">
      <c r="B173" s="1228"/>
      <c r="E173" s="1228"/>
      <c r="F173" s="1228"/>
    </row>
    <row r="174" spans="2:6" s="1227" customFormat="1" x14ac:dyDescent="0.3">
      <c r="B174" s="1228"/>
      <c r="E174" s="1228"/>
      <c r="F174" s="1228"/>
    </row>
    <row r="175" spans="2:6" s="1227" customFormat="1" x14ac:dyDescent="0.3">
      <c r="B175" s="1228"/>
      <c r="E175" s="1228"/>
      <c r="F175" s="1228"/>
    </row>
    <row r="176" spans="2:6" s="1227" customFormat="1" x14ac:dyDescent="0.3">
      <c r="B176" s="1228"/>
      <c r="E176" s="1228"/>
      <c r="F176" s="1228"/>
    </row>
    <row r="177" spans="2:6" s="1227" customFormat="1" x14ac:dyDescent="0.3">
      <c r="B177" s="1228"/>
      <c r="E177" s="1228"/>
      <c r="F177" s="1228"/>
    </row>
    <row r="178" spans="2:6" s="1227" customFormat="1" x14ac:dyDescent="0.3">
      <c r="B178" s="1228"/>
      <c r="E178" s="1228"/>
      <c r="F178" s="1228"/>
    </row>
    <row r="179" spans="2:6" s="1227" customFormat="1" x14ac:dyDescent="0.3">
      <c r="B179" s="1228"/>
      <c r="E179" s="1228"/>
      <c r="F179" s="1228"/>
    </row>
    <row r="180" spans="2:6" s="1227" customFormat="1" x14ac:dyDescent="0.3">
      <c r="B180" s="1228"/>
      <c r="E180" s="1228"/>
      <c r="F180" s="1228"/>
    </row>
    <row r="181" spans="2:6" s="1227" customFormat="1" x14ac:dyDescent="0.3">
      <c r="B181" s="1228"/>
      <c r="E181" s="1228"/>
      <c r="F181" s="1228"/>
    </row>
    <row r="182" spans="2:6" x14ac:dyDescent="0.3">
      <c r="B182" s="661"/>
      <c r="E182" s="661"/>
      <c r="F182" s="661"/>
    </row>
    <row r="183" spans="2:6" x14ac:dyDescent="0.3">
      <c r="B183" s="661"/>
      <c r="E183" s="661"/>
      <c r="F183" s="661"/>
    </row>
    <row r="184" spans="2:6" x14ac:dyDescent="0.3">
      <c r="B184" s="661"/>
      <c r="E184" s="661"/>
      <c r="F184" s="661"/>
    </row>
    <row r="185" spans="2:6" x14ac:dyDescent="0.3">
      <c r="B185" s="661"/>
      <c r="E185" s="661"/>
      <c r="F185" s="661"/>
    </row>
    <row r="186" spans="2:6" x14ac:dyDescent="0.3">
      <c r="B186" s="661"/>
      <c r="E186" s="661"/>
      <c r="F186" s="661"/>
    </row>
    <row r="187" spans="2:6" x14ac:dyDescent="0.3">
      <c r="B187" s="661"/>
      <c r="E187" s="661"/>
      <c r="F187" s="661"/>
    </row>
    <row r="188" spans="2:6" x14ac:dyDescent="0.3">
      <c r="B188" s="661"/>
      <c r="E188" s="661"/>
      <c r="F188" s="661"/>
    </row>
    <row r="189" spans="2:6" x14ac:dyDescent="0.3">
      <c r="B189" s="661"/>
      <c r="E189" s="661"/>
      <c r="F189" s="661"/>
    </row>
    <row r="190" spans="2:6" x14ac:dyDescent="0.3">
      <c r="B190" s="661"/>
      <c r="E190" s="661"/>
      <c r="F190" s="661"/>
    </row>
    <row r="191" spans="2:6" x14ac:dyDescent="0.3">
      <c r="B191" s="661"/>
      <c r="E191" s="661"/>
      <c r="F191" s="661"/>
    </row>
    <row r="192" spans="2:6" x14ac:dyDescent="0.3">
      <c r="B192" s="661"/>
      <c r="E192" s="661"/>
      <c r="F192" s="661"/>
    </row>
    <row r="193" spans="2:6" x14ac:dyDescent="0.3">
      <c r="B193" s="661"/>
      <c r="E193" s="661"/>
      <c r="F193" s="661"/>
    </row>
    <row r="194" spans="2:6" x14ac:dyDescent="0.3">
      <c r="B194" s="661"/>
      <c r="E194" s="661"/>
      <c r="F194" s="661"/>
    </row>
    <row r="195" spans="2:6" x14ac:dyDescent="0.3">
      <c r="B195" s="661"/>
      <c r="E195" s="661"/>
      <c r="F195" s="661"/>
    </row>
    <row r="196" spans="2:6" x14ac:dyDescent="0.3">
      <c r="B196" s="661"/>
      <c r="E196" s="661"/>
      <c r="F196" s="661"/>
    </row>
    <row r="197" spans="2:6" x14ac:dyDescent="0.3">
      <c r="B197" s="661"/>
      <c r="E197" s="661"/>
      <c r="F197" s="661"/>
    </row>
    <row r="198" spans="2:6" x14ac:dyDescent="0.3">
      <c r="B198" s="661"/>
      <c r="E198" s="661"/>
      <c r="F198" s="661"/>
    </row>
    <row r="199" spans="2:6" x14ac:dyDescent="0.3">
      <c r="B199" s="661"/>
      <c r="E199" s="661"/>
      <c r="F199" s="661"/>
    </row>
    <row r="200" spans="2:6" x14ac:dyDescent="0.3">
      <c r="B200" s="661"/>
      <c r="E200" s="661"/>
      <c r="F200" s="661"/>
    </row>
    <row r="201" spans="2:6" x14ac:dyDescent="0.3">
      <c r="B201" s="661"/>
      <c r="E201" s="661"/>
      <c r="F201" s="661"/>
    </row>
    <row r="202" spans="2:6" x14ac:dyDescent="0.3">
      <c r="B202" s="661"/>
      <c r="E202" s="661"/>
      <c r="F202" s="661"/>
    </row>
    <row r="203" spans="2:6" x14ac:dyDescent="0.3">
      <c r="B203" s="661"/>
      <c r="E203" s="661"/>
      <c r="F203" s="661"/>
    </row>
    <row r="204" spans="2:6" x14ac:dyDescent="0.3">
      <c r="B204" s="661"/>
      <c r="E204" s="661"/>
      <c r="F204" s="661"/>
    </row>
    <row r="205" spans="2:6" x14ac:dyDescent="0.3">
      <c r="B205" s="661"/>
      <c r="E205" s="661"/>
      <c r="F205" s="661"/>
    </row>
    <row r="206" spans="2:6" x14ac:dyDescent="0.3">
      <c r="B206" s="661"/>
      <c r="E206" s="661"/>
      <c r="F206" s="661"/>
    </row>
    <row r="207" spans="2:6" x14ac:dyDescent="0.3">
      <c r="B207" s="661"/>
      <c r="E207" s="661"/>
      <c r="F207" s="661"/>
    </row>
    <row r="208" spans="2:6" x14ac:dyDescent="0.3">
      <c r="B208" s="661"/>
      <c r="E208" s="661"/>
      <c r="F208" s="661"/>
    </row>
    <row r="209" spans="2:6" x14ac:dyDescent="0.3">
      <c r="B209" s="661"/>
      <c r="E209" s="661"/>
      <c r="F209" s="661"/>
    </row>
    <row r="210" spans="2:6" x14ac:dyDescent="0.3">
      <c r="B210" s="661"/>
      <c r="E210" s="661"/>
      <c r="F210" s="661"/>
    </row>
    <row r="211" spans="2:6" x14ac:dyDescent="0.3">
      <c r="B211" s="661"/>
      <c r="E211" s="661"/>
      <c r="F211" s="661"/>
    </row>
    <row r="212" spans="2:6" x14ac:dyDescent="0.3">
      <c r="B212" s="661"/>
      <c r="E212" s="661"/>
      <c r="F212" s="661"/>
    </row>
    <row r="213" spans="2:6" x14ac:dyDescent="0.3">
      <c r="B213" s="661"/>
      <c r="E213" s="661"/>
      <c r="F213" s="661"/>
    </row>
    <row r="214" spans="2:6" x14ac:dyDescent="0.3">
      <c r="B214" s="661"/>
      <c r="E214" s="661"/>
      <c r="F214" s="661"/>
    </row>
    <row r="215" spans="2:6" x14ac:dyDescent="0.3">
      <c r="B215" s="661"/>
      <c r="E215" s="661"/>
      <c r="F215" s="661"/>
    </row>
    <row r="216" spans="2:6" x14ac:dyDescent="0.3">
      <c r="B216" s="661"/>
      <c r="E216" s="661"/>
      <c r="F216" s="661"/>
    </row>
    <row r="217" spans="2:6" x14ac:dyDescent="0.3">
      <c r="B217" s="661"/>
      <c r="E217" s="661"/>
      <c r="F217" s="661"/>
    </row>
    <row r="218" spans="2:6" x14ac:dyDescent="0.3">
      <c r="B218" s="661"/>
      <c r="E218" s="661"/>
      <c r="F218" s="661"/>
    </row>
    <row r="219" spans="2:6" x14ac:dyDescent="0.3">
      <c r="B219" s="661"/>
      <c r="E219" s="661"/>
      <c r="F219" s="661"/>
    </row>
    <row r="220" spans="2:6" x14ac:dyDescent="0.3">
      <c r="B220" s="661"/>
      <c r="E220" s="661"/>
      <c r="F220" s="661"/>
    </row>
    <row r="221" spans="2:6" x14ac:dyDescent="0.3">
      <c r="B221" s="661"/>
      <c r="E221" s="661"/>
      <c r="F221" s="661"/>
    </row>
    <row r="222" spans="2:6" x14ac:dyDescent="0.3">
      <c r="B222" s="661"/>
      <c r="E222" s="661"/>
      <c r="F222" s="661"/>
    </row>
    <row r="223" spans="2:6" x14ac:dyDescent="0.3">
      <c r="B223" s="661"/>
      <c r="E223" s="661"/>
      <c r="F223" s="661"/>
    </row>
    <row r="224" spans="2:6" x14ac:dyDescent="0.3">
      <c r="B224" s="661"/>
      <c r="E224" s="661"/>
      <c r="F224" s="661"/>
    </row>
    <row r="225" spans="2:6" x14ac:dyDescent="0.3">
      <c r="B225" s="661"/>
      <c r="E225" s="661"/>
      <c r="F225" s="661"/>
    </row>
    <row r="226" spans="2:6" x14ac:dyDescent="0.3">
      <c r="B226" s="661"/>
      <c r="E226" s="661"/>
      <c r="F226" s="661"/>
    </row>
    <row r="227" spans="2:6" x14ac:dyDescent="0.3">
      <c r="B227" s="661"/>
      <c r="E227" s="661"/>
      <c r="F227" s="661"/>
    </row>
    <row r="228" spans="2:6" x14ac:dyDescent="0.3">
      <c r="B228" s="661"/>
      <c r="E228" s="661"/>
      <c r="F228" s="661"/>
    </row>
    <row r="229" spans="2:6" x14ac:dyDescent="0.3">
      <c r="B229" s="661"/>
      <c r="E229" s="661"/>
      <c r="F229" s="661"/>
    </row>
    <row r="230" spans="2:6" x14ac:dyDescent="0.3">
      <c r="B230" s="661"/>
      <c r="E230" s="661"/>
      <c r="F230" s="661"/>
    </row>
    <row r="231" spans="2:6" x14ac:dyDescent="0.3">
      <c r="B231" s="661"/>
      <c r="E231" s="661"/>
      <c r="F231" s="661"/>
    </row>
    <row r="232" spans="2:6" x14ac:dyDescent="0.3">
      <c r="B232" s="661"/>
      <c r="E232" s="661"/>
      <c r="F232" s="661"/>
    </row>
    <row r="233" spans="2:6" x14ac:dyDescent="0.3">
      <c r="B233" s="661"/>
      <c r="E233" s="661"/>
      <c r="F233" s="661"/>
    </row>
    <row r="234" spans="2:6" x14ac:dyDescent="0.3">
      <c r="B234" s="661"/>
      <c r="E234" s="661"/>
      <c r="F234" s="661"/>
    </row>
    <row r="235" spans="2:6" x14ac:dyDescent="0.3">
      <c r="B235" s="661"/>
      <c r="E235" s="661"/>
      <c r="F235" s="661"/>
    </row>
    <row r="236" spans="2:6" x14ac:dyDescent="0.3">
      <c r="B236" s="661"/>
      <c r="E236" s="661"/>
      <c r="F236" s="661"/>
    </row>
    <row r="237" spans="2:6" x14ac:dyDescent="0.3">
      <c r="B237" s="661"/>
      <c r="E237" s="661"/>
      <c r="F237" s="661"/>
    </row>
    <row r="238" spans="2:6" x14ac:dyDescent="0.3">
      <c r="B238" s="661"/>
      <c r="E238" s="661"/>
      <c r="F238" s="661"/>
    </row>
    <row r="239" spans="2:6" x14ac:dyDescent="0.3">
      <c r="B239" s="661"/>
      <c r="E239" s="661"/>
      <c r="F239" s="661"/>
    </row>
    <row r="240" spans="2:6" x14ac:dyDescent="0.3">
      <c r="B240" s="661"/>
      <c r="E240" s="661"/>
      <c r="F240" s="661"/>
    </row>
    <row r="241" spans="2:6" x14ac:dyDescent="0.3">
      <c r="B241" s="661"/>
      <c r="E241" s="661"/>
      <c r="F241" s="661"/>
    </row>
    <row r="242" spans="2:6" x14ac:dyDescent="0.3">
      <c r="B242" s="661"/>
      <c r="E242" s="661"/>
      <c r="F242" s="661"/>
    </row>
    <row r="243" spans="2:6" x14ac:dyDescent="0.3">
      <c r="B243" s="661"/>
      <c r="E243" s="661"/>
      <c r="F243" s="661"/>
    </row>
    <row r="244" spans="2:6" x14ac:dyDescent="0.3">
      <c r="B244" s="661"/>
      <c r="E244" s="661"/>
      <c r="F244" s="661"/>
    </row>
    <row r="245" spans="2:6" x14ac:dyDescent="0.3">
      <c r="B245" s="661"/>
      <c r="E245" s="661"/>
      <c r="F245" s="661"/>
    </row>
    <row r="246" spans="2:6" x14ac:dyDescent="0.3">
      <c r="B246" s="661"/>
      <c r="E246" s="661"/>
      <c r="F246" s="661"/>
    </row>
    <row r="247" spans="2:6" x14ac:dyDescent="0.3">
      <c r="B247" s="661"/>
      <c r="E247" s="661"/>
      <c r="F247" s="661"/>
    </row>
    <row r="248" spans="2:6" x14ac:dyDescent="0.3">
      <c r="B248" s="661"/>
      <c r="E248" s="661"/>
      <c r="F248" s="661"/>
    </row>
    <row r="249" spans="2:6" x14ac:dyDescent="0.3">
      <c r="B249" s="661"/>
      <c r="E249" s="661"/>
      <c r="F249" s="661"/>
    </row>
    <row r="250" spans="2:6" x14ac:dyDescent="0.3">
      <c r="B250" s="661"/>
      <c r="E250" s="661"/>
      <c r="F250" s="661"/>
    </row>
    <row r="251" spans="2:6" x14ac:dyDescent="0.3">
      <c r="B251" s="661"/>
      <c r="E251" s="661"/>
      <c r="F251" s="661"/>
    </row>
    <row r="252" spans="2:6" x14ac:dyDescent="0.3">
      <c r="B252" s="661"/>
      <c r="E252" s="661"/>
      <c r="F252" s="661"/>
    </row>
    <row r="253" spans="2:6" x14ac:dyDescent="0.3">
      <c r="B253" s="661"/>
      <c r="E253" s="661"/>
      <c r="F253" s="661"/>
    </row>
    <row r="254" spans="2:6" x14ac:dyDescent="0.3">
      <c r="B254" s="661"/>
      <c r="E254" s="661"/>
      <c r="F254" s="661"/>
    </row>
    <row r="255" spans="2:6" x14ac:dyDescent="0.3">
      <c r="B255" s="661"/>
      <c r="E255" s="661"/>
      <c r="F255" s="661"/>
    </row>
    <row r="256" spans="2:6" x14ac:dyDescent="0.3">
      <c r="B256" s="661"/>
      <c r="E256" s="661"/>
      <c r="F256" s="661"/>
    </row>
    <row r="257" spans="2:6" x14ac:dyDescent="0.3">
      <c r="B257" s="661"/>
      <c r="E257" s="661"/>
      <c r="F257" s="661"/>
    </row>
    <row r="258" spans="2:6" x14ac:dyDescent="0.3">
      <c r="B258" s="661"/>
      <c r="E258" s="661"/>
      <c r="F258" s="661"/>
    </row>
    <row r="259" spans="2:6" x14ac:dyDescent="0.3">
      <c r="B259" s="661"/>
      <c r="E259" s="661"/>
      <c r="F259" s="661"/>
    </row>
    <row r="260" spans="2:6" x14ac:dyDescent="0.3">
      <c r="B260" s="661"/>
      <c r="E260" s="661"/>
      <c r="F260" s="661"/>
    </row>
    <row r="261" spans="2:6" x14ac:dyDescent="0.3">
      <c r="B261" s="661"/>
      <c r="E261" s="661"/>
      <c r="F261" s="661"/>
    </row>
    <row r="262" spans="2:6" x14ac:dyDescent="0.3">
      <c r="B262" s="661"/>
      <c r="E262" s="661"/>
      <c r="F262" s="661"/>
    </row>
    <row r="263" spans="2:6" x14ac:dyDescent="0.3">
      <c r="B263" s="661"/>
      <c r="E263" s="661"/>
      <c r="F263" s="661"/>
    </row>
    <row r="264" spans="2:6" x14ac:dyDescent="0.3">
      <c r="B264" s="661"/>
      <c r="E264" s="661"/>
      <c r="F264" s="661"/>
    </row>
    <row r="265" spans="2:6" x14ac:dyDescent="0.3">
      <c r="B265" s="661"/>
      <c r="E265" s="661"/>
      <c r="F265" s="661"/>
    </row>
    <row r="266" spans="2:6" x14ac:dyDescent="0.3">
      <c r="B266" s="661"/>
      <c r="E266" s="661"/>
      <c r="F266" s="661"/>
    </row>
    <row r="267" spans="2:6" x14ac:dyDescent="0.3">
      <c r="B267" s="661"/>
      <c r="E267" s="661"/>
      <c r="F267" s="661"/>
    </row>
    <row r="268" spans="2:6" x14ac:dyDescent="0.3">
      <c r="B268" s="661"/>
      <c r="E268" s="661"/>
      <c r="F268" s="661"/>
    </row>
    <row r="269" spans="2:6" x14ac:dyDescent="0.3">
      <c r="B269" s="661"/>
      <c r="E269" s="661"/>
      <c r="F269" s="661"/>
    </row>
    <row r="270" spans="2:6" x14ac:dyDescent="0.3">
      <c r="B270" s="661"/>
      <c r="E270" s="661"/>
      <c r="F270" s="661"/>
    </row>
    <row r="271" spans="2:6" x14ac:dyDescent="0.3">
      <c r="B271" s="661"/>
      <c r="E271" s="661"/>
      <c r="F271" s="661"/>
    </row>
    <row r="272" spans="2:6" x14ac:dyDescent="0.3">
      <c r="B272" s="661"/>
      <c r="E272" s="661"/>
      <c r="F272" s="661"/>
    </row>
    <row r="273" spans="2:6" x14ac:dyDescent="0.3">
      <c r="B273" s="661"/>
      <c r="E273" s="661"/>
      <c r="F273" s="661"/>
    </row>
    <row r="274" spans="2:6" x14ac:dyDescent="0.3">
      <c r="B274" s="661"/>
      <c r="E274" s="661"/>
      <c r="F274" s="661"/>
    </row>
    <row r="275" spans="2:6" x14ac:dyDescent="0.3">
      <c r="B275" s="661"/>
      <c r="E275" s="661"/>
      <c r="F275" s="661"/>
    </row>
    <row r="276" spans="2:6" x14ac:dyDescent="0.3">
      <c r="B276" s="661"/>
      <c r="E276" s="661"/>
      <c r="F276" s="661"/>
    </row>
    <row r="277" spans="2:6" x14ac:dyDescent="0.3">
      <c r="B277" s="661"/>
      <c r="E277" s="661"/>
      <c r="F277" s="661"/>
    </row>
    <row r="278" spans="2:6" x14ac:dyDescent="0.3">
      <c r="B278" s="661"/>
      <c r="E278" s="661"/>
      <c r="F278" s="661"/>
    </row>
    <row r="279" spans="2:6" x14ac:dyDescent="0.3">
      <c r="B279" s="661"/>
      <c r="E279" s="661"/>
      <c r="F279" s="661"/>
    </row>
    <row r="280" spans="2:6" x14ac:dyDescent="0.3">
      <c r="B280" s="661"/>
      <c r="E280" s="661"/>
      <c r="F280" s="661"/>
    </row>
    <row r="281" spans="2:6" x14ac:dyDescent="0.3">
      <c r="B281" s="661"/>
      <c r="E281" s="661"/>
      <c r="F281" s="661"/>
    </row>
    <row r="282" spans="2:6" x14ac:dyDescent="0.3">
      <c r="B282" s="661"/>
      <c r="E282" s="661"/>
      <c r="F282" s="661"/>
    </row>
    <row r="283" spans="2:6" x14ac:dyDescent="0.3">
      <c r="B283" s="661"/>
      <c r="E283" s="661"/>
      <c r="F283" s="661"/>
    </row>
    <row r="284" spans="2:6" x14ac:dyDescent="0.3">
      <c r="B284" s="661"/>
      <c r="E284" s="661"/>
      <c r="F284" s="661"/>
    </row>
    <row r="285" spans="2:6" x14ac:dyDescent="0.3">
      <c r="B285" s="661"/>
      <c r="E285" s="661"/>
      <c r="F285" s="661"/>
    </row>
    <row r="286" spans="2:6" x14ac:dyDescent="0.3">
      <c r="B286" s="661"/>
      <c r="E286" s="661"/>
      <c r="F286" s="661"/>
    </row>
    <row r="287" spans="2:6" x14ac:dyDescent="0.3">
      <c r="B287" s="661"/>
      <c r="E287" s="661"/>
      <c r="F287" s="661"/>
    </row>
    <row r="288" spans="2:6" x14ac:dyDescent="0.3">
      <c r="B288" s="661"/>
      <c r="E288" s="661"/>
      <c r="F288" s="661"/>
    </row>
    <row r="289" spans="2:6" x14ac:dyDescent="0.3">
      <c r="B289" s="661"/>
      <c r="E289" s="661"/>
      <c r="F289" s="661"/>
    </row>
    <row r="290" spans="2:6" x14ac:dyDescent="0.3">
      <c r="B290" s="661"/>
      <c r="E290" s="661"/>
      <c r="F290" s="661"/>
    </row>
    <row r="291" spans="2:6" x14ac:dyDescent="0.3">
      <c r="B291" s="661"/>
      <c r="E291" s="661"/>
      <c r="F291" s="661"/>
    </row>
    <row r="292" spans="2:6" x14ac:dyDescent="0.3">
      <c r="B292" s="661"/>
      <c r="E292" s="661"/>
      <c r="F292" s="661"/>
    </row>
    <row r="293" spans="2:6" x14ac:dyDescent="0.3">
      <c r="B293" s="661"/>
      <c r="E293" s="661"/>
      <c r="F293" s="661"/>
    </row>
    <row r="294" spans="2:6" x14ac:dyDescent="0.3">
      <c r="B294" s="661"/>
      <c r="E294" s="661"/>
      <c r="F294" s="661"/>
    </row>
    <row r="295" spans="2:6" x14ac:dyDescent="0.3">
      <c r="B295" s="661"/>
      <c r="E295" s="661"/>
      <c r="F295" s="661"/>
    </row>
    <row r="296" spans="2:6" x14ac:dyDescent="0.3">
      <c r="B296" s="661"/>
      <c r="E296" s="661"/>
      <c r="F296" s="661"/>
    </row>
    <row r="297" spans="2:6" x14ac:dyDescent="0.3">
      <c r="B297" s="661"/>
      <c r="E297" s="661"/>
      <c r="F297" s="661"/>
    </row>
    <row r="298" spans="2:6" x14ac:dyDescent="0.3">
      <c r="B298" s="661"/>
      <c r="E298" s="661"/>
      <c r="F298" s="661"/>
    </row>
    <row r="299" spans="2:6" x14ac:dyDescent="0.3">
      <c r="B299" s="661"/>
      <c r="E299" s="661"/>
      <c r="F299" s="661"/>
    </row>
    <row r="300" spans="2:6" x14ac:dyDescent="0.3">
      <c r="B300" s="661"/>
      <c r="E300" s="661"/>
      <c r="F300" s="661"/>
    </row>
    <row r="301" spans="2:6" x14ac:dyDescent="0.3">
      <c r="B301" s="661"/>
      <c r="E301" s="661"/>
      <c r="F301" s="661"/>
    </row>
    <row r="302" spans="2:6" x14ac:dyDescent="0.3">
      <c r="B302" s="661"/>
      <c r="E302" s="661"/>
      <c r="F302" s="661"/>
    </row>
    <row r="303" spans="2:6" x14ac:dyDescent="0.3">
      <c r="B303" s="661"/>
      <c r="E303" s="661"/>
      <c r="F303" s="661"/>
    </row>
    <row r="304" spans="2:6" x14ac:dyDescent="0.3">
      <c r="B304" s="661"/>
      <c r="E304" s="661"/>
      <c r="F304" s="661"/>
    </row>
    <row r="305" spans="2:6" x14ac:dyDescent="0.3">
      <c r="B305" s="661"/>
      <c r="E305" s="661"/>
      <c r="F305" s="661"/>
    </row>
    <row r="306" spans="2:6" x14ac:dyDescent="0.3">
      <c r="B306" s="661"/>
      <c r="E306" s="661"/>
      <c r="F306" s="661"/>
    </row>
    <row r="307" spans="2:6" x14ac:dyDescent="0.3">
      <c r="B307" s="661"/>
      <c r="E307" s="661"/>
      <c r="F307" s="661"/>
    </row>
    <row r="308" spans="2:6" x14ac:dyDescent="0.3">
      <c r="B308" s="661"/>
      <c r="E308" s="661"/>
      <c r="F308" s="661"/>
    </row>
    <row r="309" spans="2:6" x14ac:dyDescent="0.3">
      <c r="B309" s="661"/>
      <c r="E309" s="661"/>
      <c r="F309" s="661"/>
    </row>
    <row r="310" spans="2:6" x14ac:dyDescent="0.3">
      <c r="B310" s="661"/>
      <c r="E310" s="661"/>
      <c r="F310" s="661"/>
    </row>
    <row r="311" spans="2:6" x14ac:dyDescent="0.3">
      <c r="B311" s="661"/>
      <c r="E311" s="661"/>
      <c r="F311" s="661"/>
    </row>
    <row r="312" spans="2:6" x14ac:dyDescent="0.3">
      <c r="B312" s="661"/>
      <c r="E312" s="661"/>
      <c r="F312" s="661"/>
    </row>
    <row r="313" spans="2:6" x14ac:dyDescent="0.3">
      <c r="B313" s="661"/>
      <c r="E313" s="661"/>
      <c r="F313" s="661"/>
    </row>
    <row r="314" spans="2:6" x14ac:dyDescent="0.3">
      <c r="B314" s="661"/>
      <c r="E314" s="661"/>
      <c r="F314" s="661"/>
    </row>
    <row r="315" spans="2:6" x14ac:dyDescent="0.3">
      <c r="B315" s="661"/>
      <c r="E315" s="661"/>
      <c r="F315" s="661"/>
    </row>
    <row r="316" spans="2:6" x14ac:dyDescent="0.3">
      <c r="B316" s="661"/>
      <c r="E316" s="661"/>
      <c r="F316" s="661"/>
    </row>
    <row r="317" spans="2:6" x14ac:dyDescent="0.3">
      <c r="B317" s="661"/>
      <c r="E317" s="661"/>
      <c r="F317" s="661"/>
    </row>
    <row r="318" spans="2:6" x14ac:dyDescent="0.3">
      <c r="B318" s="661"/>
      <c r="E318" s="661"/>
      <c r="F318" s="661"/>
    </row>
    <row r="319" spans="2:6" x14ac:dyDescent="0.3">
      <c r="B319" s="661"/>
      <c r="E319" s="661"/>
      <c r="F319" s="661"/>
    </row>
    <row r="320" spans="2:6" x14ac:dyDescent="0.3">
      <c r="B320" s="661"/>
      <c r="E320" s="661"/>
      <c r="F320" s="661"/>
    </row>
    <row r="321" spans="2:6" x14ac:dyDescent="0.3">
      <c r="B321" s="661"/>
      <c r="E321" s="661"/>
      <c r="F321" s="661"/>
    </row>
    <row r="322" spans="2:6" x14ac:dyDescent="0.3">
      <c r="B322" s="661"/>
      <c r="E322" s="661"/>
      <c r="F322" s="661"/>
    </row>
    <row r="323" spans="2:6" x14ac:dyDescent="0.3">
      <c r="B323" s="661"/>
      <c r="E323" s="661"/>
      <c r="F323" s="661"/>
    </row>
    <row r="324" spans="2:6" x14ac:dyDescent="0.3">
      <c r="B324" s="661"/>
      <c r="E324" s="661"/>
      <c r="F324" s="661"/>
    </row>
    <row r="325" spans="2:6" x14ac:dyDescent="0.3">
      <c r="B325" s="661"/>
      <c r="E325" s="661"/>
      <c r="F325" s="661"/>
    </row>
    <row r="326" spans="2:6" x14ac:dyDescent="0.3">
      <c r="B326" s="661"/>
      <c r="E326" s="661"/>
      <c r="F326" s="661"/>
    </row>
    <row r="327" spans="2:6" x14ac:dyDescent="0.3">
      <c r="B327" s="661"/>
      <c r="E327" s="661"/>
      <c r="F327" s="661"/>
    </row>
    <row r="328" spans="2:6" x14ac:dyDescent="0.3">
      <c r="B328" s="661"/>
      <c r="E328" s="661"/>
      <c r="F328" s="661"/>
    </row>
    <row r="329" spans="2:6" x14ac:dyDescent="0.3">
      <c r="B329" s="661"/>
      <c r="E329" s="661"/>
      <c r="F329" s="661"/>
    </row>
    <row r="330" spans="2:6" x14ac:dyDescent="0.3">
      <c r="B330" s="661"/>
      <c r="E330" s="661"/>
      <c r="F330" s="661"/>
    </row>
    <row r="331" spans="2:6" x14ac:dyDescent="0.3">
      <c r="B331" s="661"/>
      <c r="E331" s="661"/>
      <c r="F331" s="661"/>
    </row>
    <row r="332" spans="2:6" x14ac:dyDescent="0.3">
      <c r="B332" s="661"/>
      <c r="E332" s="661"/>
      <c r="F332" s="661"/>
    </row>
    <row r="333" spans="2:6" x14ac:dyDescent="0.3">
      <c r="B333" s="661"/>
      <c r="E333" s="661"/>
      <c r="F333" s="661"/>
    </row>
    <row r="334" spans="2:6" x14ac:dyDescent="0.3">
      <c r="B334" s="661"/>
      <c r="E334" s="661"/>
      <c r="F334" s="661"/>
    </row>
    <row r="335" spans="2:6" x14ac:dyDescent="0.3">
      <c r="B335" s="661"/>
      <c r="E335" s="661"/>
      <c r="F335" s="661"/>
    </row>
    <row r="336" spans="2:6" x14ac:dyDescent="0.3">
      <c r="B336" s="661"/>
      <c r="E336" s="661"/>
      <c r="F336" s="661"/>
    </row>
    <row r="337" spans="2:6" x14ac:dyDescent="0.3">
      <c r="B337" s="661"/>
      <c r="E337" s="661"/>
      <c r="F337" s="661"/>
    </row>
    <row r="338" spans="2:6" x14ac:dyDescent="0.3">
      <c r="B338" s="661"/>
      <c r="E338" s="661"/>
      <c r="F338" s="661"/>
    </row>
    <row r="339" spans="2:6" x14ac:dyDescent="0.3">
      <c r="B339" s="661"/>
      <c r="E339" s="661"/>
      <c r="F339" s="661"/>
    </row>
    <row r="340" spans="2:6" x14ac:dyDescent="0.3">
      <c r="B340" s="661"/>
      <c r="E340" s="661"/>
      <c r="F340" s="661"/>
    </row>
    <row r="341" spans="2:6" x14ac:dyDescent="0.3">
      <c r="B341" s="661"/>
      <c r="E341" s="661"/>
      <c r="F341" s="661"/>
    </row>
    <row r="342" spans="2:6" x14ac:dyDescent="0.3">
      <c r="B342" s="661"/>
      <c r="E342" s="661"/>
      <c r="F342" s="661"/>
    </row>
    <row r="343" spans="2:6" x14ac:dyDescent="0.3">
      <c r="B343" s="661"/>
      <c r="E343" s="661"/>
      <c r="F343" s="661"/>
    </row>
    <row r="344" spans="2:6" x14ac:dyDescent="0.3">
      <c r="B344" s="661"/>
      <c r="E344" s="661"/>
      <c r="F344" s="661"/>
    </row>
    <row r="345" spans="2:6" x14ac:dyDescent="0.3">
      <c r="B345" s="661"/>
      <c r="E345" s="661"/>
      <c r="F345" s="661"/>
    </row>
    <row r="346" spans="2:6" x14ac:dyDescent="0.3">
      <c r="B346" s="661"/>
      <c r="E346" s="661"/>
      <c r="F346" s="661"/>
    </row>
    <row r="347" spans="2:6" x14ac:dyDescent="0.3">
      <c r="B347" s="661"/>
      <c r="E347" s="661"/>
      <c r="F347" s="661"/>
    </row>
    <row r="348" spans="2:6" x14ac:dyDescent="0.3">
      <c r="B348" s="661"/>
      <c r="E348" s="661"/>
      <c r="F348" s="661"/>
    </row>
    <row r="349" spans="2:6" x14ac:dyDescent="0.3">
      <c r="B349" s="661"/>
      <c r="E349" s="661"/>
      <c r="F349" s="661"/>
    </row>
    <row r="350" spans="2:6" x14ac:dyDescent="0.3">
      <c r="B350" s="661"/>
      <c r="E350" s="661"/>
      <c r="F350" s="661"/>
    </row>
    <row r="351" spans="2:6" x14ac:dyDescent="0.3">
      <c r="B351" s="661"/>
      <c r="E351" s="661"/>
      <c r="F351" s="661"/>
    </row>
    <row r="352" spans="2:6" x14ac:dyDescent="0.3">
      <c r="B352" s="661"/>
      <c r="E352" s="661"/>
      <c r="F352" s="661"/>
    </row>
    <row r="353" spans="2:6" x14ac:dyDescent="0.3">
      <c r="B353" s="661"/>
      <c r="E353" s="661"/>
      <c r="F353" s="661"/>
    </row>
    <row r="354" spans="2:6" x14ac:dyDescent="0.3">
      <c r="B354" s="661"/>
      <c r="E354" s="661"/>
      <c r="F354" s="661"/>
    </row>
    <row r="355" spans="2:6" x14ac:dyDescent="0.3">
      <c r="B355" s="661"/>
      <c r="E355" s="661"/>
      <c r="F355" s="661"/>
    </row>
    <row r="356" spans="2:6" x14ac:dyDescent="0.3">
      <c r="B356" s="661"/>
      <c r="E356" s="661"/>
      <c r="F356" s="661"/>
    </row>
    <row r="357" spans="2:6" x14ac:dyDescent="0.3">
      <c r="B357" s="661"/>
      <c r="E357" s="661"/>
      <c r="F357" s="661"/>
    </row>
    <row r="358" spans="2:6" x14ac:dyDescent="0.3">
      <c r="B358" s="661"/>
      <c r="E358" s="661"/>
      <c r="F358" s="661"/>
    </row>
    <row r="359" spans="2:6" x14ac:dyDescent="0.3">
      <c r="B359" s="661"/>
      <c r="E359" s="661"/>
      <c r="F359" s="661"/>
    </row>
    <row r="360" spans="2:6" x14ac:dyDescent="0.3">
      <c r="B360" s="661"/>
      <c r="E360" s="661"/>
      <c r="F360" s="661"/>
    </row>
    <row r="361" spans="2:6" x14ac:dyDescent="0.3">
      <c r="B361" s="661"/>
      <c r="E361" s="661"/>
      <c r="F361" s="661"/>
    </row>
    <row r="362" spans="2:6" x14ac:dyDescent="0.3">
      <c r="B362" s="661"/>
      <c r="E362" s="661"/>
      <c r="F362" s="661"/>
    </row>
    <row r="363" spans="2:6" x14ac:dyDescent="0.3">
      <c r="B363" s="661"/>
      <c r="E363" s="661"/>
      <c r="F363" s="661"/>
    </row>
    <row r="364" spans="2:6" x14ac:dyDescent="0.3">
      <c r="B364" s="661"/>
      <c r="E364" s="661"/>
      <c r="F364" s="661"/>
    </row>
    <row r="365" spans="2:6" x14ac:dyDescent="0.3">
      <c r="B365" s="661"/>
      <c r="E365" s="661"/>
      <c r="F365" s="661"/>
    </row>
    <row r="366" spans="2:6" x14ac:dyDescent="0.3">
      <c r="B366" s="661"/>
      <c r="E366" s="661"/>
      <c r="F366" s="661"/>
    </row>
    <row r="367" spans="2:6" x14ac:dyDescent="0.3">
      <c r="B367" s="661"/>
      <c r="E367" s="661"/>
      <c r="F367" s="661"/>
    </row>
    <row r="368" spans="2:6" x14ac:dyDescent="0.3">
      <c r="B368" s="661"/>
      <c r="E368" s="661"/>
      <c r="F368" s="661"/>
    </row>
    <row r="369" spans="2:6" x14ac:dyDescent="0.3">
      <c r="B369" s="661"/>
      <c r="E369" s="661"/>
      <c r="F369" s="661"/>
    </row>
    <row r="370" spans="2:6" x14ac:dyDescent="0.3">
      <c r="B370" s="661"/>
      <c r="E370" s="661"/>
      <c r="F370" s="661"/>
    </row>
    <row r="371" spans="2:6" x14ac:dyDescent="0.3">
      <c r="B371" s="661"/>
      <c r="E371" s="661"/>
      <c r="F371" s="661"/>
    </row>
    <row r="372" spans="2:6" x14ac:dyDescent="0.3">
      <c r="B372" s="661"/>
      <c r="E372" s="661"/>
      <c r="F372" s="661"/>
    </row>
    <row r="373" spans="2:6" x14ac:dyDescent="0.3">
      <c r="B373" s="661"/>
      <c r="E373" s="661"/>
      <c r="F373" s="661"/>
    </row>
    <row r="374" spans="2:6" x14ac:dyDescent="0.3">
      <c r="B374" s="661"/>
      <c r="E374" s="661"/>
      <c r="F374" s="661"/>
    </row>
    <row r="375" spans="2:6" x14ac:dyDescent="0.3">
      <c r="B375" s="661"/>
      <c r="E375" s="661"/>
      <c r="F375" s="661"/>
    </row>
    <row r="376" spans="2:6" x14ac:dyDescent="0.3">
      <c r="B376" s="661"/>
      <c r="E376" s="661"/>
      <c r="F376" s="661"/>
    </row>
    <row r="377" spans="2:6" x14ac:dyDescent="0.3">
      <c r="B377" s="661"/>
      <c r="E377" s="661"/>
      <c r="F377" s="661"/>
    </row>
    <row r="378" spans="2:6" x14ac:dyDescent="0.3">
      <c r="B378" s="661"/>
      <c r="E378" s="661"/>
      <c r="F378" s="661"/>
    </row>
    <row r="379" spans="2:6" x14ac:dyDescent="0.3">
      <c r="B379" s="661"/>
      <c r="E379" s="661"/>
      <c r="F379" s="661"/>
    </row>
    <row r="380" spans="2:6" x14ac:dyDescent="0.3">
      <c r="B380" s="661"/>
      <c r="E380" s="661"/>
      <c r="F380" s="661"/>
    </row>
    <row r="381" spans="2:6" x14ac:dyDescent="0.3">
      <c r="B381" s="661"/>
      <c r="E381" s="661"/>
      <c r="F381" s="661"/>
    </row>
    <row r="382" spans="2:6" x14ac:dyDescent="0.3">
      <c r="B382" s="661"/>
      <c r="E382" s="661"/>
      <c r="F382" s="661"/>
    </row>
    <row r="383" spans="2:6" x14ac:dyDescent="0.3">
      <c r="B383" s="661"/>
      <c r="E383" s="661"/>
      <c r="F383" s="661"/>
    </row>
    <row r="384" spans="2:6" x14ac:dyDescent="0.3">
      <c r="B384" s="661"/>
      <c r="E384" s="661"/>
      <c r="F384" s="661"/>
    </row>
    <row r="385" spans="2:6" x14ac:dyDescent="0.3">
      <c r="B385" s="661"/>
      <c r="E385" s="661"/>
      <c r="F385" s="661"/>
    </row>
    <row r="386" spans="2:6" x14ac:dyDescent="0.3">
      <c r="B386" s="661"/>
      <c r="E386" s="661"/>
      <c r="F386" s="661"/>
    </row>
    <row r="387" spans="2:6" x14ac:dyDescent="0.3">
      <c r="B387" s="661"/>
      <c r="E387" s="661"/>
      <c r="F387" s="661"/>
    </row>
    <row r="388" spans="2:6" x14ac:dyDescent="0.3">
      <c r="B388" s="661"/>
      <c r="E388" s="661"/>
      <c r="F388" s="661"/>
    </row>
    <row r="389" spans="2:6" x14ac:dyDescent="0.3">
      <c r="B389" s="661"/>
      <c r="E389" s="661"/>
      <c r="F389" s="661"/>
    </row>
    <row r="390" spans="2:6" x14ac:dyDescent="0.3">
      <c r="B390" s="661"/>
      <c r="E390" s="661"/>
      <c r="F390" s="661"/>
    </row>
    <row r="391" spans="2:6" x14ac:dyDescent="0.3">
      <c r="B391" s="661"/>
      <c r="E391" s="661"/>
      <c r="F391" s="661"/>
    </row>
    <row r="392" spans="2:6" x14ac:dyDescent="0.3">
      <c r="B392" s="661"/>
      <c r="E392" s="661"/>
      <c r="F392" s="661"/>
    </row>
    <row r="393" spans="2:6" x14ac:dyDescent="0.3">
      <c r="B393" s="661"/>
      <c r="E393" s="661"/>
      <c r="F393" s="661"/>
    </row>
    <row r="394" spans="2:6" x14ac:dyDescent="0.3">
      <c r="B394" s="661"/>
      <c r="E394" s="661"/>
      <c r="F394" s="661"/>
    </row>
    <row r="395" spans="2:6" x14ac:dyDescent="0.3">
      <c r="B395" s="661"/>
      <c r="E395" s="661"/>
      <c r="F395" s="661"/>
    </row>
    <row r="396" spans="2:6" x14ac:dyDescent="0.3">
      <c r="B396" s="661"/>
      <c r="E396" s="661"/>
      <c r="F396" s="661"/>
    </row>
    <row r="397" spans="2:6" x14ac:dyDescent="0.3">
      <c r="B397" s="661"/>
      <c r="E397" s="661"/>
      <c r="F397" s="661"/>
    </row>
    <row r="398" spans="2:6" x14ac:dyDescent="0.3">
      <c r="B398" s="661"/>
      <c r="E398" s="661"/>
      <c r="F398" s="661"/>
    </row>
    <row r="399" spans="2:6" x14ac:dyDescent="0.3">
      <c r="B399" s="661"/>
      <c r="E399" s="661"/>
      <c r="F399" s="661"/>
    </row>
    <row r="400" spans="2:6" x14ac:dyDescent="0.3">
      <c r="B400" s="661"/>
      <c r="E400" s="661"/>
      <c r="F400" s="661"/>
    </row>
    <row r="401" spans="2:6" x14ac:dyDescent="0.3">
      <c r="B401" s="661"/>
      <c r="E401" s="661"/>
      <c r="F401" s="661"/>
    </row>
    <row r="402" spans="2:6" x14ac:dyDescent="0.3">
      <c r="B402" s="661"/>
      <c r="E402" s="661"/>
      <c r="F402" s="661"/>
    </row>
    <row r="403" spans="2:6" x14ac:dyDescent="0.3">
      <c r="B403" s="661"/>
      <c r="E403" s="661"/>
      <c r="F403" s="661"/>
    </row>
    <row r="404" spans="2:6" x14ac:dyDescent="0.3">
      <c r="B404" s="661"/>
      <c r="E404" s="661"/>
      <c r="F404" s="661"/>
    </row>
    <row r="405" spans="2:6" x14ac:dyDescent="0.3">
      <c r="B405" s="661"/>
      <c r="E405" s="661"/>
      <c r="F405" s="661"/>
    </row>
    <row r="406" spans="2:6" x14ac:dyDescent="0.3">
      <c r="B406" s="661"/>
      <c r="E406" s="661"/>
      <c r="F406" s="661"/>
    </row>
    <row r="407" spans="2:6" x14ac:dyDescent="0.3">
      <c r="B407" s="661"/>
      <c r="E407" s="661"/>
      <c r="F407" s="661"/>
    </row>
    <row r="408" spans="2:6" x14ac:dyDescent="0.3">
      <c r="B408" s="661"/>
      <c r="E408" s="661"/>
      <c r="F408" s="661"/>
    </row>
    <row r="409" spans="2:6" x14ac:dyDescent="0.3">
      <c r="B409" s="661"/>
      <c r="E409" s="661"/>
      <c r="F409" s="661"/>
    </row>
    <row r="410" spans="2:6" x14ac:dyDescent="0.3">
      <c r="B410" s="661"/>
      <c r="E410" s="661"/>
      <c r="F410" s="661"/>
    </row>
    <row r="411" spans="2:6" x14ac:dyDescent="0.3">
      <c r="B411" s="661"/>
      <c r="E411" s="661"/>
      <c r="F411" s="661"/>
    </row>
    <row r="412" spans="2:6" x14ac:dyDescent="0.3">
      <c r="B412" s="661"/>
      <c r="E412" s="661"/>
      <c r="F412" s="661"/>
    </row>
    <row r="413" spans="2:6" x14ac:dyDescent="0.3">
      <c r="B413" s="661"/>
      <c r="E413" s="661"/>
      <c r="F413" s="661"/>
    </row>
    <row r="414" spans="2:6" x14ac:dyDescent="0.3">
      <c r="B414" s="661"/>
      <c r="E414" s="661"/>
      <c r="F414" s="661"/>
    </row>
    <row r="415" spans="2:6" x14ac:dyDescent="0.3">
      <c r="B415" s="661"/>
      <c r="E415" s="661"/>
      <c r="F415" s="661"/>
    </row>
    <row r="416" spans="2:6" x14ac:dyDescent="0.3">
      <c r="B416" s="661"/>
      <c r="E416" s="661"/>
      <c r="F416" s="661"/>
    </row>
    <row r="417" spans="2:6" x14ac:dyDescent="0.3">
      <c r="B417" s="661"/>
      <c r="E417" s="661"/>
      <c r="F417" s="661"/>
    </row>
    <row r="418" spans="2:6" x14ac:dyDescent="0.3">
      <c r="B418" s="661"/>
      <c r="E418" s="661"/>
      <c r="F418" s="661"/>
    </row>
    <row r="419" spans="2:6" x14ac:dyDescent="0.3">
      <c r="B419" s="661"/>
      <c r="E419" s="661"/>
      <c r="F419" s="661"/>
    </row>
    <row r="420" spans="2:6" x14ac:dyDescent="0.3">
      <c r="B420" s="661"/>
      <c r="E420" s="661"/>
      <c r="F420" s="661"/>
    </row>
    <row r="421" spans="2:6" x14ac:dyDescent="0.3">
      <c r="B421" s="661"/>
      <c r="E421" s="661"/>
      <c r="F421" s="661"/>
    </row>
    <row r="422" spans="2:6" x14ac:dyDescent="0.3">
      <c r="B422" s="661"/>
      <c r="E422" s="661"/>
      <c r="F422" s="661"/>
    </row>
    <row r="423" spans="2:6" x14ac:dyDescent="0.3">
      <c r="B423" s="661"/>
      <c r="E423" s="661"/>
      <c r="F423" s="661"/>
    </row>
    <row r="424" spans="2:6" x14ac:dyDescent="0.3">
      <c r="B424" s="661"/>
      <c r="E424" s="661"/>
      <c r="F424" s="661"/>
    </row>
    <row r="425" spans="2:6" x14ac:dyDescent="0.3">
      <c r="B425" s="661"/>
      <c r="E425" s="661"/>
      <c r="F425" s="661"/>
    </row>
    <row r="426" spans="2:6" x14ac:dyDescent="0.3">
      <c r="B426" s="661"/>
      <c r="E426" s="661"/>
      <c r="F426" s="661"/>
    </row>
    <row r="427" spans="2:6" x14ac:dyDescent="0.3">
      <c r="B427" s="661"/>
      <c r="E427" s="661"/>
      <c r="F427" s="661"/>
    </row>
    <row r="428" spans="2:6" x14ac:dyDescent="0.3">
      <c r="B428" s="661"/>
      <c r="E428" s="661"/>
      <c r="F428" s="661"/>
    </row>
    <row r="429" spans="2:6" x14ac:dyDescent="0.3">
      <c r="B429" s="661"/>
      <c r="E429" s="661"/>
      <c r="F429" s="661"/>
    </row>
    <row r="430" spans="2:6" x14ac:dyDescent="0.3">
      <c r="B430" s="661"/>
      <c r="E430" s="661"/>
      <c r="F430" s="661"/>
    </row>
    <row r="431" spans="2:6" x14ac:dyDescent="0.3">
      <c r="B431" s="661"/>
      <c r="E431" s="661"/>
      <c r="F431" s="661"/>
    </row>
    <row r="432" spans="2:6" x14ac:dyDescent="0.3">
      <c r="B432" s="661"/>
      <c r="E432" s="661"/>
      <c r="F432" s="661"/>
    </row>
    <row r="433" spans="2:6" x14ac:dyDescent="0.3">
      <c r="B433" s="661"/>
      <c r="E433" s="661"/>
      <c r="F433" s="661"/>
    </row>
    <row r="434" spans="2:6" x14ac:dyDescent="0.3">
      <c r="B434" s="661"/>
      <c r="E434" s="661"/>
      <c r="F434" s="661"/>
    </row>
    <row r="435" spans="2:6" x14ac:dyDescent="0.3">
      <c r="B435" s="661"/>
      <c r="E435" s="661"/>
      <c r="F435" s="661"/>
    </row>
    <row r="436" spans="2:6" x14ac:dyDescent="0.3">
      <c r="B436" s="661"/>
      <c r="E436" s="661"/>
      <c r="F436" s="661"/>
    </row>
    <row r="437" spans="2:6" x14ac:dyDescent="0.3">
      <c r="B437" s="661"/>
      <c r="E437" s="661"/>
      <c r="F437" s="661"/>
    </row>
    <row r="438" spans="2:6" x14ac:dyDescent="0.3">
      <c r="B438" s="661"/>
      <c r="E438" s="661"/>
      <c r="F438" s="661"/>
    </row>
    <row r="439" spans="2:6" x14ac:dyDescent="0.3">
      <c r="B439" s="661"/>
      <c r="E439" s="661"/>
      <c r="F439" s="661"/>
    </row>
    <row r="440" spans="2:6" x14ac:dyDescent="0.3">
      <c r="B440" s="661"/>
      <c r="E440" s="661"/>
      <c r="F440" s="661"/>
    </row>
    <row r="441" spans="2:6" x14ac:dyDescent="0.3">
      <c r="B441" s="661"/>
      <c r="E441" s="661"/>
      <c r="F441" s="661"/>
    </row>
    <row r="442" spans="2:6" x14ac:dyDescent="0.3">
      <c r="B442" s="661"/>
      <c r="E442" s="661"/>
      <c r="F442" s="661"/>
    </row>
    <row r="443" spans="2:6" x14ac:dyDescent="0.3">
      <c r="B443" s="661"/>
      <c r="E443" s="661"/>
      <c r="F443" s="661"/>
    </row>
    <row r="444" spans="2:6" x14ac:dyDescent="0.3">
      <c r="B444" s="661"/>
      <c r="E444" s="661"/>
      <c r="F444" s="661"/>
    </row>
    <row r="445" spans="2:6" x14ac:dyDescent="0.3">
      <c r="B445" s="661"/>
      <c r="E445" s="661"/>
      <c r="F445" s="661"/>
    </row>
    <row r="446" spans="2:6" x14ac:dyDescent="0.3">
      <c r="B446" s="661"/>
      <c r="E446" s="661"/>
      <c r="F446" s="661"/>
    </row>
    <row r="447" spans="2:6" x14ac:dyDescent="0.3">
      <c r="B447" s="661"/>
      <c r="E447" s="661"/>
      <c r="F447" s="661"/>
    </row>
    <row r="448" spans="2:6" x14ac:dyDescent="0.3">
      <c r="B448" s="661"/>
      <c r="E448" s="661"/>
      <c r="F448" s="661"/>
    </row>
    <row r="449" spans="2:6" x14ac:dyDescent="0.3">
      <c r="B449" s="661"/>
      <c r="E449" s="661"/>
      <c r="F449" s="661"/>
    </row>
    <row r="450" spans="2:6" x14ac:dyDescent="0.3">
      <c r="B450" s="661"/>
      <c r="E450" s="661"/>
      <c r="F450" s="661"/>
    </row>
    <row r="451" spans="2:6" x14ac:dyDescent="0.3">
      <c r="B451" s="661"/>
      <c r="E451" s="661"/>
      <c r="F451" s="661"/>
    </row>
    <row r="452" spans="2:6" x14ac:dyDescent="0.3">
      <c r="B452" s="661"/>
      <c r="E452" s="661"/>
      <c r="F452" s="661"/>
    </row>
    <row r="453" spans="2:6" x14ac:dyDescent="0.3">
      <c r="B453" s="661"/>
      <c r="E453" s="661"/>
      <c r="F453" s="661"/>
    </row>
    <row r="454" spans="2:6" x14ac:dyDescent="0.3">
      <c r="B454" s="661"/>
      <c r="E454" s="661"/>
      <c r="F454" s="661"/>
    </row>
    <row r="455" spans="2:6" x14ac:dyDescent="0.3">
      <c r="B455" s="661"/>
      <c r="E455" s="661"/>
      <c r="F455" s="661"/>
    </row>
    <row r="456" spans="2:6" x14ac:dyDescent="0.3">
      <c r="B456" s="661"/>
      <c r="E456" s="661"/>
      <c r="F456" s="661"/>
    </row>
    <row r="457" spans="2:6" x14ac:dyDescent="0.3">
      <c r="B457" s="661"/>
      <c r="E457" s="661"/>
      <c r="F457" s="661"/>
    </row>
    <row r="458" spans="2:6" x14ac:dyDescent="0.3">
      <c r="B458" s="661"/>
      <c r="E458" s="661"/>
      <c r="F458" s="661"/>
    </row>
    <row r="459" spans="2:6" x14ac:dyDescent="0.3">
      <c r="B459" s="661"/>
      <c r="E459" s="661"/>
      <c r="F459" s="661"/>
    </row>
    <row r="460" spans="2:6" x14ac:dyDescent="0.3">
      <c r="B460" s="661"/>
      <c r="E460" s="661"/>
      <c r="F460" s="661"/>
    </row>
    <row r="461" spans="2:6" x14ac:dyDescent="0.3">
      <c r="B461" s="661"/>
      <c r="E461" s="661"/>
      <c r="F461" s="661"/>
    </row>
    <row r="462" spans="2:6" x14ac:dyDescent="0.3">
      <c r="B462" s="661"/>
      <c r="E462" s="661"/>
      <c r="F462" s="661"/>
    </row>
    <row r="463" spans="2:6" x14ac:dyDescent="0.3">
      <c r="B463" s="661"/>
      <c r="E463" s="661"/>
      <c r="F463" s="661"/>
    </row>
    <row r="464" spans="2:6" x14ac:dyDescent="0.3">
      <c r="B464" s="661"/>
      <c r="E464" s="661"/>
      <c r="F464" s="661"/>
    </row>
    <row r="465" spans="2:6" x14ac:dyDescent="0.3">
      <c r="B465" s="661"/>
      <c r="E465" s="661"/>
      <c r="F465" s="661"/>
    </row>
    <row r="466" spans="2:6" x14ac:dyDescent="0.3">
      <c r="B466" s="661"/>
      <c r="E466" s="661"/>
      <c r="F466" s="661"/>
    </row>
    <row r="467" spans="2:6" x14ac:dyDescent="0.3">
      <c r="B467" s="661"/>
      <c r="E467" s="661"/>
      <c r="F467" s="661"/>
    </row>
    <row r="468" spans="2:6" x14ac:dyDescent="0.3">
      <c r="B468" s="661"/>
      <c r="E468" s="661"/>
      <c r="F468" s="661"/>
    </row>
    <row r="469" spans="2:6" x14ac:dyDescent="0.3">
      <c r="B469" s="661"/>
      <c r="E469" s="661"/>
      <c r="F469" s="661"/>
    </row>
    <row r="470" spans="2:6" x14ac:dyDescent="0.3">
      <c r="B470" s="661"/>
      <c r="E470" s="661"/>
      <c r="F470" s="661"/>
    </row>
    <row r="471" spans="2:6" x14ac:dyDescent="0.3">
      <c r="B471" s="661"/>
      <c r="E471" s="661"/>
      <c r="F471" s="661"/>
    </row>
    <row r="472" spans="2:6" x14ac:dyDescent="0.3">
      <c r="B472" s="661"/>
      <c r="E472" s="661"/>
      <c r="F472" s="661"/>
    </row>
    <row r="473" spans="2:6" x14ac:dyDescent="0.3">
      <c r="B473" s="661"/>
      <c r="E473" s="661"/>
      <c r="F473" s="661"/>
    </row>
    <row r="474" spans="2:6" x14ac:dyDescent="0.3">
      <c r="B474" s="661"/>
      <c r="E474" s="661"/>
      <c r="F474" s="661"/>
    </row>
    <row r="475" spans="2:6" x14ac:dyDescent="0.3">
      <c r="B475" s="661"/>
      <c r="E475" s="661"/>
      <c r="F475" s="661"/>
    </row>
    <row r="476" spans="2:6" x14ac:dyDescent="0.3">
      <c r="B476" s="661"/>
      <c r="E476" s="661"/>
      <c r="F476" s="661"/>
    </row>
    <row r="477" spans="2:6" x14ac:dyDescent="0.3">
      <c r="B477" s="661"/>
      <c r="E477" s="661"/>
      <c r="F477" s="661"/>
    </row>
    <row r="478" spans="2:6" x14ac:dyDescent="0.3">
      <c r="B478" s="661"/>
      <c r="E478" s="661"/>
      <c r="F478" s="661"/>
    </row>
    <row r="479" spans="2:6" x14ac:dyDescent="0.3">
      <c r="B479" s="661"/>
      <c r="E479" s="661"/>
      <c r="F479" s="661"/>
    </row>
    <row r="480" spans="2:6" x14ac:dyDescent="0.3">
      <c r="B480" s="661"/>
      <c r="E480" s="661"/>
      <c r="F480" s="661"/>
    </row>
    <row r="481" spans="2:6" x14ac:dyDescent="0.3">
      <c r="B481" s="661"/>
      <c r="E481" s="661"/>
      <c r="F481" s="661"/>
    </row>
    <row r="482" spans="2:6" x14ac:dyDescent="0.3">
      <c r="B482" s="661"/>
      <c r="E482" s="661"/>
      <c r="F482" s="661"/>
    </row>
    <row r="483" spans="2:6" x14ac:dyDescent="0.3">
      <c r="B483" s="661"/>
      <c r="E483" s="661"/>
      <c r="F483" s="661"/>
    </row>
    <row r="484" spans="2:6" x14ac:dyDescent="0.3">
      <c r="B484" s="661"/>
      <c r="E484" s="661"/>
      <c r="F484" s="661"/>
    </row>
    <row r="485" spans="2:6" x14ac:dyDescent="0.3">
      <c r="B485" s="661"/>
      <c r="E485" s="661"/>
      <c r="F485" s="661"/>
    </row>
    <row r="486" spans="2:6" x14ac:dyDescent="0.3">
      <c r="B486" s="661"/>
      <c r="E486" s="661"/>
      <c r="F486" s="661"/>
    </row>
    <row r="487" spans="2:6" x14ac:dyDescent="0.3">
      <c r="B487" s="661"/>
      <c r="E487" s="661"/>
      <c r="F487" s="661"/>
    </row>
    <row r="488" spans="2:6" x14ac:dyDescent="0.3">
      <c r="B488" s="661"/>
      <c r="E488" s="661"/>
      <c r="F488" s="661"/>
    </row>
    <row r="489" spans="2:6" x14ac:dyDescent="0.3">
      <c r="B489" s="661"/>
      <c r="E489" s="661"/>
      <c r="F489" s="661"/>
    </row>
    <row r="490" spans="2:6" x14ac:dyDescent="0.3">
      <c r="B490" s="661"/>
      <c r="E490" s="661"/>
      <c r="F490" s="661"/>
    </row>
    <row r="491" spans="2:6" x14ac:dyDescent="0.3">
      <c r="B491" s="661"/>
      <c r="E491" s="661"/>
      <c r="F491" s="661"/>
    </row>
    <row r="492" spans="2:6" x14ac:dyDescent="0.3">
      <c r="B492" s="661"/>
      <c r="E492" s="661"/>
      <c r="F492" s="661"/>
    </row>
    <row r="493" spans="2:6" x14ac:dyDescent="0.3">
      <c r="B493" s="661"/>
      <c r="E493" s="661"/>
      <c r="F493" s="661"/>
    </row>
    <row r="494" spans="2:6" x14ac:dyDescent="0.3">
      <c r="B494" s="661"/>
      <c r="E494" s="661"/>
      <c r="F494" s="661"/>
    </row>
    <row r="495" spans="2:6" x14ac:dyDescent="0.3">
      <c r="B495" s="661"/>
      <c r="E495" s="661"/>
      <c r="F495" s="661"/>
    </row>
    <row r="496" spans="2:6" x14ac:dyDescent="0.3">
      <c r="B496" s="661"/>
      <c r="E496" s="661"/>
      <c r="F496" s="661"/>
    </row>
    <row r="497" spans="2:6" x14ac:dyDescent="0.3">
      <c r="B497" s="661"/>
      <c r="E497" s="661"/>
      <c r="F497" s="661"/>
    </row>
    <row r="498" spans="2:6" x14ac:dyDescent="0.3">
      <c r="B498" s="661"/>
      <c r="E498" s="661"/>
      <c r="F498" s="661"/>
    </row>
    <row r="499" spans="2:6" x14ac:dyDescent="0.3">
      <c r="B499" s="661"/>
      <c r="E499" s="661"/>
      <c r="F499" s="661"/>
    </row>
    <row r="500" spans="2:6" x14ac:dyDescent="0.3">
      <c r="B500" s="661"/>
      <c r="E500" s="661"/>
      <c r="F500" s="661"/>
    </row>
    <row r="501" spans="2:6" x14ac:dyDescent="0.3">
      <c r="B501" s="661"/>
      <c r="E501" s="661"/>
      <c r="F501" s="661"/>
    </row>
    <row r="502" spans="2:6" x14ac:dyDescent="0.3">
      <c r="B502" s="661"/>
      <c r="E502" s="661"/>
      <c r="F502" s="661"/>
    </row>
    <row r="503" spans="2:6" x14ac:dyDescent="0.3">
      <c r="B503" s="661"/>
      <c r="E503" s="661"/>
      <c r="F503" s="661"/>
    </row>
    <row r="504" spans="2:6" x14ac:dyDescent="0.3">
      <c r="B504" s="661"/>
      <c r="E504" s="661"/>
      <c r="F504" s="661"/>
    </row>
    <row r="505" spans="2:6" x14ac:dyDescent="0.3">
      <c r="B505" s="661"/>
      <c r="E505" s="661"/>
      <c r="F505" s="661"/>
    </row>
    <row r="506" spans="2:6" x14ac:dyDescent="0.3">
      <c r="B506" s="661"/>
      <c r="E506" s="661"/>
      <c r="F506" s="661"/>
    </row>
    <row r="507" spans="2:6" x14ac:dyDescent="0.3">
      <c r="B507" s="661"/>
      <c r="E507" s="661"/>
      <c r="F507" s="661"/>
    </row>
    <row r="508" spans="2:6" x14ac:dyDescent="0.3">
      <c r="B508" s="661"/>
      <c r="E508" s="661"/>
      <c r="F508" s="661"/>
    </row>
    <row r="509" spans="2:6" x14ac:dyDescent="0.3">
      <c r="B509" s="661"/>
      <c r="E509" s="661"/>
      <c r="F509" s="661"/>
    </row>
    <row r="510" spans="2:6" x14ac:dyDescent="0.3">
      <c r="B510" s="661"/>
      <c r="E510" s="661"/>
      <c r="F510" s="661"/>
    </row>
    <row r="511" spans="2:6" x14ac:dyDescent="0.3">
      <c r="B511" s="661"/>
      <c r="E511" s="661"/>
      <c r="F511" s="661"/>
    </row>
    <row r="512" spans="2:6" x14ac:dyDescent="0.3">
      <c r="B512" s="661"/>
      <c r="E512" s="661"/>
      <c r="F512" s="661"/>
    </row>
    <row r="513" spans="2:6" x14ac:dyDescent="0.3">
      <c r="B513" s="661"/>
      <c r="E513" s="661"/>
      <c r="F513" s="661"/>
    </row>
    <row r="514" spans="2:6" x14ac:dyDescent="0.3">
      <c r="B514" s="661"/>
      <c r="E514" s="661"/>
      <c r="F514" s="661"/>
    </row>
    <row r="515" spans="2:6" x14ac:dyDescent="0.3">
      <c r="B515" s="661"/>
      <c r="E515" s="661"/>
      <c r="F515" s="661"/>
    </row>
    <row r="516" spans="2:6" x14ac:dyDescent="0.3">
      <c r="B516" s="661"/>
      <c r="E516" s="661"/>
      <c r="F516" s="661"/>
    </row>
    <row r="517" spans="2:6" x14ac:dyDescent="0.3">
      <c r="B517" s="661"/>
      <c r="E517" s="661"/>
      <c r="F517" s="661"/>
    </row>
    <row r="518" spans="2:6" x14ac:dyDescent="0.3">
      <c r="B518" s="661"/>
      <c r="E518" s="661"/>
      <c r="F518" s="661"/>
    </row>
    <row r="519" spans="2:6" x14ac:dyDescent="0.3">
      <c r="B519" s="661"/>
      <c r="E519" s="661"/>
      <c r="F519" s="661"/>
    </row>
    <row r="520" spans="2:6" x14ac:dyDescent="0.3">
      <c r="B520" s="661"/>
      <c r="E520" s="661"/>
      <c r="F520" s="661"/>
    </row>
    <row r="521" spans="2:6" x14ac:dyDescent="0.3">
      <c r="B521" s="661"/>
      <c r="E521" s="661"/>
      <c r="F521" s="661"/>
    </row>
    <row r="522" spans="2:6" x14ac:dyDescent="0.3">
      <c r="B522" s="661"/>
      <c r="E522" s="661"/>
      <c r="F522" s="661"/>
    </row>
    <row r="523" spans="2:6" x14ac:dyDescent="0.3">
      <c r="B523" s="661"/>
      <c r="E523" s="661"/>
      <c r="F523" s="661"/>
    </row>
    <row r="524" spans="2:6" x14ac:dyDescent="0.3">
      <c r="B524" s="661"/>
      <c r="E524" s="661"/>
      <c r="F524" s="661"/>
    </row>
    <row r="525" spans="2:6" x14ac:dyDescent="0.3">
      <c r="B525" s="661"/>
      <c r="E525" s="661"/>
      <c r="F525" s="661"/>
    </row>
    <row r="526" spans="2:6" x14ac:dyDescent="0.3">
      <c r="B526" s="661"/>
      <c r="E526" s="661"/>
      <c r="F526" s="661"/>
    </row>
    <row r="527" spans="2:6" x14ac:dyDescent="0.3">
      <c r="B527" s="661"/>
      <c r="E527" s="661"/>
      <c r="F527" s="661"/>
    </row>
    <row r="528" spans="2:6" x14ac:dyDescent="0.3">
      <c r="B528" s="661"/>
      <c r="E528" s="661"/>
      <c r="F528" s="661"/>
    </row>
    <row r="529" spans="2:6" x14ac:dyDescent="0.3">
      <c r="B529" s="661"/>
      <c r="E529" s="661"/>
      <c r="F529" s="661"/>
    </row>
    <row r="530" spans="2:6" x14ac:dyDescent="0.3">
      <c r="B530" s="661"/>
      <c r="E530" s="661"/>
      <c r="F530" s="661"/>
    </row>
    <row r="531" spans="2:6" x14ac:dyDescent="0.3">
      <c r="B531" s="661"/>
      <c r="E531" s="661"/>
      <c r="F531" s="661"/>
    </row>
    <row r="532" spans="2:6" x14ac:dyDescent="0.3">
      <c r="B532" s="661"/>
      <c r="E532" s="661"/>
      <c r="F532" s="661"/>
    </row>
    <row r="533" spans="2:6" x14ac:dyDescent="0.3">
      <c r="B533" s="661"/>
      <c r="E533" s="661"/>
      <c r="F533" s="661"/>
    </row>
    <row r="534" spans="2:6" x14ac:dyDescent="0.3">
      <c r="B534" s="661"/>
      <c r="E534" s="661"/>
      <c r="F534" s="661"/>
    </row>
    <row r="535" spans="2:6" x14ac:dyDescent="0.3">
      <c r="B535" s="661"/>
      <c r="E535" s="661"/>
      <c r="F535" s="661"/>
    </row>
    <row r="536" spans="2:6" x14ac:dyDescent="0.3">
      <c r="B536" s="661"/>
      <c r="E536" s="661"/>
      <c r="F536" s="661"/>
    </row>
    <row r="537" spans="2:6" x14ac:dyDescent="0.3">
      <c r="B537" s="661"/>
      <c r="E537" s="661"/>
      <c r="F537" s="661"/>
    </row>
    <row r="538" spans="2:6" x14ac:dyDescent="0.3">
      <c r="B538" s="661"/>
      <c r="E538" s="661"/>
      <c r="F538" s="661"/>
    </row>
    <row r="539" spans="2:6" x14ac:dyDescent="0.3">
      <c r="B539" s="661"/>
      <c r="E539" s="661"/>
      <c r="F539" s="661"/>
    </row>
    <row r="540" spans="2:6" x14ac:dyDescent="0.3">
      <c r="B540" s="661"/>
      <c r="E540" s="661"/>
      <c r="F540" s="661"/>
    </row>
    <row r="541" spans="2:6" x14ac:dyDescent="0.3">
      <c r="B541" s="661"/>
      <c r="E541" s="661"/>
      <c r="F541" s="661"/>
    </row>
    <row r="542" spans="2:6" x14ac:dyDescent="0.3">
      <c r="B542" s="661"/>
      <c r="E542" s="661"/>
      <c r="F542" s="661"/>
    </row>
    <row r="543" spans="2:6" x14ac:dyDescent="0.3">
      <c r="B543" s="661"/>
      <c r="E543" s="661"/>
      <c r="F543" s="661"/>
    </row>
    <row r="544" spans="2:6" x14ac:dyDescent="0.3">
      <c r="B544" s="661"/>
      <c r="E544" s="661"/>
      <c r="F544" s="661"/>
    </row>
    <row r="545" spans="2:6" x14ac:dyDescent="0.3">
      <c r="B545" s="661"/>
      <c r="E545" s="661"/>
      <c r="F545" s="661"/>
    </row>
    <row r="546" spans="2:6" x14ac:dyDescent="0.3">
      <c r="B546" s="661"/>
      <c r="E546" s="661"/>
      <c r="F546" s="661"/>
    </row>
    <row r="547" spans="2:6" x14ac:dyDescent="0.3">
      <c r="B547" s="661"/>
      <c r="E547" s="661"/>
      <c r="F547" s="661"/>
    </row>
    <row r="548" spans="2:6" x14ac:dyDescent="0.3">
      <c r="B548" s="661"/>
      <c r="E548" s="661"/>
      <c r="F548" s="661"/>
    </row>
    <row r="549" spans="2:6" x14ac:dyDescent="0.3">
      <c r="B549" s="661"/>
      <c r="E549" s="661"/>
      <c r="F549" s="661"/>
    </row>
    <row r="550" spans="2:6" x14ac:dyDescent="0.3">
      <c r="B550" s="661"/>
      <c r="E550" s="661"/>
      <c r="F550" s="661"/>
    </row>
    <row r="551" spans="2:6" x14ac:dyDescent="0.3">
      <c r="B551" s="661"/>
      <c r="E551" s="661"/>
      <c r="F551" s="661"/>
    </row>
    <row r="552" spans="2:6" x14ac:dyDescent="0.3">
      <c r="B552" s="661"/>
      <c r="E552" s="661"/>
      <c r="F552" s="661"/>
    </row>
    <row r="553" spans="2:6" x14ac:dyDescent="0.3">
      <c r="B553" s="661"/>
      <c r="E553" s="661"/>
      <c r="F553" s="661"/>
    </row>
    <row r="554" spans="2:6" x14ac:dyDescent="0.3">
      <c r="B554" s="661"/>
      <c r="E554" s="661"/>
      <c r="F554" s="661"/>
    </row>
    <row r="555" spans="2:6" x14ac:dyDescent="0.3">
      <c r="B555" s="661"/>
      <c r="E555" s="661"/>
      <c r="F555" s="661"/>
    </row>
    <row r="556" spans="2:6" x14ac:dyDescent="0.3">
      <c r="B556" s="661"/>
      <c r="E556" s="661"/>
      <c r="F556" s="661"/>
    </row>
    <row r="557" spans="2:6" x14ac:dyDescent="0.3">
      <c r="B557" s="661"/>
      <c r="E557" s="661"/>
      <c r="F557" s="661"/>
    </row>
    <row r="558" spans="2:6" x14ac:dyDescent="0.3">
      <c r="B558" s="661"/>
      <c r="E558" s="661"/>
      <c r="F558" s="661"/>
    </row>
    <row r="559" spans="2:6" x14ac:dyDescent="0.3">
      <c r="B559" s="661"/>
      <c r="E559" s="661"/>
      <c r="F559" s="661"/>
    </row>
    <row r="560" spans="2:6" x14ac:dyDescent="0.3">
      <c r="B560" s="661"/>
      <c r="E560" s="661"/>
      <c r="F560" s="661"/>
    </row>
    <row r="561" spans="2:6" x14ac:dyDescent="0.3">
      <c r="B561" s="661"/>
      <c r="E561" s="661"/>
      <c r="F561" s="661"/>
    </row>
    <row r="562" spans="2:6" x14ac:dyDescent="0.3">
      <c r="B562" s="661"/>
      <c r="E562" s="661"/>
      <c r="F562" s="661"/>
    </row>
    <row r="563" spans="2:6" x14ac:dyDescent="0.3">
      <c r="B563" s="661"/>
      <c r="E563" s="661"/>
      <c r="F563" s="661"/>
    </row>
    <row r="564" spans="2:6" x14ac:dyDescent="0.3">
      <c r="B564" s="661"/>
      <c r="E564" s="661"/>
      <c r="F564" s="661"/>
    </row>
    <row r="565" spans="2:6" x14ac:dyDescent="0.3">
      <c r="B565" s="661"/>
      <c r="E565" s="661"/>
      <c r="F565" s="661"/>
    </row>
    <row r="566" spans="2:6" x14ac:dyDescent="0.3">
      <c r="B566" s="661"/>
      <c r="E566" s="661"/>
      <c r="F566" s="661"/>
    </row>
    <row r="567" spans="2:6" x14ac:dyDescent="0.3">
      <c r="B567" s="661"/>
      <c r="E567" s="661"/>
      <c r="F567" s="661"/>
    </row>
    <row r="568" spans="2:6" x14ac:dyDescent="0.3">
      <c r="B568" s="661"/>
      <c r="E568" s="661"/>
      <c r="F568" s="661"/>
    </row>
    <row r="569" spans="2:6" x14ac:dyDescent="0.3">
      <c r="B569" s="661"/>
      <c r="E569" s="661"/>
      <c r="F569" s="661"/>
    </row>
    <row r="570" spans="2:6" x14ac:dyDescent="0.3">
      <c r="B570" s="661"/>
      <c r="E570" s="661"/>
      <c r="F570" s="661"/>
    </row>
    <row r="571" spans="2:6" x14ac:dyDescent="0.3">
      <c r="B571" s="661"/>
      <c r="E571" s="661"/>
      <c r="F571" s="661"/>
    </row>
    <row r="572" spans="2:6" x14ac:dyDescent="0.3">
      <c r="B572" s="661"/>
      <c r="E572" s="661"/>
      <c r="F572" s="661"/>
    </row>
    <row r="573" spans="2:6" x14ac:dyDescent="0.3">
      <c r="B573" s="661"/>
      <c r="E573" s="661"/>
      <c r="F573" s="661"/>
    </row>
    <row r="574" spans="2:6" x14ac:dyDescent="0.3">
      <c r="B574" s="661"/>
      <c r="E574" s="661"/>
      <c r="F574" s="661"/>
    </row>
    <row r="575" spans="2:6" x14ac:dyDescent="0.3">
      <c r="B575" s="661"/>
      <c r="E575" s="661"/>
      <c r="F575" s="661"/>
    </row>
    <row r="576" spans="2:6" x14ac:dyDescent="0.3">
      <c r="B576" s="661"/>
      <c r="E576" s="661"/>
      <c r="F576" s="661"/>
    </row>
    <row r="577" spans="2:6" x14ac:dyDescent="0.3">
      <c r="B577" s="661"/>
      <c r="E577" s="661"/>
      <c r="F577" s="661"/>
    </row>
    <row r="578" spans="2:6" x14ac:dyDescent="0.3">
      <c r="B578" s="661"/>
      <c r="E578" s="661"/>
      <c r="F578" s="661"/>
    </row>
    <row r="579" spans="2:6" x14ac:dyDescent="0.3">
      <c r="B579" s="661"/>
      <c r="E579" s="661"/>
      <c r="F579" s="661"/>
    </row>
    <row r="580" spans="2:6" x14ac:dyDescent="0.3">
      <c r="B580" s="661"/>
      <c r="E580" s="661"/>
      <c r="F580" s="661"/>
    </row>
    <row r="581" spans="2:6" x14ac:dyDescent="0.3">
      <c r="B581" s="661"/>
      <c r="E581" s="661"/>
      <c r="F581" s="661"/>
    </row>
    <row r="582" spans="2:6" x14ac:dyDescent="0.3">
      <c r="B582" s="661"/>
      <c r="E582" s="661"/>
      <c r="F582" s="661"/>
    </row>
    <row r="583" spans="2:6" x14ac:dyDescent="0.3">
      <c r="B583" s="661"/>
      <c r="E583" s="661"/>
      <c r="F583" s="661"/>
    </row>
    <row r="584" spans="2:6" x14ac:dyDescent="0.3">
      <c r="B584" s="661"/>
      <c r="E584" s="661"/>
      <c r="F584" s="661"/>
    </row>
    <row r="585" spans="2:6" x14ac:dyDescent="0.3">
      <c r="B585" s="661"/>
      <c r="E585" s="661"/>
      <c r="F585" s="661"/>
    </row>
    <row r="586" spans="2:6" x14ac:dyDescent="0.3">
      <c r="B586" s="661"/>
      <c r="E586" s="661"/>
      <c r="F586" s="661"/>
    </row>
    <row r="587" spans="2:6" x14ac:dyDescent="0.3">
      <c r="B587" s="661"/>
      <c r="E587" s="661"/>
      <c r="F587" s="661"/>
    </row>
    <row r="588" spans="2:6" x14ac:dyDescent="0.3">
      <c r="B588" s="661"/>
      <c r="E588" s="661"/>
      <c r="F588" s="661"/>
    </row>
    <row r="589" spans="2:6" x14ac:dyDescent="0.3">
      <c r="B589" s="661"/>
      <c r="E589" s="661"/>
      <c r="F589" s="661"/>
    </row>
    <row r="590" spans="2:6" x14ac:dyDescent="0.3">
      <c r="B590" s="661"/>
      <c r="E590" s="661"/>
      <c r="F590" s="661"/>
    </row>
    <row r="591" spans="2:6" x14ac:dyDescent="0.3">
      <c r="B591" s="661"/>
      <c r="E591" s="661"/>
      <c r="F591" s="661"/>
    </row>
    <row r="592" spans="2:6" x14ac:dyDescent="0.3">
      <c r="B592" s="661"/>
      <c r="E592" s="661"/>
      <c r="F592" s="661"/>
    </row>
    <row r="593" spans="2:6" x14ac:dyDescent="0.3">
      <c r="B593" s="661"/>
      <c r="E593" s="661"/>
      <c r="F593" s="661"/>
    </row>
    <row r="594" spans="2:6" x14ac:dyDescent="0.3">
      <c r="B594" s="661"/>
      <c r="E594" s="661"/>
      <c r="F594" s="661"/>
    </row>
    <row r="595" spans="2:6" x14ac:dyDescent="0.3">
      <c r="B595" s="661"/>
      <c r="E595" s="661"/>
      <c r="F595" s="661"/>
    </row>
    <row r="596" spans="2:6" x14ac:dyDescent="0.3">
      <c r="B596" s="661"/>
      <c r="E596" s="661"/>
      <c r="F596" s="661"/>
    </row>
    <row r="597" spans="2:6" x14ac:dyDescent="0.3">
      <c r="B597" s="661"/>
      <c r="E597" s="661"/>
      <c r="F597" s="661"/>
    </row>
    <row r="598" spans="2:6" x14ac:dyDescent="0.3">
      <c r="B598" s="661"/>
      <c r="E598" s="661"/>
      <c r="F598" s="661"/>
    </row>
    <row r="599" spans="2:6" x14ac:dyDescent="0.3">
      <c r="B599" s="661"/>
      <c r="E599" s="661"/>
      <c r="F599" s="661"/>
    </row>
    <row r="600" spans="2:6" x14ac:dyDescent="0.3">
      <c r="B600" s="661"/>
      <c r="E600" s="661"/>
      <c r="F600" s="661"/>
    </row>
    <row r="601" spans="2:6" x14ac:dyDescent="0.3">
      <c r="B601" s="661"/>
      <c r="E601" s="661"/>
      <c r="F601" s="661"/>
    </row>
    <row r="602" spans="2:6" x14ac:dyDescent="0.3">
      <c r="B602" s="661"/>
      <c r="E602" s="661"/>
      <c r="F602" s="661"/>
    </row>
    <row r="603" spans="2:6" x14ac:dyDescent="0.3">
      <c r="B603" s="661"/>
      <c r="E603" s="661"/>
      <c r="F603" s="661"/>
    </row>
    <row r="604" spans="2:6" x14ac:dyDescent="0.3">
      <c r="B604" s="661"/>
      <c r="E604" s="661"/>
      <c r="F604" s="661"/>
    </row>
    <row r="605" spans="2:6" x14ac:dyDescent="0.3">
      <c r="B605" s="661"/>
      <c r="E605" s="661"/>
      <c r="F605" s="661"/>
    </row>
    <row r="606" spans="2:6" x14ac:dyDescent="0.3">
      <c r="B606" s="661"/>
      <c r="E606" s="661"/>
      <c r="F606" s="661"/>
    </row>
    <row r="607" spans="2:6" x14ac:dyDescent="0.3">
      <c r="B607" s="661"/>
      <c r="E607" s="661"/>
      <c r="F607" s="661"/>
    </row>
    <row r="608" spans="2:6" x14ac:dyDescent="0.3">
      <c r="B608" s="661"/>
      <c r="E608" s="661"/>
      <c r="F608" s="661"/>
    </row>
    <row r="609" spans="2:6" x14ac:dyDescent="0.3">
      <c r="B609" s="661"/>
      <c r="E609" s="661"/>
      <c r="F609" s="661"/>
    </row>
    <row r="610" spans="2:6" x14ac:dyDescent="0.3">
      <c r="B610" s="661"/>
      <c r="E610" s="661"/>
      <c r="F610" s="661"/>
    </row>
    <row r="611" spans="2:6" x14ac:dyDescent="0.3">
      <c r="B611" s="661"/>
      <c r="E611" s="661"/>
      <c r="F611" s="661"/>
    </row>
    <row r="612" spans="2:6" x14ac:dyDescent="0.3">
      <c r="B612" s="661"/>
      <c r="E612" s="661"/>
      <c r="F612" s="661"/>
    </row>
    <row r="613" spans="2:6" x14ac:dyDescent="0.3">
      <c r="B613" s="661"/>
      <c r="E613" s="661"/>
      <c r="F613" s="661"/>
    </row>
    <row r="614" spans="2:6" x14ac:dyDescent="0.3">
      <c r="B614" s="661"/>
      <c r="E614" s="661"/>
      <c r="F614" s="661"/>
    </row>
    <row r="615" spans="2:6" x14ac:dyDescent="0.3">
      <c r="B615" s="661"/>
      <c r="E615" s="661"/>
      <c r="F615" s="661"/>
    </row>
    <row r="616" spans="2:6" x14ac:dyDescent="0.3">
      <c r="B616" s="661"/>
      <c r="E616" s="661"/>
      <c r="F616" s="661"/>
    </row>
    <row r="617" spans="2:6" x14ac:dyDescent="0.3">
      <c r="B617" s="661"/>
      <c r="E617" s="661"/>
      <c r="F617" s="661"/>
    </row>
    <row r="618" spans="2:6" x14ac:dyDescent="0.3">
      <c r="B618" s="661"/>
      <c r="E618" s="661"/>
      <c r="F618" s="661"/>
    </row>
    <row r="619" spans="2:6" x14ac:dyDescent="0.3">
      <c r="B619" s="661"/>
      <c r="E619" s="661"/>
      <c r="F619" s="661"/>
    </row>
    <row r="620" spans="2:6" x14ac:dyDescent="0.3">
      <c r="B620" s="661"/>
      <c r="E620" s="661"/>
      <c r="F620" s="661"/>
    </row>
    <row r="621" spans="2:6" x14ac:dyDescent="0.3">
      <c r="B621" s="661"/>
      <c r="E621" s="661"/>
      <c r="F621" s="661"/>
    </row>
    <row r="622" spans="2:6" x14ac:dyDescent="0.3">
      <c r="B622" s="661"/>
      <c r="E622" s="661"/>
      <c r="F622" s="661"/>
    </row>
    <row r="623" spans="2:6" x14ac:dyDescent="0.3">
      <c r="B623" s="661"/>
      <c r="E623" s="661"/>
      <c r="F623" s="661"/>
    </row>
    <row r="624" spans="2:6" x14ac:dyDescent="0.3">
      <c r="B624" s="661"/>
      <c r="E624" s="661"/>
      <c r="F624" s="661"/>
    </row>
    <row r="625" spans="2:6" x14ac:dyDescent="0.3">
      <c r="B625" s="661"/>
      <c r="E625" s="661"/>
      <c r="F625" s="661"/>
    </row>
    <row r="626" spans="2:6" x14ac:dyDescent="0.3">
      <c r="B626" s="661"/>
      <c r="E626" s="661"/>
      <c r="F626" s="661"/>
    </row>
    <row r="627" spans="2:6" x14ac:dyDescent="0.3">
      <c r="B627" s="661"/>
      <c r="E627" s="661"/>
      <c r="F627" s="661"/>
    </row>
    <row r="628" spans="2:6" x14ac:dyDescent="0.3">
      <c r="B628" s="661"/>
      <c r="E628" s="661"/>
      <c r="F628" s="661"/>
    </row>
    <row r="629" spans="2:6" x14ac:dyDescent="0.3">
      <c r="B629" s="661"/>
      <c r="E629" s="661"/>
      <c r="F629" s="661"/>
    </row>
    <row r="630" spans="2:6" x14ac:dyDescent="0.3">
      <c r="B630" s="661"/>
      <c r="E630" s="661"/>
      <c r="F630" s="661"/>
    </row>
    <row r="631" spans="2:6" x14ac:dyDescent="0.3">
      <c r="B631" s="661"/>
      <c r="E631" s="661"/>
      <c r="F631" s="661"/>
    </row>
    <row r="632" spans="2:6" x14ac:dyDescent="0.3">
      <c r="B632" s="661"/>
      <c r="E632" s="661"/>
      <c r="F632" s="661"/>
    </row>
    <row r="633" spans="2:6" x14ac:dyDescent="0.3">
      <c r="B633" s="661"/>
      <c r="E633" s="661"/>
      <c r="F633" s="661"/>
    </row>
    <row r="634" spans="2:6" x14ac:dyDescent="0.3">
      <c r="B634" s="661"/>
      <c r="E634" s="661"/>
      <c r="F634" s="661"/>
    </row>
    <row r="635" spans="2:6" x14ac:dyDescent="0.3">
      <c r="B635" s="661"/>
      <c r="E635" s="661"/>
      <c r="F635" s="661"/>
    </row>
    <row r="636" spans="2:6" x14ac:dyDescent="0.3">
      <c r="B636" s="661"/>
      <c r="E636" s="661"/>
      <c r="F636" s="661"/>
    </row>
    <row r="637" spans="2:6" x14ac:dyDescent="0.3">
      <c r="B637" s="661"/>
      <c r="E637" s="661"/>
      <c r="F637" s="661"/>
    </row>
    <row r="638" spans="2:6" x14ac:dyDescent="0.3">
      <c r="B638" s="661"/>
      <c r="E638" s="661"/>
      <c r="F638" s="661"/>
    </row>
    <row r="639" spans="2:6" x14ac:dyDescent="0.3">
      <c r="B639" s="661"/>
      <c r="E639" s="661"/>
      <c r="F639" s="661"/>
    </row>
    <row r="640" spans="2:6" x14ac:dyDescent="0.3">
      <c r="B640" s="661"/>
      <c r="E640" s="661"/>
      <c r="F640" s="661"/>
    </row>
    <row r="641" spans="2:6" x14ac:dyDescent="0.3">
      <c r="B641" s="661"/>
      <c r="E641" s="661"/>
      <c r="F641" s="661"/>
    </row>
    <row r="642" spans="2:6" x14ac:dyDescent="0.3">
      <c r="B642" s="661"/>
      <c r="E642" s="661"/>
      <c r="F642" s="661"/>
    </row>
    <row r="643" spans="2:6" x14ac:dyDescent="0.3">
      <c r="B643" s="661"/>
      <c r="E643" s="661"/>
      <c r="F643" s="661"/>
    </row>
    <row r="644" spans="2:6" x14ac:dyDescent="0.3">
      <c r="B644" s="661"/>
      <c r="E644" s="661"/>
      <c r="F644" s="661"/>
    </row>
    <row r="645" spans="2:6" x14ac:dyDescent="0.3">
      <c r="B645" s="661"/>
      <c r="E645" s="661"/>
      <c r="F645" s="661"/>
    </row>
    <row r="646" spans="2:6" x14ac:dyDescent="0.3">
      <c r="B646" s="661"/>
      <c r="E646" s="661"/>
      <c r="F646" s="661"/>
    </row>
    <row r="647" spans="2:6" x14ac:dyDescent="0.3">
      <c r="B647" s="661"/>
      <c r="E647" s="661"/>
      <c r="F647" s="661"/>
    </row>
    <row r="648" spans="2:6" x14ac:dyDescent="0.3">
      <c r="B648" s="661"/>
      <c r="E648" s="661"/>
      <c r="F648" s="661"/>
    </row>
    <row r="649" spans="2:6" x14ac:dyDescent="0.3">
      <c r="B649" s="661"/>
      <c r="E649" s="661"/>
      <c r="F649" s="661"/>
    </row>
    <row r="650" spans="2:6" x14ac:dyDescent="0.3">
      <c r="B650" s="661"/>
      <c r="E650" s="661"/>
      <c r="F650" s="661"/>
    </row>
    <row r="651" spans="2:6" x14ac:dyDescent="0.3">
      <c r="B651" s="661"/>
      <c r="E651" s="661"/>
      <c r="F651" s="661"/>
    </row>
    <row r="652" spans="2:6" x14ac:dyDescent="0.3">
      <c r="B652" s="661"/>
      <c r="E652" s="661"/>
      <c r="F652" s="661"/>
    </row>
    <row r="653" spans="2:6" x14ac:dyDescent="0.3">
      <c r="B653" s="661"/>
      <c r="E653" s="661"/>
      <c r="F653" s="661"/>
    </row>
    <row r="654" spans="2:6" x14ac:dyDescent="0.3">
      <c r="B654" s="661"/>
      <c r="E654" s="661"/>
      <c r="F654" s="661"/>
    </row>
    <row r="655" spans="2:6" x14ac:dyDescent="0.3">
      <c r="B655" s="661"/>
      <c r="E655" s="661"/>
      <c r="F655" s="661"/>
    </row>
    <row r="656" spans="2:6" x14ac:dyDescent="0.3">
      <c r="B656" s="661"/>
      <c r="E656" s="661"/>
      <c r="F656" s="661"/>
    </row>
    <row r="657" spans="2:6" x14ac:dyDescent="0.3">
      <c r="B657" s="661"/>
      <c r="E657" s="661"/>
      <c r="F657" s="661"/>
    </row>
    <row r="658" spans="2:6" x14ac:dyDescent="0.3">
      <c r="B658" s="661"/>
      <c r="E658" s="661"/>
      <c r="F658" s="661"/>
    </row>
    <row r="659" spans="2:6" x14ac:dyDescent="0.3">
      <c r="B659" s="661"/>
      <c r="E659" s="661"/>
      <c r="F659" s="661"/>
    </row>
    <row r="660" spans="2:6" x14ac:dyDescent="0.3">
      <c r="B660" s="661"/>
      <c r="E660" s="661"/>
      <c r="F660" s="661"/>
    </row>
    <row r="661" spans="2:6" x14ac:dyDescent="0.3">
      <c r="B661" s="661"/>
      <c r="E661" s="661"/>
      <c r="F661" s="661"/>
    </row>
    <row r="662" spans="2:6" x14ac:dyDescent="0.3">
      <c r="B662" s="661"/>
      <c r="E662" s="661"/>
      <c r="F662" s="661"/>
    </row>
    <row r="663" spans="2:6" x14ac:dyDescent="0.3">
      <c r="B663" s="661"/>
      <c r="E663" s="661"/>
      <c r="F663" s="661"/>
    </row>
    <row r="664" spans="2:6" x14ac:dyDescent="0.3">
      <c r="B664" s="661"/>
      <c r="E664" s="661"/>
      <c r="F664" s="661"/>
    </row>
    <row r="665" spans="2:6" x14ac:dyDescent="0.3">
      <c r="B665" s="661"/>
      <c r="E665" s="661"/>
      <c r="F665" s="661"/>
    </row>
    <row r="666" spans="2:6" x14ac:dyDescent="0.3">
      <c r="B666" s="661"/>
      <c r="E666" s="661"/>
      <c r="F666" s="661"/>
    </row>
    <row r="667" spans="2:6" x14ac:dyDescent="0.3">
      <c r="B667" s="661"/>
      <c r="E667" s="661"/>
      <c r="F667" s="661"/>
    </row>
    <row r="668" spans="2:6" x14ac:dyDescent="0.3">
      <c r="B668" s="661"/>
      <c r="E668" s="661"/>
      <c r="F668" s="661"/>
    </row>
    <row r="669" spans="2:6" x14ac:dyDescent="0.3">
      <c r="B669" s="661"/>
      <c r="E669" s="661"/>
      <c r="F669" s="661"/>
    </row>
    <row r="670" spans="2:6" x14ac:dyDescent="0.3">
      <c r="B670" s="661"/>
      <c r="E670" s="661"/>
      <c r="F670" s="661"/>
    </row>
    <row r="671" spans="2:6" x14ac:dyDescent="0.3">
      <c r="B671" s="661"/>
      <c r="E671" s="661"/>
      <c r="F671" s="661"/>
    </row>
    <row r="672" spans="2:6" x14ac:dyDescent="0.3">
      <c r="B672" s="661"/>
      <c r="E672" s="661"/>
      <c r="F672" s="661"/>
    </row>
    <row r="673" spans="2:6" x14ac:dyDescent="0.3">
      <c r="B673" s="661"/>
      <c r="E673" s="661"/>
      <c r="F673" s="661"/>
    </row>
    <row r="674" spans="2:6" x14ac:dyDescent="0.3">
      <c r="B674" s="661"/>
      <c r="E674" s="661"/>
      <c r="F674" s="661"/>
    </row>
    <row r="675" spans="2:6" x14ac:dyDescent="0.3">
      <c r="B675" s="661"/>
      <c r="E675" s="661"/>
      <c r="F675" s="661"/>
    </row>
    <row r="676" spans="2:6" x14ac:dyDescent="0.3">
      <c r="B676" s="661"/>
      <c r="E676" s="661"/>
      <c r="F676" s="661"/>
    </row>
    <row r="677" spans="2:6" x14ac:dyDescent="0.3">
      <c r="B677" s="661"/>
      <c r="E677" s="661"/>
      <c r="F677" s="661"/>
    </row>
    <row r="678" spans="2:6" x14ac:dyDescent="0.3">
      <c r="B678" s="661"/>
      <c r="E678" s="661"/>
      <c r="F678" s="661"/>
    </row>
    <row r="679" spans="2:6" x14ac:dyDescent="0.3">
      <c r="B679" s="661"/>
      <c r="E679" s="661"/>
      <c r="F679" s="661"/>
    </row>
    <row r="680" spans="2:6" x14ac:dyDescent="0.3">
      <c r="B680" s="661"/>
      <c r="E680" s="661"/>
      <c r="F680" s="661"/>
    </row>
    <row r="681" spans="2:6" x14ac:dyDescent="0.3">
      <c r="B681" s="661"/>
      <c r="E681" s="661"/>
      <c r="F681" s="661"/>
    </row>
    <row r="682" spans="2:6" x14ac:dyDescent="0.3">
      <c r="B682" s="661"/>
      <c r="E682" s="661"/>
      <c r="F682" s="661"/>
    </row>
    <row r="683" spans="2:6" x14ac:dyDescent="0.3">
      <c r="B683" s="661"/>
      <c r="E683" s="661"/>
      <c r="F683" s="661"/>
    </row>
    <row r="684" spans="2:6" x14ac:dyDescent="0.3">
      <c r="B684" s="661"/>
      <c r="E684" s="661"/>
      <c r="F684" s="661"/>
    </row>
    <row r="685" spans="2:6" x14ac:dyDescent="0.3">
      <c r="B685" s="661"/>
      <c r="E685" s="661"/>
      <c r="F685" s="661"/>
    </row>
    <row r="686" spans="2:6" x14ac:dyDescent="0.3">
      <c r="B686" s="661"/>
      <c r="E686" s="661"/>
      <c r="F686" s="661"/>
    </row>
    <row r="687" spans="2:6" x14ac:dyDescent="0.3">
      <c r="B687" s="661"/>
      <c r="E687" s="661"/>
      <c r="F687" s="661"/>
    </row>
    <row r="688" spans="2:6" x14ac:dyDescent="0.3">
      <c r="B688" s="661"/>
      <c r="E688" s="661"/>
      <c r="F688" s="661"/>
    </row>
    <row r="689" spans="2:6" x14ac:dyDescent="0.3">
      <c r="B689" s="661"/>
      <c r="E689" s="661"/>
      <c r="F689" s="661"/>
    </row>
    <row r="690" spans="2:6" x14ac:dyDescent="0.3">
      <c r="B690" s="661"/>
      <c r="E690" s="661"/>
      <c r="F690" s="661"/>
    </row>
    <row r="691" spans="2:6" x14ac:dyDescent="0.3">
      <c r="B691" s="661"/>
      <c r="E691" s="661"/>
      <c r="F691" s="661"/>
    </row>
    <row r="692" spans="2:6" x14ac:dyDescent="0.3">
      <c r="B692" s="661"/>
      <c r="E692" s="661"/>
      <c r="F692" s="661"/>
    </row>
    <row r="693" spans="2:6" x14ac:dyDescent="0.3">
      <c r="B693" s="661"/>
      <c r="E693" s="661"/>
      <c r="F693" s="661"/>
    </row>
    <row r="694" spans="2:6" x14ac:dyDescent="0.3">
      <c r="B694" s="661"/>
      <c r="E694" s="661"/>
      <c r="F694" s="661"/>
    </row>
    <row r="695" spans="2:6" x14ac:dyDescent="0.3">
      <c r="B695" s="661"/>
      <c r="E695" s="661"/>
      <c r="F695" s="661"/>
    </row>
    <row r="696" spans="2:6" x14ac:dyDescent="0.3">
      <c r="B696" s="661"/>
      <c r="E696" s="661"/>
      <c r="F696" s="661"/>
    </row>
    <row r="697" spans="2:6" x14ac:dyDescent="0.3">
      <c r="B697" s="661"/>
      <c r="E697" s="661"/>
      <c r="F697" s="661"/>
    </row>
    <row r="698" spans="2:6" x14ac:dyDescent="0.3">
      <c r="B698" s="661"/>
      <c r="E698" s="661"/>
      <c r="F698" s="661"/>
    </row>
    <row r="699" spans="2:6" x14ac:dyDescent="0.3">
      <c r="B699" s="661"/>
      <c r="E699" s="661"/>
      <c r="F699" s="661"/>
    </row>
    <row r="700" spans="2:6" x14ac:dyDescent="0.3">
      <c r="B700" s="661"/>
      <c r="E700" s="661"/>
      <c r="F700" s="661"/>
    </row>
    <row r="701" spans="2:6" x14ac:dyDescent="0.3">
      <c r="B701" s="661"/>
      <c r="E701" s="661"/>
      <c r="F701" s="661"/>
    </row>
    <row r="702" spans="2:6" x14ac:dyDescent="0.3">
      <c r="B702" s="661"/>
      <c r="E702" s="661"/>
      <c r="F702" s="661"/>
    </row>
    <row r="703" spans="2:6" x14ac:dyDescent="0.3">
      <c r="B703" s="661"/>
      <c r="E703" s="661"/>
      <c r="F703" s="661"/>
    </row>
    <row r="704" spans="2:6" x14ac:dyDescent="0.3">
      <c r="B704" s="661"/>
      <c r="E704" s="661"/>
      <c r="F704" s="661"/>
    </row>
    <row r="705" spans="2:6" x14ac:dyDescent="0.3">
      <c r="B705" s="661"/>
      <c r="E705" s="661"/>
      <c r="F705" s="661"/>
    </row>
    <row r="706" spans="2:6" x14ac:dyDescent="0.3">
      <c r="B706" s="661"/>
      <c r="E706" s="661"/>
      <c r="F706" s="661"/>
    </row>
    <row r="707" spans="2:6" x14ac:dyDescent="0.3">
      <c r="B707" s="661"/>
      <c r="E707" s="661"/>
      <c r="F707" s="661"/>
    </row>
    <row r="708" spans="2:6" x14ac:dyDescent="0.3">
      <c r="B708" s="661"/>
      <c r="E708" s="661"/>
      <c r="F708" s="661"/>
    </row>
    <row r="709" spans="2:6" x14ac:dyDescent="0.3">
      <c r="B709" s="661"/>
      <c r="E709" s="661"/>
      <c r="F709" s="661"/>
    </row>
    <row r="710" spans="2:6" x14ac:dyDescent="0.3">
      <c r="B710" s="661"/>
      <c r="E710" s="661"/>
      <c r="F710" s="661"/>
    </row>
    <row r="711" spans="2:6" x14ac:dyDescent="0.3">
      <c r="B711" s="661"/>
      <c r="E711" s="661"/>
      <c r="F711" s="661"/>
    </row>
    <row r="712" spans="2:6" x14ac:dyDescent="0.3">
      <c r="B712" s="661"/>
      <c r="E712" s="661"/>
      <c r="F712" s="661"/>
    </row>
    <row r="713" spans="2:6" x14ac:dyDescent="0.3">
      <c r="B713" s="661"/>
      <c r="E713" s="661"/>
      <c r="F713" s="661"/>
    </row>
    <row r="714" spans="2:6" x14ac:dyDescent="0.3">
      <c r="B714" s="661"/>
      <c r="E714" s="661"/>
      <c r="F714" s="661"/>
    </row>
    <row r="715" spans="2:6" x14ac:dyDescent="0.3">
      <c r="B715" s="661"/>
      <c r="E715" s="661"/>
      <c r="F715" s="661"/>
    </row>
    <row r="716" spans="2:6" x14ac:dyDescent="0.3">
      <c r="B716" s="661"/>
      <c r="E716" s="661"/>
      <c r="F716" s="661"/>
    </row>
    <row r="717" spans="2:6" x14ac:dyDescent="0.3">
      <c r="B717" s="661"/>
      <c r="E717" s="661"/>
      <c r="F717" s="661"/>
    </row>
    <row r="718" spans="2:6" x14ac:dyDescent="0.3">
      <c r="B718" s="661"/>
      <c r="E718" s="661"/>
      <c r="F718" s="661"/>
    </row>
    <row r="719" spans="2:6" x14ac:dyDescent="0.3">
      <c r="B719" s="661"/>
      <c r="E719" s="661"/>
      <c r="F719" s="661"/>
    </row>
    <row r="720" spans="2:6" x14ac:dyDescent="0.3">
      <c r="B720" s="661"/>
      <c r="E720" s="661"/>
      <c r="F720" s="661"/>
    </row>
    <row r="721" spans="2:6" x14ac:dyDescent="0.3">
      <c r="B721" s="661"/>
      <c r="E721" s="661"/>
      <c r="F721" s="661"/>
    </row>
    <row r="722" spans="2:6" x14ac:dyDescent="0.3">
      <c r="B722" s="661"/>
      <c r="E722" s="661"/>
      <c r="F722" s="661"/>
    </row>
    <row r="723" spans="2:6" x14ac:dyDescent="0.3">
      <c r="B723" s="661"/>
      <c r="E723" s="661"/>
      <c r="F723" s="661"/>
    </row>
    <row r="724" spans="2:6" x14ac:dyDescent="0.3">
      <c r="B724" s="661"/>
      <c r="E724" s="661"/>
      <c r="F724" s="661"/>
    </row>
    <row r="725" spans="2:6" x14ac:dyDescent="0.3">
      <c r="B725" s="661"/>
      <c r="E725" s="661"/>
      <c r="F725" s="661"/>
    </row>
    <row r="726" spans="2:6" x14ac:dyDescent="0.3">
      <c r="B726" s="661"/>
      <c r="E726" s="661"/>
      <c r="F726" s="661"/>
    </row>
    <row r="727" spans="2:6" x14ac:dyDescent="0.3">
      <c r="B727" s="661"/>
      <c r="E727" s="661"/>
      <c r="F727" s="661"/>
    </row>
    <row r="728" spans="2:6" x14ac:dyDescent="0.3">
      <c r="B728" s="661"/>
      <c r="E728" s="661"/>
      <c r="F728" s="661"/>
    </row>
    <row r="729" spans="2:6" x14ac:dyDescent="0.3">
      <c r="B729" s="661"/>
      <c r="E729" s="661"/>
      <c r="F729" s="661"/>
    </row>
    <row r="730" spans="2:6" x14ac:dyDescent="0.3">
      <c r="B730" s="661"/>
      <c r="E730" s="661"/>
      <c r="F730" s="661"/>
    </row>
    <row r="731" spans="2:6" x14ac:dyDescent="0.3">
      <c r="B731" s="661"/>
      <c r="E731" s="661"/>
      <c r="F731" s="661"/>
    </row>
    <row r="732" spans="2:6" x14ac:dyDescent="0.3">
      <c r="B732" s="661"/>
      <c r="E732" s="661"/>
      <c r="F732" s="661"/>
    </row>
    <row r="733" spans="2:6" x14ac:dyDescent="0.3">
      <c r="B733" s="661"/>
      <c r="E733" s="661"/>
      <c r="F733" s="661"/>
    </row>
    <row r="734" spans="2:6" x14ac:dyDescent="0.3">
      <c r="B734" s="661"/>
      <c r="E734" s="661"/>
      <c r="F734" s="661"/>
    </row>
    <row r="735" spans="2:6" x14ac:dyDescent="0.3">
      <c r="B735" s="661"/>
      <c r="E735" s="661"/>
      <c r="F735" s="661"/>
    </row>
    <row r="736" spans="2:6" x14ac:dyDescent="0.3">
      <c r="B736" s="661"/>
      <c r="E736" s="661"/>
      <c r="F736" s="661"/>
    </row>
    <row r="737" spans="2:6" x14ac:dyDescent="0.3">
      <c r="B737" s="661"/>
      <c r="E737" s="661"/>
      <c r="F737" s="661"/>
    </row>
    <row r="738" spans="2:6" x14ac:dyDescent="0.3">
      <c r="B738" s="661"/>
      <c r="E738" s="661"/>
      <c r="F738" s="661"/>
    </row>
    <row r="739" spans="2:6" x14ac:dyDescent="0.3">
      <c r="B739" s="661"/>
      <c r="E739" s="661"/>
      <c r="F739" s="661"/>
    </row>
    <row r="740" spans="2:6" x14ac:dyDescent="0.3">
      <c r="B740" s="661"/>
      <c r="E740" s="661"/>
      <c r="F740" s="661"/>
    </row>
    <row r="741" spans="2:6" x14ac:dyDescent="0.3">
      <c r="B741" s="661"/>
      <c r="E741" s="661"/>
      <c r="F741" s="661"/>
    </row>
    <row r="742" spans="2:6" x14ac:dyDescent="0.3">
      <c r="B742" s="661"/>
      <c r="E742" s="661"/>
      <c r="F742" s="661"/>
    </row>
    <row r="743" spans="2:6" x14ac:dyDescent="0.3">
      <c r="B743" s="661"/>
      <c r="E743" s="661"/>
      <c r="F743" s="661"/>
    </row>
    <row r="744" spans="2:6" x14ac:dyDescent="0.3">
      <c r="B744" s="661"/>
      <c r="E744" s="661"/>
      <c r="F744" s="661"/>
    </row>
    <row r="745" spans="2:6" x14ac:dyDescent="0.3">
      <c r="B745" s="661"/>
      <c r="E745" s="661"/>
      <c r="F745" s="661"/>
    </row>
    <row r="746" spans="2:6" x14ac:dyDescent="0.3">
      <c r="B746" s="661"/>
      <c r="E746" s="661"/>
      <c r="F746" s="661"/>
    </row>
    <row r="747" spans="2:6" x14ac:dyDescent="0.3">
      <c r="B747" s="661"/>
      <c r="E747" s="661"/>
      <c r="F747" s="661"/>
    </row>
    <row r="748" spans="2:6" x14ac:dyDescent="0.3">
      <c r="B748" s="661"/>
      <c r="E748" s="661"/>
      <c r="F748" s="661"/>
    </row>
    <row r="749" spans="2:6" x14ac:dyDescent="0.3">
      <c r="B749" s="661"/>
      <c r="E749" s="661"/>
      <c r="F749" s="661"/>
    </row>
    <row r="750" spans="2:6" x14ac:dyDescent="0.3">
      <c r="B750" s="661"/>
      <c r="E750" s="661"/>
      <c r="F750" s="661"/>
    </row>
    <row r="751" spans="2:6" x14ac:dyDescent="0.3">
      <c r="B751" s="661"/>
      <c r="E751" s="661"/>
      <c r="F751" s="661"/>
    </row>
    <row r="752" spans="2:6" x14ac:dyDescent="0.3">
      <c r="B752" s="661"/>
      <c r="E752" s="661"/>
      <c r="F752" s="661"/>
    </row>
    <row r="753" spans="2:6" x14ac:dyDescent="0.3">
      <c r="B753" s="661"/>
      <c r="E753" s="661"/>
      <c r="F753" s="661"/>
    </row>
    <row r="754" spans="2:6" x14ac:dyDescent="0.3">
      <c r="B754" s="661"/>
      <c r="E754" s="661"/>
      <c r="F754" s="661"/>
    </row>
    <row r="755" spans="2:6" x14ac:dyDescent="0.3">
      <c r="B755" s="661"/>
      <c r="E755" s="661"/>
      <c r="F755" s="661"/>
    </row>
    <row r="756" spans="2:6" x14ac:dyDescent="0.3">
      <c r="B756" s="661"/>
      <c r="E756" s="661"/>
      <c r="F756" s="661"/>
    </row>
    <row r="757" spans="2:6" x14ac:dyDescent="0.3">
      <c r="B757" s="661"/>
      <c r="E757" s="661"/>
      <c r="F757" s="661"/>
    </row>
    <row r="758" spans="2:6" x14ac:dyDescent="0.3">
      <c r="B758" s="661"/>
      <c r="E758" s="661"/>
      <c r="F758" s="661"/>
    </row>
    <row r="759" spans="2:6" x14ac:dyDescent="0.3">
      <c r="B759" s="661"/>
      <c r="E759" s="661"/>
      <c r="F759" s="661"/>
    </row>
    <row r="760" spans="2:6" x14ac:dyDescent="0.3">
      <c r="B760" s="661"/>
      <c r="E760" s="661"/>
      <c r="F760" s="661"/>
    </row>
    <row r="761" spans="2:6" x14ac:dyDescent="0.3">
      <c r="B761" s="661"/>
      <c r="E761" s="661"/>
      <c r="F761" s="661"/>
    </row>
    <row r="762" spans="2:6" x14ac:dyDescent="0.3">
      <c r="B762" s="661"/>
      <c r="E762" s="661"/>
      <c r="F762" s="661"/>
    </row>
    <row r="763" spans="2:6" x14ac:dyDescent="0.3">
      <c r="B763" s="661"/>
      <c r="E763" s="661"/>
      <c r="F763" s="661"/>
    </row>
    <row r="764" spans="2:6" x14ac:dyDescent="0.3">
      <c r="B764" s="661"/>
      <c r="E764" s="661"/>
      <c r="F764" s="661"/>
    </row>
    <row r="765" spans="2:6" x14ac:dyDescent="0.3">
      <c r="B765" s="661"/>
      <c r="E765" s="661"/>
      <c r="F765" s="661"/>
    </row>
    <row r="766" spans="2:6" x14ac:dyDescent="0.3">
      <c r="B766" s="661"/>
      <c r="E766" s="661"/>
      <c r="F766" s="661"/>
    </row>
    <row r="767" spans="2:6" x14ac:dyDescent="0.3">
      <c r="B767" s="661"/>
      <c r="E767" s="661"/>
      <c r="F767" s="661"/>
    </row>
    <row r="768" spans="2:6" x14ac:dyDescent="0.3">
      <c r="B768" s="661"/>
      <c r="E768" s="661"/>
      <c r="F768" s="661"/>
    </row>
    <row r="769" spans="2:6" x14ac:dyDescent="0.3">
      <c r="B769" s="661"/>
      <c r="E769" s="661"/>
      <c r="F769" s="661"/>
    </row>
    <row r="770" spans="2:6" x14ac:dyDescent="0.3">
      <c r="B770" s="661"/>
      <c r="E770" s="661"/>
      <c r="F770" s="661"/>
    </row>
    <row r="771" spans="2:6" x14ac:dyDescent="0.3">
      <c r="B771" s="661"/>
      <c r="E771" s="661"/>
      <c r="F771" s="661"/>
    </row>
    <row r="772" spans="2:6" x14ac:dyDescent="0.3">
      <c r="B772" s="661"/>
      <c r="E772" s="661"/>
      <c r="F772" s="661"/>
    </row>
    <row r="773" spans="2:6" x14ac:dyDescent="0.3">
      <c r="B773" s="661"/>
      <c r="E773" s="661"/>
      <c r="F773" s="661"/>
    </row>
    <row r="774" spans="2:6" x14ac:dyDescent="0.3">
      <c r="B774" s="661"/>
      <c r="E774" s="661"/>
      <c r="F774" s="661"/>
    </row>
    <row r="775" spans="2:6" x14ac:dyDescent="0.3">
      <c r="B775" s="661"/>
      <c r="E775" s="661"/>
      <c r="F775" s="661"/>
    </row>
    <row r="776" spans="2:6" x14ac:dyDescent="0.3">
      <c r="B776" s="661"/>
      <c r="E776" s="661"/>
      <c r="F776" s="661"/>
    </row>
    <row r="777" spans="2:6" x14ac:dyDescent="0.3">
      <c r="B777" s="661"/>
      <c r="E777" s="661"/>
      <c r="F777" s="661"/>
    </row>
    <row r="778" spans="2:6" x14ac:dyDescent="0.3">
      <c r="B778" s="661"/>
      <c r="E778" s="661"/>
      <c r="F778" s="661"/>
    </row>
    <row r="779" spans="2:6" x14ac:dyDescent="0.3">
      <c r="B779" s="661"/>
      <c r="E779" s="661"/>
      <c r="F779" s="661"/>
    </row>
    <row r="780" spans="2:6" x14ac:dyDescent="0.3">
      <c r="B780" s="661"/>
      <c r="E780" s="661"/>
      <c r="F780" s="661"/>
    </row>
    <row r="781" spans="2:6" x14ac:dyDescent="0.3">
      <c r="B781" s="661"/>
      <c r="E781" s="661"/>
      <c r="F781" s="661"/>
    </row>
    <row r="782" spans="2:6" x14ac:dyDescent="0.3">
      <c r="B782" s="661"/>
      <c r="E782" s="661"/>
      <c r="F782" s="661"/>
    </row>
    <row r="783" spans="2:6" x14ac:dyDescent="0.3">
      <c r="B783" s="661"/>
      <c r="E783" s="661"/>
      <c r="F783" s="661"/>
    </row>
    <row r="784" spans="2:6" x14ac:dyDescent="0.3">
      <c r="B784" s="661"/>
      <c r="E784" s="661"/>
      <c r="F784" s="661"/>
    </row>
    <row r="785" spans="2:6" x14ac:dyDescent="0.3">
      <c r="B785" s="661"/>
      <c r="E785" s="661"/>
      <c r="F785" s="661"/>
    </row>
    <row r="786" spans="2:6" x14ac:dyDescent="0.3">
      <c r="B786" s="661"/>
      <c r="E786" s="661"/>
      <c r="F786" s="661"/>
    </row>
    <row r="787" spans="2:6" x14ac:dyDescent="0.3">
      <c r="B787" s="661"/>
      <c r="E787" s="661"/>
      <c r="F787" s="661"/>
    </row>
    <row r="788" spans="2:6" x14ac:dyDescent="0.3">
      <c r="B788" s="661"/>
      <c r="E788" s="661"/>
      <c r="F788" s="661"/>
    </row>
    <row r="789" spans="2:6" x14ac:dyDescent="0.3">
      <c r="B789" s="661"/>
      <c r="E789" s="661"/>
      <c r="F789" s="661"/>
    </row>
    <row r="790" spans="2:6" x14ac:dyDescent="0.3">
      <c r="B790" s="661"/>
      <c r="E790" s="661"/>
      <c r="F790" s="661"/>
    </row>
    <row r="791" spans="2:6" x14ac:dyDescent="0.3">
      <c r="B791" s="661"/>
      <c r="E791" s="661"/>
      <c r="F791" s="661"/>
    </row>
    <row r="792" spans="2:6" x14ac:dyDescent="0.3">
      <c r="B792" s="661"/>
      <c r="E792" s="661"/>
      <c r="F792" s="661"/>
    </row>
    <row r="793" spans="2:6" x14ac:dyDescent="0.3">
      <c r="B793" s="661"/>
      <c r="E793" s="661"/>
      <c r="F793" s="661"/>
    </row>
    <row r="794" spans="2:6" x14ac:dyDescent="0.3">
      <c r="B794" s="661"/>
      <c r="E794" s="661"/>
      <c r="F794" s="661"/>
    </row>
    <row r="795" spans="2:6" x14ac:dyDescent="0.3">
      <c r="B795" s="661"/>
      <c r="E795" s="661"/>
      <c r="F795" s="661"/>
    </row>
    <row r="796" spans="2:6" x14ac:dyDescent="0.3">
      <c r="B796" s="661"/>
      <c r="E796" s="661"/>
      <c r="F796" s="661"/>
    </row>
    <row r="797" spans="2:6" x14ac:dyDescent="0.3">
      <c r="B797" s="661"/>
      <c r="E797" s="661"/>
      <c r="F797" s="661"/>
    </row>
    <row r="798" spans="2:6" x14ac:dyDescent="0.3">
      <c r="B798" s="661"/>
      <c r="E798" s="661"/>
      <c r="F798" s="661"/>
    </row>
    <row r="799" spans="2:6" x14ac:dyDescent="0.3">
      <c r="B799" s="661"/>
      <c r="E799" s="661"/>
      <c r="F799" s="661"/>
    </row>
    <row r="800" spans="2:6" x14ac:dyDescent="0.3">
      <c r="B800" s="661"/>
      <c r="E800" s="661"/>
      <c r="F800" s="661"/>
    </row>
    <row r="801" spans="2:6" x14ac:dyDescent="0.3">
      <c r="B801" s="661"/>
      <c r="E801" s="661"/>
      <c r="F801" s="661"/>
    </row>
    <row r="802" spans="2:6" x14ac:dyDescent="0.3">
      <c r="B802" s="661"/>
      <c r="E802" s="661"/>
      <c r="F802" s="661"/>
    </row>
    <row r="803" spans="2:6" x14ac:dyDescent="0.3">
      <c r="B803" s="661"/>
      <c r="E803" s="661"/>
      <c r="F803" s="661"/>
    </row>
    <row r="804" spans="2:6" x14ac:dyDescent="0.3">
      <c r="B804" s="661"/>
      <c r="E804" s="661"/>
      <c r="F804" s="661"/>
    </row>
    <row r="805" spans="2:6" x14ac:dyDescent="0.3">
      <c r="B805" s="661"/>
      <c r="E805" s="661"/>
      <c r="F805" s="661"/>
    </row>
    <row r="806" spans="2:6" x14ac:dyDescent="0.3">
      <c r="B806" s="661"/>
      <c r="E806" s="661"/>
      <c r="F806" s="661"/>
    </row>
    <row r="807" spans="2:6" x14ac:dyDescent="0.3">
      <c r="B807" s="661"/>
      <c r="E807" s="661"/>
      <c r="F807" s="661"/>
    </row>
    <row r="808" spans="2:6" x14ac:dyDescent="0.3">
      <c r="B808" s="661"/>
      <c r="E808" s="661"/>
      <c r="F808" s="661"/>
    </row>
    <row r="809" spans="2:6" x14ac:dyDescent="0.3">
      <c r="B809" s="661"/>
      <c r="E809" s="661"/>
      <c r="F809" s="661"/>
    </row>
    <row r="810" spans="2:6" x14ac:dyDescent="0.3">
      <c r="B810" s="661"/>
      <c r="E810" s="661"/>
      <c r="F810" s="661"/>
    </row>
    <row r="811" spans="2:6" x14ac:dyDescent="0.3">
      <c r="B811" s="661"/>
      <c r="E811" s="661"/>
      <c r="F811" s="661"/>
    </row>
    <row r="812" spans="2:6" x14ac:dyDescent="0.3">
      <c r="B812" s="661"/>
      <c r="E812" s="661"/>
      <c r="F812" s="661"/>
    </row>
    <row r="813" spans="2:6" x14ac:dyDescent="0.3">
      <c r="B813" s="661"/>
      <c r="E813" s="661"/>
      <c r="F813" s="661"/>
    </row>
    <row r="814" spans="2:6" x14ac:dyDescent="0.3">
      <c r="B814" s="661"/>
      <c r="E814" s="661"/>
      <c r="F814" s="661"/>
    </row>
    <row r="815" spans="2:6" x14ac:dyDescent="0.3">
      <c r="B815" s="661"/>
      <c r="E815" s="661"/>
      <c r="F815" s="661"/>
    </row>
    <row r="816" spans="2:6" x14ac:dyDescent="0.3">
      <c r="B816" s="661"/>
      <c r="E816" s="661"/>
      <c r="F816" s="661"/>
    </row>
    <row r="817" spans="2:6" x14ac:dyDescent="0.3">
      <c r="B817" s="661"/>
      <c r="E817" s="661"/>
      <c r="F817" s="661"/>
    </row>
    <row r="818" spans="2:6" x14ac:dyDescent="0.3">
      <c r="B818" s="661"/>
      <c r="E818" s="661"/>
      <c r="F818" s="661"/>
    </row>
    <row r="819" spans="2:6" x14ac:dyDescent="0.3">
      <c r="B819" s="661"/>
      <c r="E819" s="661"/>
      <c r="F819" s="661"/>
    </row>
    <row r="820" spans="2:6" x14ac:dyDescent="0.3">
      <c r="B820" s="661"/>
      <c r="E820" s="661"/>
      <c r="F820" s="661"/>
    </row>
    <row r="821" spans="2:6" x14ac:dyDescent="0.3">
      <c r="B821" s="661"/>
      <c r="E821" s="661"/>
      <c r="F821" s="661"/>
    </row>
    <row r="822" spans="2:6" x14ac:dyDescent="0.3">
      <c r="B822" s="661"/>
      <c r="E822" s="661"/>
      <c r="F822" s="661"/>
    </row>
    <row r="823" spans="2:6" x14ac:dyDescent="0.3">
      <c r="B823" s="661"/>
      <c r="E823" s="661"/>
      <c r="F823" s="661"/>
    </row>
    <row r="824" spans="2:6" x14ac:dyDescent="0.3">
      <c r="B824" s="661"/>
      <c r="E824" s="661"/>
      <c r="F824" s="661"/>
    </row>
    <row r="825" spans="2:6" x14ac:dyDescent="0.3">
      <c r="B825" s="661"/>
      <c r="E825" s="661"/>
      <c r="F825" s="661"/>
    </row>
    <row r="826" spans="2:6" x14ac:dyDescent="0.3">
      <c r="B826" s="661"/>
      <c r="E826" s="661"/>
      <c r="F826" s="661"/>
    </row>
    <row r="827" spans="2:6" x14ac:dyDescent="0.3">
      <c r="B827" s="661"/>
      <c r="E827" s="661"/>
      <c r="F827" s="661"/>
    </row>
    <row r="828" spans="2:6" x14ac:dyDescent="0.3">
      <c r="B828" s="661"/>
      <c r="E828" s="661"/>
      <c r="F828" s="661"/>
    </row>
    <row r="829" spans="2:6" x14ac:dyDescent="0.3">
      <c r="B829" s="661"/>
      <c r="E829" s="661"/>
      <c r="F829" s="661"/>
    </row>
    <row r="830" spans="2:6" x14ac:dyDescent="0.3">
      <c r="B830" s="661"/>
      <c r="E830" s="661"/>
      <c r="F830" s="661"/>
    </row>
    <row r="831" spans="2:6" x14ac:dyDescent="0.3">
      <c r="B831" s="661"/>
      <c r="E831" s="661"/>
      <c r="F831" s="661"/>
    </row>
    <row r="832" spans="2:6" x14ac:dyDescent="0.3">
      <c r="B832" s="661"/>
      <c r="E832" s="661"/>
      <c r="F832" s="661"/>
    </row>
    <row r="833" spans="2:6" x14ac:dyDescent="0.3">
      <c r="B833" s="661"/>
      <c r="E833" s="661"/>
      <c r="F833" s="661"/>
    </row>
    <row r="834" spans="2:6" x14ac:dyDescent="0.3">
      <c r="B834" s="661"/>
      <c r="E834" s="661"/>
      <c r="F834" s="661"/>
    </row>
    <row r="835" spans="2:6" x14ac:dyDescent="0.3">
      <c r="B835" s="661"/>
      <c r="E835" s="661"/>
      <c r="F835" s="661"/>
    </row>
    <row r="836" spans="2:6" x14ac:dyDescent="0.3">
      <c r="B836" s="661"/>
      <c r="E836" s="661"/>
      <c r="F836" s="661"/>
    </row>
    <row r="837" spans="2:6" x14ac:dyDescent="0.3">
      <c r="B837" s="661"/>
      <c r="E837" s="661"/>
      <c r="F837" s="661"/>
    </row>
    <row r="838" spans="2:6" x14ac:dyDescent="0.3">
      <c r="B838" s="661"/>
      <c r="E838" s="661"/>
      <c r="F838" s="661"/>
    </row>
    <row r="839" spans="2:6" x14ac:dyDescent="0.3">
      <c r="B839" s="661"/>
      <c r="E839" s="661"/>
      <c r="F839" s="661"/>
    </row>
    <row r="840" spans="2:6" x14ac:dyDescent="0.3">
      <c r="B840" s="661"/>
      <c r="E840" s="661"/>
      <c r="F840" s="661"/>
    </row>
    <row r="841" spans="2:6" x14ac:dyDescent="0.3">
      <c r="B841" s="661"/>
      <c r="E841" s="661"/>
      <c r="F841" s="661"/>
    </row>
    <row r="842" spans="2:6" x14ac:dyDescent="0.3">
      <c r="B842" s="661"/>
      <c r="E842" s="661"/>
      <c r="F842" s="661"/>
    </row>
    <row r="843" spans="2:6" x14ac:dyDescent="0.3">
      <c r="B843" s="661"/>
      <c r="E843" s="661"/>
      <c r="F843" s="661"/>
    </row>
    <row r="844" spans="2:6" x14ac:dyDescent="0.3">
      <c r="B844" s="661"/>
      <c r="E844" s="661"/>
      <c r="F844" s="661"/>
    </row>
    <row r="845" spans="2:6" x14ac:dyDescent="0.3">
      <c r="B845" s="661"/>
      <c r="E845" s="661"/>
      <c r="F845" s="661"/>
    </row>
    <row r="846" spans="2:6" x14ac:dyDescent="0.3">
      <c r="B846" s="661"/>
      <c r="E846" s="661"/>
      <c r="F846" s="661"/>
    </row>
    <row r="847" spans="2:6" x14ac:dyDescent="0.3">
      <c r="B847" s="661"/>
      <c r="E847" s="661"/>
      <c r="F847" s="661"/>
    </row>
    <row r="848" spans="2:6" x14ac:dyDescent="0.3">
      <c r="B848" s="661"/>
      <c r="E848" s="661"/>
      <c r="F848" s="661"/>
    </row>
    <row r="849" spans="2:6" x14ac:dyDescent="0.3">
      <c r="B849" s="661"/>
      <c r="E849" s="661"/>
      <c r="F849" s="661"/>
    </row>
    <row r="850" spans="2:6" x14ac:dyDescent="0.3">
      <c r="B850" s="661"/>
      <c r="E850" s="661"/>
      <c r="F850" s="661"/>
    </row>
    <row r="851" spans="2:6" x14ac:dyDescent="0.3">
      <c r="B851" s="661"/>
      <c r="E851" s="661"/>
      <c r="F851" s="661"/>
    </row>
    <row r="852" spans="2:6" x14ac:dyDescent="0.3">
      <c r="B852" s="661"/>
      <c r="E852" s="661"/>
      <c r="F852" s="661"/>
    </row>
    <row r="853" spans="2:6" x14ac:dyDescent="0.3">
      <c r="B853" s="661"/>
      <c r="E853" s="661"/>
      <c r="F853" s="661"/>
    </row>
    <row r="854" spans="2:6" x14ac:dyDescent="0.3">
      <c r="B854" s="661"/>
      <c r="E854" s="661"/>
      <c r="F854" s="661"/>
    </row>
    <row r="855" spans="2:6" x14ac:dyDescent="0.3">
      <c r="B855" s="661"/>
      <c r="E855" s="661"/>
      <c r="F855" s="661"/>
    </row>
    <row r="856" spans="2:6" x14ac:dyDescent="0.3">
      <c r="B856" s="661"/>
      <c r="E856" s="661"/>
      <c r="F856" s="661"/>
    </row>
    <row r="857" spans="2:6" x14ac:dyDescent="0.3">
      <c r="B857" s="661"/>
      <c r="E857" s="661"/>
      <c r="F857" s="661"/>
    </row>
    <row r="858" spans="2:6" x14ac:dyDescent="0.3">
      <c r="B858" s="661"/>
      <c r="E858" s="661"/>
      <c r="F858" s="661"/>
    </row>
    <row r="859" spans="2:6" x14ac:dyDescent="0.3">
      <c r="B859" s="661"/>
      <c r="E859" s="661"/>
      <c r="F859" s="661"/>
    </row>
    <row r="860" spans="2:6" x14ac:dyDescent="0.3">
      <c r="B860" s="661"/>
      <c r="E860" s="661"/>
      <c r="F860" s="661"/>
    </row>
    <row r="861" spans="2:6" x14ac:dyDescent="0.3">
      <c r="B861" s="661"/>
      <c r="E861" s="661"/>
      <c r="F861" s="661"/>
    </row>
    <row r="862" spans="2:6" x14ac:dyDescent="0.3">
      <c r="B862" s="661"/>
      <c r="E862" s="661"/>
      <c r="F862" s="661"/>
    </row>
    <row r="863" spans="2:6" x14ac:dyDescent="0.3">
      <c r="B863" s="661"/>
      <c r="E863" s="661"/>
      <c r="F863" s="661"/>
    </row>
    <row r="864" spans="2:6" x14ac:dyDescent="0.3">
      <c r="B864" s="661"/>
      <c r="E864" s="661"/>
      <c r="F864" s="661"/>
    </row>
    <row r="865" spans="2:6" x14ac:dyDescent="0.3">
      <c r="B865" s="661"/>
      <c r="E865" s="661"/>
      <c r="F865" s="661"/>
    </row>
    <row r="866" spans="2:6" x14ac:dyDescent="0.3">
      <c r="B866" s="661"/>
      <c r="E866" s="661"/>
      <c r="F866" s="661"/>
    </row>
    <row r="867" spans="2:6" x14ac:dyDescent="0.3">
      <c r="B867" s="661"/>
      <c r="E867" s="661"/>
      <c r="F867" s="661"/>
    </row>
    <row r="868" spans="2:6" x14ac:dyDescent="0.3">
      <c r="B868" s="661"/>
      <c r="E868" s="661"/>
      <c r="F868" s="661"/>
    </row>
    <row r="869" spans="2:6" x14ac:dyDescent="0.3">
      <c r="B869" s="661"/>
      <c r="E869" s="661"/>
      <c r="F869" s="661"/>
    </row>
    <row r="870" spans="2:6" x14ac:dyDescent="0.3">
      <c r="B870" s="661"/>
      <c r="E870" s="661"/>
      <c r="F870" s="661"/>
    </row>
    <row r="871" spans="2:6" x14ac:dyDescent="0.3">
      <c r="B871" s="661"/>
      <c r="E871" s="661"/>
      <c r="F871" s="661"/>
    </row>
    <row r="872" spans="2:6" x14ac:dyDescent="0.3">
      <c r="B872" s="661"/>
      <c r="E872" s="661"/>
      <c r="F872" s="661"/>
    </row>
    <row r="873" spans="2:6" x14ac:dyDescent="0.3">
      <c r="B873" s="661"/>
      <c r="E873" s="661"/>
      <c r="F873" s="661"/>
    </row>
    <row r="874" spans="2:6" x14ac:dyDescent="0.3">
      <c r="B874" s="661"/>
      <c r="E874" s="661"/>
      <c r="F874" s="661"/>
    </row>
    <row r="875" spans="2:6" x14ac:dyDescent="0.3">
      <c r="B875" s="661"/>
      <c r="E875" s="661"/>
      <c r="F875" s="661"/>
    </row>
    <row r="876" spans="2:6" x14ac:dyDescent="0.3">
      <c r="B876" s="661"/>
      <c r="E876" s="661"/>
      <c r="F876" s="661"/>
    </row>
    <row r="877" spans="2:6" x14ac:dyDescent="0.3">
      <c r="B877" s="661"/>
      <c r="E877" s="661"/>
      <c r="F877" s="661"/>
    </row>
    <row r="878" spans="2:6" x14ac:dyDescent="0.3">
      <c r="B878" s="661"/>
      <c r="E878" s="661"/>
      <c r="F878" s="661"/>
    </row>
    <row r="879" spans="2:6" x14ac:dyDescent="0.3">
      <c r="B879" s="661"/>
      <c r="E879" s="661"/>
      <c r="F879" s="661"/>
    </row>
    <row r="880" spans="2:6" x14ac:dyDescent="0.3">
      <c r="B880" s="661"/>
      <c r="E880" s="661"/>
      <c r="F880" s="661"/>
    </row>
    <row r="881" spans="2:6" x14ac:dyDescent="0.3">
      <c r="B881" s="661"/>
      <c r="E881" s="661"/>
      <c r="F881" s="661"/>
    </row>
    <row r="882" spans="2:6" x14ac:dyDescent="0.3">
      <c r="B882" s="661"/>
      <c r="E882" s="661"/>
      <c r="F882" s="661"/>
    </row>
    <row r="883" spans="2:6" x14ac:dyDescent="0.3">
      <c r="B883" s="661"/>
      <c r="E883" s="661"/>
      <c r="F883" s="661"/>
    </row>
    <row r="884" spans="2:6" x14ac:dyDescent="0.3">
      <c r="B884" s="661"/>
      <c r="E884" s="661"/>
      <c r="F884" s="661"/>
    </row>
    <row r="885" spans="2:6" x14ac:dyDescent="0.3">
      <c r="B885" s="661"/>
      <c r="E885" s="661"/>
      <c r="F885" s="661"/>
    </row>
    <row r="886" spans="2:6" x14ac:dyDescent="0.3">
      <c r="B886" s="661"/>
      <c r="E886" s="661"/>
      <c r="F886" s="661"/>
    </row>
    <row r="887" spans="2:6" x14ac:dyDescent="0.3">
      <c r="B887" s="661"/>
      <c r="E887" s="661"/>
      <c r="F887" s="661"/>
    </row>
    <row r="888" spans="2:6" x14ac:dyDescent="0.3">
      <c r="B888" s="661"/>
      <c r="E888" s="661"/>
      <c r="F888" s="661"/>
    </row>
    <row r="889" spans="2:6" x14ac:dyDescent="0.3">
      <c r="B889" s="661"/>
      <c r="E889" s="661"/>
      <c r="F889" s="661"/>
    </row>
    <row r="890" spans="2:6" x14ac:dyDescent="0.3">
      <c r="B890" s="661"/>
      <c r="E890" s="661"/>
      <c r="F890" s="661"/>
    </row>
    <row r="891" spans="2:6" x14ac:dyDescent="0.3">
      <c r="B891" s="661"/>
      <c r="E891" s="661"/>
      <c r="F891" s="661"/>
    </row>
    <row r="892" spans="2:6" x14ac:dyDescent="0.3">
      <c r="B892" s="661"/>
      <c r="E892" s="661"/>
      <c r="F892" s="661"/>
    </row>
    <row r="893" spans="2:6" x14ac:dyDescent="0.3">
      <c r="B893" s="661"/>
      <c r="E893" s="661"/>
      <c r="F893" s="661"/>
    </row>
    <row r="894" spans="2:6" x14ac:dyDescent="0.3">
      <c r="B894" s="661"/>
      <c r="E894" s="661"/>
      <c r="F894" s="661"/>
    </row>
    <row r="895" spans="2:6" x14ac:dyDescent="0.3">
      <c r="B895" s="661"/>
      <c r="E895" s="661"/>
      <c r="F895" s="661"/>
    </row>
    <row r="896" spans="2:6" x14ac:dyDescent="0.3">
      <c r="B896" s="661"/>
      <c r="E896" s="661"/>
      <c r="F896" s="661"/>
    </row>
    <row r="897" spans="2:6" x14ac:dyDescent="0.3">
      <c r="B897" s="661"/>
      <c r="E897" s="661"/>
      <c r="F897" s="661"/>
    </row>
    <row r="898" spans="2:6" x14ac:dyDescent="0.3">
      <c r="B898" s="661"/>
      <c r="E898" s="661"/>
      <c r="F898" s="661"/>
    </row>
    <row r="899" spans="2:6" x14ac:dyDescent="0.3">
      <c r="B899" s="661"/>
      <c r="E899" s="661"/>
      <c r="F899" s="661"/>
    </row>
    <row r="900" spans="2:6" x14ac:dyDescent="0.3">
      <c r="B900" s="661"/>
      <c r="E900" s="661"/>
      <c r="F900" s="661"/>
    </row>
    <row r="901" spans="2:6" x14ac:dyDescent="0.3">
      <c r="B901" s="661"/>
      <c r="E901" s="661"/>
      <c r="F901" s="661"/>
    </row>
    <row r="902" spans="2:6" x14ac:dyDescent="0.3">
      <c r="B902" s="661"/>
      <c r="E902" s="661"/>
      <c r="F902" s="661"/>
    </row>
    <row r="903" spans="2:6" x14ac:dyDescent="0.3">
      <c r="B903" s="661"/>
      <c r="E903" s="661"/>
      <c r="F903" s="661"/>
    </row>
    <row r="904" spans="2:6" x14ac:dyDescent="0.3">
      <c r="B904" s="661"/>
      <c r="E904" s="661"/>
      <c r="F904" s="661"/>
    </row>
    <row r="905" spans="2:6" x14ac:dyDescent="0.3">
      <c r="B905" s="661"/>
      <c r="E905" s="661"/>
      <c r="F905" s="661"/>
    </row>
    <row r="906" spans="2:6" x14ac:dyDescent="0.3">
      <c r="B906" s="661"/>
      <c r="E906" s="661"/>
      <c r="F906" s="661"/>
    </row>
    <row r="907" spans="2:6" x14ac:dyDescent="0.3">
      <c r="B907" s="661"/>
      <c r="E907" s="661"/>
      <c r="F907" s="661"/>
    </row>
    <row r="908" spans="2:6" x14ac:dyDescent="0.3">
      <c r="B908" s="661"/>
      <c r="E908" s="661"/>
      <c r="F908" s="661"/>
    </row>
    <row r="909" spans="2:6" x14ac:dyDescent="0.3">
      <c r="B909" s="661"/>
      <c r="E909" s="661"/>
      <c r="F909" s="661"/>
    </row>
    <row r="910" spans="2:6" x14ac:dyDescent="0.3">
      <c r="B910" s="661"/>
      <c r="E910" s="661"/>
      <c r="F910" s="661"/>
    </row>
    <row r="911" spans="2:6" x14ac:dyDescent="0.3">
      <c r="B911" s="661"/>
      <c r="E911" s="661"/>
      <c r="F911" s="661"/>
    </row>
    <row r="912" spans="2:6" x14ac:dyDescent="0.3">
      <c r="B912" s="661"/>
      <c r="E912" s="661"/>
      <c r="F912" s="661"/>
    </row>
    <row r="913" spans="2:6" x14ac:dyDescent="0.3">
      <c r="B913" s="661"/>
      <c r="E913" s="661"/>
      <c r="F913" s="661"/>
    </row>
    <row r="914" spans="2:6" x14ac:dyDescent="0.3">
      <c r="B914" s="661"/>
      <c r="E914" s="661"/>
      <c r="F914" s="661"/>
    </row>
    <row r="915" spans="2:6" x14ac:dyDescent="0.3">
      <c r="B915" s="661"/>
      <c r="E915" s="661"/>
      <c r="F915" s="661"/>
    </row>
    <row r="916" spans="2:6" x14ac:dyDescent="0.3">
      <c r="B916" s="661"/>
      <c r="E916" s="661"/>
      <c r="F916" s="661"/>
    </row>
    <row r="917" spans="2:6" x14ac:dyDescent="0.3">
      <c r="B917" s="661"/>
      <c r="E917" s="661"/>
      <c r="F917" s="661"/>
    </row>
    <row r="918" spans="2:6" x14ac:dyDescent="0.3">
      <c r="B918" s="661"/>
      <c r="E918" s="661"/>
      <c r="F918" s="661"/>
    </row>
    <row r="919" spans="2:6" x14ac:dyDescent="0.3">
      <c r="B919" s="661"/>
      <c r="E919" s="661"/>
      <c r="F919" s="661"/>
    </row>
    <row r="920" spans="2:6" x14ac:dyDescent="0.3">
      <c r="B920" s="661"/>
      <c r="E920" s="661"/>
      <c r="F920" s="661"/>
    </row>
    <row r="921" spans="2:6" x14ac:dyDescent="0.3">
      <c r="B921" s="661"/>
      <c r="E921" s="661"/>
      <c r="F921" s="661"/>
    </row>
    <row r="922" spans="2:6" x14ac:dyDescent="0.3">
      <c r="B922" s="661"/>
      <c r="E922" s="661"/>
      <c r="F922" s="661"/>
    </row>
    <row r="923" spans="2:6" x14ac:dyDescent="0.3">
      <c r="B923" s="661"/>
      <c r="E923" s="661"/>
      <c r="F923" s="661"/>
    </row>
    <row r="924" spans="2:6" x14ac:dyDescent="0.3">
      <c r="B924" s="661"/>
      <c r="E924" s="661"/>
      <c r="F924" s="661"/>
    </row>
    <row r="925" spans="2:6" x14ac:dyDescent="0.3">
      <c r="B925" s="661"/>
      <c r="E925" s="661"/>
      <c r="F925" s="661"/>
    </row>
    <row r="926" spans="2:6" x14ac:dyDescent="0.3">
      <c r="B926" s="661"/>
      <c r="E926" s="661"/>
      <c r="F926" s="661"/>
    </row>
    <row r="927" spans="2:6" x14ac:dyDescent="0.3">
      <c r="B927" s="661"/>
      <c r="E927" s="661"/>
      <c r="F927" s="661"/>
    </row>
    <row r="928" spans="2:6" x14ac:dyDescent="0.3">
      <c r="B928" s="661"/>
      <c r="E928" s="661"/>
      <c r="F928" s="661"/>
    </row>
    <row r="929" spans="2:6" x14ac:dyDescent="0.3">
      <c r="B929" s="661"/>
      <c r="E929" s="661"/>
      <c r="F929" s="661"/>
    </row>
    <row r="930" spans="2:6" x14ac:dyDescent="0.3">
      <c r="B930" s="661"/>
      <c r="E930" s="661"/>
      <c r="F930" s="661"/>
    </row>
    <row r="931" spans="2:6" x14ac:dyDescent="0.3">
      <c r="B931" s="661"/>
      <c r="E931" s="661"/>
      <c r="F931" s="661"/>
    </row>
    <row r="932" spans="2:6" x14ac:dyDescent="0.3">
      <c r="B932" s="661"/>
      <c r="E932" s="661"/>
      <c r="F932" s="661"/>
    </row>
    <row r="933" spans="2:6" x14ac:dyDescent="0.3">
      <c r="B933" s="661"/>
      <c r="E933" s="661"/>
      <c r="F933" s="661"/>
    </row>
    <row r="934" spans="2:6" x14ac:dyDescent="0.3">
      <c r="B934" s="661"/>
      <c r="E934" s="661"/>
      <c r="F934" s="661"/>
    </row>
    <row r="935" spans="2:6" x14ac:dyDescent="0.3">
      <c r="B935" s="661"/>
      <c r="E935" s="661"/>
      <c r="F935" s="661"/>
    </row>
    <row r="936" spans="2:6" x14ac:dyDescent="0.3">
      <c r="B936" s="661"/>
      <c r="E936" s="661"/>
      <c r="F936" s="661"/>
    </row>
    <row r="937" spans="2:6" x14ac:dyDescent="0.3">
      <c r="B937" s="661"/>
      <c r="E937" s="661"/>
      <c r="F937" s="661"/>
    </row>
    <row r="938" spans="2:6" x14ac:dyDescent="0.3">
      <c r="B938" s="661"/>
      <c r="E938" s="661"/>
      <c r="F938" s="661"/>
    </row>
    <row r="939" spans="2:6" x14ac:dyDescent="0.3">
      <c r="B939" s="661"/>
      <c r="E939" s="661"/>
      <c r="F939" s="661"/>
    </row>
    <row r="940" spans="2:6" x14ac:dyDescent="0.3">
      <c r="B940" s="661"/>
      <c r="E940" s="661"/>
      <c r="F940" s="661"/>
    </row>
    <row r="941" spans="2:6" x14ac:dyDescent="0.3">
      <c r="B941" s="661"/>
      <c r="E941" s="661"/>
      <c r="F941" s="661"/>
    </row>
    <row r="942" spans="2:6" x14ac:dyDescent="0.3">
      <c r="B942" s="661"/>
      <c r="E942" s="661"/>
      <c r="F942" s="661"/>
    </row>
    <row r="943" spans="2:6" x14ac:dyDescent="0.3">
      <c r="B943" s="661"/>
      <c r="E943" s="661"/>
      <c r="F943" s="661"/>
    </row>
    <row r="944" spans="2:6" x14ac:dyDescent="0.3">
      <c r="B944" s="661"/>
      <c r="E944" s="661"/>
      <c r="F944" s="661"/>
    </row>
    <row r="945" spans="2:6" x14ac:dyDescent="0.3">
      <c r="B945" s="661"/>
      <c r="E945" s="661"/>
      <c r="F945" s="661"/>
    </row>
    <row r="946" spans="2:6" x14ac:dyDescent="0.3">
      <c r="B946" s="661"/>
      <c r="E946" s="661"/>
      <c r="F946" s="661"/>
    </row>
    <row r="947" spans="2:6" x14ac:dyDescent="0.3">
      <c r="B947" s="661"/>
      <c r="E947" s="661"/>
      <c r="F947" s="661"/>
    </row>
    <row r="948" spans="2:6" x14ac:dyDescent="0.3">
      <c r="B948" s="661"/>
      <c r="E948" s="661"/>
      <c r="F948" s="661"/>
    </row>
    <row r="949" spans="2:6" x14ac:dyDescent="0.3">
      <c r="B949" s="661"/>
      <c r="E949" s="661"/>
      <c r="F949" s="661"/>
    </row>
    <row r="950" spans="2:6" x14ac:dyDescent="0.3">
      <c r="B950" s="661"/>
      <c r="E950" s="661"/>
      <c r="F950" s="661"/>
    </row>
    <row r="951" spans="2:6" x14ac:dyDescent="0.3">
      <c r="B951" s="661"/>
      <c r="E951" s="661"/>
      <c r="F951" s="661"/>
    </row>
    <row r="952" spans="2:6" x14ac:dyDescent="0.3">
      <c r="B952" s="661"/>
      <c r="E952" s="661"/>
      <c r="F952" s="661"/>
    </row>
    <row r="953" spans="2:6" x14ac:dyDescent="0.3">
      <c r="B953" s="661"/>
      <c r="E953" s="661"/>
      <c r="F953" s="661"/>
    </row>
    <row r="954" spans="2:6" x14ac:dyDescent="0.3">
      <c r="B954" s="661"/>
      <c r="E954" s="661"/>
      <c r="F954" s="661"/>
    </row>
    <row r="955" spans="2:6" x14ac:dyDescent="0.3">
      <c r="B955" s="661"/>
      <c r="E955" s="661"/>
      <c r="F955" s="661"/>
    </row>
    <row r="956" spans="2:6" x14ac:dyDescent="0.3">
      <c r="B956" s="661"/>
      <c r="E956" s="661"/>
      <c r="F956" s="661"/>
    </row>
    <row r="957" spans="2:6" x14ac:dyDescent="0.3">
      <c r="B957" s="661"/>
      <c r="E957" s="661"/>
      <c r="F957" s="661"/>
    </row>
    <row r="958" spans="2:6" x14ac:dyDescent="0.3">
      <c r="B958" s="661"/>
      <c r="E958" s="661"/>
      <c r="F958" s="661"/>
    </row>
    <row r="959" spans="2:6" x14ac:dyDescent="0.3">
      <c r="B959" s="661"/>
      <c r="E959" s="661"/>
      <c r="F959" s="661"/>
    </row>
    <row r="960" spans="2:6" x14ac:dyDescent="0.3">
      <c r="B960" s="661"/>
      <c r="E960" s="661"/>
      <c r="F960" s="661"/>
    </row>
    <row r="961" spans="2:6" x14ac:dyDescent="0.3">
      <c r="B961" s="661"/>
      <c r="E961" s="661"/>
      <c r="F961" s="661"/>
    </row>
    <row r="962" spans="2:6" x14ac:dyDescent="0.3">
      <c r="B962" s="661"/>
      <c r="E962" s="661"/>
      <c r="F962" s="661"/>
    </row>
    <row r="963" spans="2:6" x14ac:dyDescent="0.3">
      <c r="B963" s="661"/>
      <c r="E963" s="661"/>
      <c r="F963" s="661"/>
    </row>
  </sheetData>
  <mergeCells count="10">
    <mergeCell ref="B94:H94"/>
    <mergeCell ref="B95:H95"/>
    <mergeCell ref="B2:H3"/>
    <mergeCell ref="R25:S25"/>
    <mergeCell ref="B62:H62"/>
    <mergeCell ref="B63:H63"/>
    <mergeCell ref="B73:H73"/>
    <mergeCell ref="B74:H74"/>
    <mergeCell ref="B84:H84"/>
    <mergeCell ref="B85:H85"/>
  </mergeCells>
  <printOptions horizontalCentered="1"/>
  <pageMargins left="0.5" right="0.5" top="1" bottom="0.5" header="0.3" footer="0.3"/>
  <pageSetup paperSize="9" scale="1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FFFF00"/>
    <pageSetUpPr fitToPage="1"/>
  </sheetPr>
  <dimension ref="A1:AG107"/>
  <sheetViews>
    <sheetView topLeftCell="F1" zoomScale="70" zoomScaleNormal="70" workbookViewId="0">
      <selection activeCell="B22" sqref="B22:L22"/>
    </sheetView>
  </sheetViews>
  <sheetFormatPr defaultColWidth="12.5" defaultRowHeight="12.5" x14ac:dyDescent="0.25"/>
  <cols>
    <col min="1" max="1" width="12.5" style="14" customWidth="1"/>
    <col min="2" max="2" width="31.414062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7" width="5" style="14" customWidth="1"/>
    <col min="18" max="27" width="12.5" style="14"/>
    <col min="28" max="28" width="6.75" style="14" customWidth="1"/>
    <col min="29" max="16384" width="12.5" style="14"/>
  </cols>
  <sheetData>
    <row r="1" spans="1:33" ht="28.5" customHeight="1" x14ac:dyDescent="0.25">
      <c r="B1" s="79" t="s">
        <v>235</v>
      </c>
      <c r="C1" s="80">
        <v>1000</v>
      </c>
      <c r="D1" s="81" t="s">
        <v>236</v>
      </c>
      <c r="E1" s="116">
        <f>S30</f>
        <v>16500</v>
      </c>
      <c r="F1" s="79" t="s">
        <v>237</v>
      </c>
      <c r="G1" s="116">
        <f>E1/C1</f>
        <v>16.5</v>
      </c>
      <c r="H1" s="79" t="s">
        <v>238</v>
      </c>
      <c r="I1" s="116">
        <f>G1/K1</f>
        <v>16.5</v>
      </c>
      <c r="J1" s="325" t="s">
        <v>239</v>
      </c>
      <c r="K1" s="326">
        <v>1</v>
      </c>
      <c r="L1" s="99"/>
      <c r="M1" s="99" t="s">
        <v>344</v>
      </c>
      <c r="N1" s="99"/>
      <c r="O1" s="99"/>
      <c r="P1" s="99"/>
      <c r="Q1" s="99"/>
      <c r="R1" s="99"/>
      <c r="S1" s="99"/>
      <c r="T1" s="99"/>
      <c r="U1" s="99"/>
      <c r="V1" s="99"/>
      <c r="Y1" s="90" t="s">
        <v>463</v>
      </c>
      <c r="Z1" s="835">
        <v>16500</v>
      </c>
      <c r="AA1" s="90" t="s">
        <v>578</v>
      </c>
      <c r="AB1" s="835">
        <v>0</v>
      </c>
      <c r="AC1" s="90" t="s">
        <v>567</v>
      </c>
      <c r="AD1" s="835">
        <v>110</v>
      </c>
    </row>
    <row r="2" spans="1:33" ht="12.75" customHeight="1" x14ac:dyDescent="0.25">
      <c r="A2" s="329"/>
      <c r="B2" s="1443" t="s">
        <v>345</v>
      </c>
      <c r="C2" s="1466"/>
      <c r="D2" s="1466"/>
      <c r="E2" s="1466"/>
      <c r="F2" s="1466"/>
      <c r="G2" s="1466"/>
      <c r="H2" s="1466"/>
      <c r="I2" s="99"/>
      <c r="J2" s="99"/>
      <c r="K2" s="99"/>
      <c r="L2" s="99"/>
      <c r="M2" s="99"/>
      <c r="N2" s="99"/>
      <c r="O2" s="99"/>
      <c r="P2" s="99"/>
      <c r="Q2" s="99"/>
      <c r="R2" s="99"/>
      <c r="S2" s="99"/>
      <c r="T2" s="99"/>
      <c r="U2" s="99"/>
      <c r="AE2" s="1452"/>
      <c r="AF2" s="1460"/>
      <c r="AG2" s="1460"/>
    </row>
    <row r="3" spans="1:33" ht="12.75" customHeight="1" x14ac:dyDescent="0.25">
      <c r="A3" s="329"/>
      <c r="B3" s="1444"/>
      <c r="C3" s="1444"/>
      <c r="D3" s="1444"/>
      <c r="E3" s="1444"/>
      <c r="F3" s="1444"/>
      <c r="G3" s="1444"/>
      <c r="H3" s="1444"/>
      <c r="N3" s="99"/>
      <c r="O3" s="99"/>
      <c r="P3" s="99"/>
      <c r="Q3" s="99"/>
      <c r="R3" s="99"/>
      <c r="S3" s="99"/>
      <c r="T3" s="99"/>
      <c r="U3" s="99"/>
      <c r="AE3" s="1460"/>
      <c r="AF3" s="1460"/>
      <c r="AG3" s="1460"/>
    </row>
    <row r="4" spans="1:33" ht="68.75" customHeight="1" x14ac:dyDescent="0.25">
      <c r="A4" s="90" t="s">
        <v>1</v>
      </c>
      <c r="B4" s="90" t="s">
        <v>245</v>
      </c>
      <c r="C4" s="106" t="s">
        <v>246</v>
      </c>
      <c r="D4" s="90" t="s">
        <v>235</v>
      </c>
      <c r="E4" s="217" t="s">
        <v>238</v>
      </c>
      <c r="F4" s="107" t="s">
        <v>247</v>
      </c>
      <c r="G4" s="90" t="s">
        <v>248</v>
      </c>
      <c r="H4" s="106" t="s">
        <v>339</v>
      </c>
      <c r="I4" s="90" t="s">
        <v>250</v>
      </c>
      <c r="J4" s="90" t="s">
        <v>251</v>
      </c>
      <c r="K4" s="90" t="s">
        <v>252</v>
      </c>
      <c r="L4" s="90" t="s">
        <v>253</v>
      </c>
      <c r="M4" s="99"/>
      <c r="N4" s="99"/>
      <c r="O4" s="99"/>
      <c r="P4" s="99"/>
      <c r="Q4" s="99"/>
      <c r="R4" s="99"/>
    </row>
    <row r="5" spans="1:33" ht="14.25" customHeight="1" x14ac:dyDescent="0.25">
      <c r="A5" s="218"/>
      <c r="B5" s="649"/>
      <c r="C5" s="650"/>
      <c r="D5" s="218"/>
      <c r="E5" s="651"/>
      <c r="F5" s="218"/>
      <c r="G5" s="218"/>
      <c r="H5" s="650"/>
      <c r="I5" s="80"/>
      <c r="J5" s="118"/>
      <c r="K5" s="121"/>
      <c r="L5" s="121"/>
    </row>
    <row r="6" spans="1:33" ht="14.25" customHeight="1" x14ac:dyDescent="0.25">
      <c r="A6" s="294" t="s">
        <v>13</v>
      </c>
      <c r="B6" s="22" t="s">
        <v>19</v>
      </c>
      <c r="C6" s="123" t="s">
        <v>14</v>
      </c>
      <c r="D6" s="1123">
        <v>450</v>
      </c>
      <c r="E6" s="115">
        <f t="shared" ref="E6:E14" si="0">$I$1</f>
        <v>16.5</v>
      </c>
      <c r="F6" s="126">
        <v>1</v>
      </c>
      <c r="G6" s="118">
        <f t="shared" ref="G6:G14" si="1">D6*E6</f>
        <v>7425</v>
      </c>
      <c r="H6" s="119">
        <f t="shared" ref="H6:H14" si="2">G6*F6</f>
        <v>7425</v>
      </c>
      <c r="I6" s="80">
        <f>VLOOKUP(B6,All_Ingredients!$A$1:$F$149,6,FALSE())</f>
        <v>0.84</v>
      </c>
      <c r="J6" s="118">
        <f>VLOOKUP(B6,All_Ingredients!$A$1:$J$149,10,FALSE())</f>
        <v>2.6</v>
      </c>
      <c r="K6" s="121">
        <f t="shared" ref="K6" si="3">(H6/I6)/1000</f>
        <v>8.8392857142857135</v>
      </c>
      <c r="L6" s="121">
        <f t="shared" ref="L6" si="4">K6*J6</f>
        <v>22.982142857142858</v>
      </c>
    </row>
    <row r="7" spans="1:33" ht="14.25" customHeight="1" x14ac:dyDescent="0.25">
      <c r="A7" s="294" t="s">
        <v>13</v>
      </c>
      <c r="B7" s="22" t="s">
        <v>47</v>
      </c>
      <c r="C7" s="123" t="s">
        <v>14</v>
      </c>
      <c r="D7" s="1123">
        <v>450</v>
      </c>
      <c r="E7" s="115">
        <f t="shared" si="0"/>
        <v>16.5</v>
      </c>
      <c r="F7" s="126">
        <v>1</v>
      </c>
      <c r="G7" s="118">
        <f t="shared" si="1"/>
        <v>7425</v>
      </c>
      <c r="H7" s="119">
        <f t="shared" si="2"/>
        <v>7425</v>
      </c>
      <c r="I7" s="80">
        <f>VLOOKUP(B7,All_Ingredients!$A$1:$F$149,6,FALSE())</f>
        <v>0.78</v>
      </c>
      <c r="J7" s="118">
        <f>VLOOKUP(B7,All_Ingredients!$A$1:$J$149,10,FALSE())</f>
        <v>3.7</v>
      </c>
      <c r="K7" s="121">
        <f t="shared" ref="K7:K14" si="5">(H7/I7)/1000</f>
        <v>9.5192307692307701</v>
      </c>
      <c r="L7" s="121">
        <f t="shared" ref="L7:L14" si="6">K7*J7</f>
        <v>35.221153846153854</v>
      </c>
    </row>
    <row r="8" spans="1:33" ht="14.25" customHeight="1" x14ac:dyDescent="0.25">
      <c r="A8" s="294" t="s">
        <v>13</v>
      </c>
      <c r="B8" s="22" t="s">
        <v>28</v>
      </c>
      <c r="C8" s="123" t="s">
        <v>14</v>
      </c>
      <c r="D8" s="1123">
        <v>80</v>
      </c>
      <c r="E8" s="115">
        <f t="shared" si="0"/>
        <v>16.5</v>
      </c>
      <c r="F8" s="126">
        <v>1</v>
      </c>
      <c r="G8" s="118">
        <f t="shared" si="1"/>
        <v>1320</v>
      </c>
      <c r="H8" s="119">
        <f t="shared" si="2"/>
        <v>1320</v>
      </c>
      <c r="I8" s="80">
        <f>VLOOKUP(B8,All_Ingredients!$A$1:$F$149,6,FALSE())</f>
        <v>0.73</v>
      </c>
      <c r="J8" s="118">
        <f>VLOOKUP(B8,All_Ingredients!$A$1:$J$149,10,FALSE())</f>
        <v>8.5</v>
      </c>
      <c r="K8" s="121">
        <f t="shared" si="5"/>
        <v>1.8082191780821917</v>
      </c>
      <c r="L8" s="121">
        <f t="shared" si="6"/>
        <v>15.369863013698629</v>
      </c>
    </row>
    <row r="9" spans="1:33" ht="14.25" customHeight="1" x14ac:dyDescent="0.25">
      <c r="A9" s="294" t="s">
        <v>13</v>
      </c>
      <c r="B9" s="22" t="s">
        <v>30</v>
      </c>
      <c r="C9" s="123" t="s">
        <v>14</v>
      </c>
      <c r="D9" s="1123">
        <v>80</v>
      </c>
      <c r="E9" s="115">
        <f t="shared" si="0"/>
        <v>16.5</v>
      </c>
      <c r="F9" s="126">
        <v>1</v>
      </c>
      <c r="G9" s="118">
        <f t="shared" si="1"/>
        <v>1320</v>
      </c>
      <c r="H9" s="119">
        <f t="shared" si="2"/>
        <v>1320</v>
      </c>
      <c r="I9" s="80">
        <f>VLOOKUP(B9,All_Ingredients!$A$1:$F$149,6,FALSE())</f>
        <v>0.71</v>
      </c>
      <c r="J9" s="118">
        <f>VLOOKUP(B9,All_Ingredients!$A$1:$J$149,10,FALSE())</f>
        <v>8.5</v>
      </c>
      <c r="K9" s="121">
        <f t="shared" si="5"/>
        <v>1.8591549295774648</v>
      </c>
      <c r="L9" s="121">
        <f t="shared" si="6"/>
        <v>15.80281690140845</v>
      </c>
      <c r="S9" s="99" t="s">
        <v>803</v>
      </c>
      <c r="T9" s="99" t="s">
        <v>804</v>
      </c>
      <c r="U9" s="14" t="s">
        <v>807</v>
      </c>
      <c r="V9" s="14" t="s">
        <v>806</v>
      </c>
      <c r="W9" s="14" t="s">
        <v>805</v>
      </c>
    </row>
    <row r="10" spans="1:33" ht="14.25" customHeight="1" x14ac:dyDescent="0.25">
      <c r="A10" s="294" t="s">
        <v>13</v>
      </c>
      <c r="B10" s="22" t="s">
        <v>32</v>
      </c>
      <c r="C10" s="123" t="s">
        <v>14</v>
      </c>
      <c r="D10" s="1123">
        <v>80</v>
      </c>
      <c r="E10" s="115">
        <f t="shared" si="0"/>
        <v>16.5</v>
      </c>
      <c r="F10" s="126">
        <v>1</v>
      </c>
      <c r="G10" s="118">
        <f t="shared" si="1"/>
        <v>1320</v>
      </c>
      <c r="H10" s="119">
        <f t="shared" si="2"/>
        <v>1320</v>
      </c>
      <c r="I10" s="80">
        <f>VLOOKUP(B10,All_Ingredients!$A$1:$F$149,6,FALSE())</f>
        <v>0.69</v>
      </c>
      <c r="J10" s="118">
        <f>VLOOKUP(B10,All_Ingredients!$A$1:$J$149,10,FALSE())</f>
        <v>4</v>
      </c>
      <c r="K10" s="121">
        <f t="shared" si="5"/>
        <v>1.9130434782608696</v>
      </c>
      <c r="L10" s="121">
        <f t="shared" si="6"/>
        <v>7.6521739130434785</v>
      </c>
      <c r="S10" s="99">
        <v>4600</v>
      </c>
      <c r="T10" s="99">
        <v>4200</v>
      </c>
      <c r="U10" s="14">
        <v>2100</v>
      </c>
      <c r="V10" s="14">
        <v>1600</v>
      </c>
      <c r="W10" s="14">
        <v>1000</v>
      </c>
    </row>
    <row r="11" spans="1:33" ht="14.25" customHeight="1" x14ac:dyDescent="0.25">
      <c r="A11" s="294" t="s">
        <v>13</v>
      </c>
      <c r="B11" s="22" t="s">
        <v>50</v>
      </c>
      <c r="C11" s="123" t="s">
        <v>14</v>
      </c>
      <c r="D11" s="1123">
        <v>80</v>
      </c>
      <c r="E11" s="115">
        <f t="shared" si="0"/>
        <v>16.5</v>
      </c>
      <c r="F11" s="126">
        <v>1</v>
      </c>
      <c r="G11" s="118">
        <f t="shared" si="1"/>
        <v>1320</v>
      </c>
      <c r="H11" s="119">
        <f t="shared" si="2"/>
        <v>1320</v>
      </c>
      <c r="I11" s="80">
        <f>VLOOKUP(B11,All_Ingredients!$A$1:$F$149,6,FALSE())</f>
        <v>0.75</v>
      </c>
      <c r="J11" s="118">
        <f>VLOOKUP(B11,All_Ingredients!$A$1:$J$149,10,FALSE())</f>
        <v>20</v>
      </c>
      <c r="K11" s="121">
        <f t="shared" si="5"/>
        <v>1.76</v>
      </c>
      <c r="L11" s="121">
        <f t="shared" si="6"/>
        <v>35.200000000000003</v>
      </c>
      <c r="M11" s="99"/>
      <c r="S11" s="99">
        <v>3800</v>
      </c>
      <c r="T11" s="99">
        <v>4100</v>
      </c>
      <c r="U11" s="14">
        <v>1700</v>
      </c>
      <c r="W11" s="14">
        <v>650</v>
      </c>
    </row>
    <row r="12" spans="1:33" ht="14.25" customHeight="1" x14ac:dyDescent="0.25">
      <c r="A12" s="294" t="s">
        <v>220</v>
      </c>
      <c r="B12" s="22" t="s">
        <v>545</v>
      </c>
      <c r="C12" s="123" t="s">
        <v>14</v>
      </c>
      <c r="D12" s="1123">
        <v>80</v>
      </c>
      <c r="E12" s="115">
        <f t="shared" si="0"/>
        <v>16.5</v>
      </c>
      <c r="F12" s="126">
        <v>1</v>
      </c>
      <c r="G12" s="118">
        <f t="shared" si="1"/>
        <v>1320</v>
      </c>
      <c r="H12" s="119">
        <f t="shared" si="2"/>
        <v>1320</v>
      </c>
      <c r="I12" s="80">
        <f>VLOOKUP(B12,All_Ingredients!$A$1:$F$149,6,FALSE())</f>
        <v>1</v>
      </c>
      <c r="J12" s="118">
        <f>VLOOKUP(B12,All_Ingredients!$A$1:$J$149,10,FALSE())</f>
        <v>10.196078431372548</v>
      </c>
      <c r="K12" s="121">
        <f t="shared" si="5"/>
        <v>1.32</v>
      </c>
      <c r="L12" s="121">
        <f t="shared" si="6"/>
        <v>13.458823529411765</v>
      </c>
      <c r="S12" s="99">
        <f>S10+S11</f>
        <v>8400</v>
      </c>
      <c r="T12" s="99">
        <f>T10+T11</f>
        <v>8300</v>
      </c>
      <c r="U12" s="99">
        <f>U10+U11</f>
        <v>3800</v>
      </c>
      <c r="V12" s="99">
        <f t="shared" ref="V12" si="7">V10+V11</f>
        <v>1600</v>
      </c>
      <c r="W12" s="99">
        <f>W10+W11</f>
        <v>1650</v>
      </c>
      <c r="X12" s="14">
        <v>23750</v>
      </c>
    </row>
    <row r="13" spans="1:33" ht="14.25" customHeight="1" x14ac:dyDescent="0.25">
      <c r="A13" s="294" t="s">
        <v>95</v>
      </c>
      <c r="B13" s="322" t="s">
        <v>94</v>
      </c>
      <c r="C13" s="123" t="s">
        <v>14</v>
      </c>
      <c r="D13" s="115">
        <v>4</v>
      </c>
      <c r="E13" s="115">
        <f t="shared" si="0"/>
        <v>16.5</v>
      </c>
      <c r="F13" s="126">
        <v>0.75</v>
      </c>
      <c r="G13" s="118">
        <f t="shared" si="1"/>
        <v>66</v>
      </c>
      <c r="H13" s="119">
        <f t="shared" si="2"/>
        <v>49.5</v>
      </c>
      <c r="I13" s="80">
        <f>VLOOKUP(B13,All_Ingredients!$A$1:$F$149,6,FALSE())</f>
        <v>1</v>
      </c>
      <c r="J13" s="118">
        <f>VLOOKUP(B13,All_Ingredients!$A$1:$J$149,10,FALSE())</f>
        <v>0.74</v>
      </c>
      <c r="K13" s="121">
        <f t="shared" si="5"/>
        <v>4.9500000000000002E-2</v>
      </c>
      <c r="L13" s="121">
        <f t="shared" si="6"/>
        <v>3.6630000000000003E-2</v>
      </c>
      <c r="S13" s="99"/>
      <c r="T13" s="99"/>
      <c r="U13" s="14" t="s">
        <v>574</v>
      </c>
    </row>
    <row r="14" spans="1:33" ht="14.25" customHeight="1" x14ac:dyDescent="0.25">
      <c r="A14" s="294" t="s">
        <v>95</v>
      </c>
      <c r="B14" s="322" t="s">
        <v>100</v>
      </c>
      <c r="C14" s="123" t="s">
        <v>14</v>
      </c>
      <c r="D14" s="196">
        <v>0.5</v>
      </c>
      <c r="E14" s="115">
        <f t="shared" si="0"/>
        <v>16.5</v>
      </c>
      <c r="F14" s="126">
        <v>1</v>
      </c>
      <c r="G14" s="118">
        <f t="shared" si="1"/>
        <v>8.25</v>
      </c>
      <c r="H14" s="119">
        <f t="shared" si="2"/>
        <v>8.25</v>
      </c>
      <c r="I14" s="80">
        <f>VLOOKUP(B14,All_Ingredients!$A$1:$F$149,6,FALSE())</f>
        <v>1</v>
      </c>
      <c r="J14" s="118">
        <f>VLOOKUP(B14,All_Ingredients!$A$1:$J$149,10,FALSE())</f>
        <v>31</v>
      </c>
      <c r="K14" s="121">
        <f t="shared" si="5"/>
        <v>8.2500000000000004E-3</v>
      </c>
      <c r="L14" s="121">
        <f t="shared" si="6"/>
        <v>0.25575000000000003</v>
      </c>
      <c r="S14" s="99"/>
      <c r="T14" s="99"/>
    </row>
    <row r="15" spans="1:33" ht="14.25" customHeight="1" x14ac:dyDescent="0.25">
      <c r="B15" s="355"/>
      <c r="C15" s="356"/>
      <c r="D15" s="358"/>
      <c r="E15" s="358"/>
      <c r="F15" s="359"/>
      <c r="G15" s="360"/>
      <c r="H15" s="361"/>
      <c r="S15" s="99"/>
      <c r="T15" s="99"/>
    </row>
    <row r="16" spans="1:33" ht="14.25" customHeight="1" x14ac:dyDescent="0.25">
      <c r="E16" s="224"/>
      <c r="F16" s="135"/>
      <c r="G16" s="139"/>
      <c r="H16" s="137"/>
      <c r="S16" s="99"/>
      <c r="T16" s="99"/>
    </row>
    <row r="17" spans="2:29" ht="14.25" customHeight="1" x14ac:dyDescent="0.25">
      <c r="E17" s="99"/>
      <c r="F17" s="99"/>
      <c r="S17" s="99">
        <v>11400</v>
      </c>
      <c r="T17" s="99"/>
    </row>
    <row r="18" spans="2:29" ht="14.25" customHeight="1" x14ac:dyDescent="0.25">
      <c r="E18" s="99"/>
      <c r="F18" s="99"/>
      <c r="S18" s="99">
        <v>7900</v>
      </c>
      <c r="T18" s="99"/>
    </row>
    <row r="19" spans="2:29" ht="14.25" customHeight="1" x14ac:dyDescent="0.25">
      <c r="E19" s="99"/>
      <c r="F19" s="99"/>
      <c r="S19" s="99"/>
      <c r="T19" s="99"/>
    </row>
    <row r="20" spans="2:29" ht="12.75" customHeight="1" x14ac:dyDescent="0.25">
      <c r="E20" s="99"/>
      <c r="F20" s="99"/>
      <c r="S20" s="99">
        <v>19300</v>
      </c>
      <c r="T20" s="99"/>
    </row>
    <row r="21" spans="2:29" ht="12.75" customHeight="1" x14ac:dyDescent="0.25">
      <c r="E21" s="99"/>
      <c r="F21" s="99"/>
    </row>
    <row r="22" spans="2:29" ht="12.75" customHeight="1" x14ac:dyDescent="0.25">
      <c r="B22" s="99"/>
      <c r="E22" s="99"/>
      <c r="F22" s="99"/>
    </row>
    <row r="23" spans="2:29" ht="12.75" customHeight="1" x14ac:dyDescent="0.25">
      <c r="B23" s="99"/>
      <c r="E23" s="99"/>
      <c r="F23" s="99"/>
    </row>
    <row r="24" spans="2:29" ht="12.75" customHeight="1" x14ac:dyDescent="0.25">
      <c r="B24" s="99"/>
      <c r="Z24" s="1208"/>
    </row>
    <row r="25" spans="2:29" ht="12.75" customHeight="1" x14ac:dyDescent="0.3">
      <c r="B25" s="99"/>
      <c r="R25" s="1467" t="s">
        <v>346</v>
      </c>
      <c r="S25" s="1444"/>
      <c r="T25" s="1444"/>
      <c r="Z25" s="140" t="s">
        <v>14</v>
      </c>
      <c r="AA25" s="141">
        <v>1</v>
      </c>
      <c r="AB25" s="140" t="s">
        <v>253</v>
      </c>
      <c r="AC25" s="142">
        <f>(S31/S30)*AA25</f>
        <v>8.8472335794460046E-3</v>
      </c>
    </row>
    <row r="26" spans="2:29" ht="12.75" customHeight="1" x14ac:dyDescent="0.3">
      <c r="B26" s="99"/>
      <c r="R26" s="1477" t="s">
        <v>342</v>
      </c>
      <c r="S26" s="1446"/>
      <c r="T26" s="1446"/>
    </row>
    <row r="27" spans="2:29" ht="14.25" customHeight="1" x14ac:dyDescent="0.3">
      <c r="B27" s="99"/>
      <c r="R27" s="144" t="s">
        <v>258</v>
      </c>
      <c r="S27" s="144" t="s">
        <v>343</v>
      </c>
      <c r="T27" s="144" t="s">
        <v>261</v>
      </c>
    </row>
    <row r="28" spans="2:29" ht="14.25" customHeight="1" x14ac:dyDescent="0.3">
      <c r="B28" s="99"/>
      <c r="R28" s="144" t="s">
        <v>267</v>
      </c>
      <c r="S28" s="1372">
        <f>T28</f>
        <v>16500</v>
      </c>
      <c r="T28" s="1362">
        <f>$Z$1</f>
        <v>16500</v>
      </c>
      <c r="U28" s="1377"/>
    </row>
    <row r="29" spans="2:29" ht="14.25" customHeight="1" x14ac:dyDescent="0.3">
      <c r="B29" s="99"/>
      <c r="R29" s="144" t="s">
        <v>269</v>
      </c>
      <c r="S29" s="1362">
        <f>$AB$1</f>
        <v>0</v>
      </c>
      <c r="T29" s="787">
        <f>S29</f>
        <v>0</v>
      </c>
      <c r="U29" s="1377"/>
    </row>
    <row r="30" spans="2:29" ht="14.25" customHeight="1" thickBot="1" x14ac:dyDescent="0.35">
      <c r="B30" s="99"/>
      <c r="R30" s="144" t="s">
        <v>261</v>
      </c>
      <c r="S30" s="1397">
        <f>SUM(S28:S29)</f>
        <v>16500</v>
      </c>
      <c r="T30" s="1397">
        <f>S30</f>
        <v>16500</v>
      </c>
      <c r="U30" s="1377"/>
    </row>
    <row r="31" spans="2:29" ht="14.25" customHeight="1" thickBot="1" x14ac:dyDescent="0.35">
      <c r="B31" s="99"/>
      <c r="R31" s="162" t="s">
        <v>253</v>
      </c>
      <c r="S31" s="1125">
        <f>SUM(L6:L14)</f>
        <v>145.97935406085907</v>
      </c>
      <c r="T31" s="1196">
        <f>S31</f>
        <v>145.97935406085907</v>
      </c>
    </row>
    <row r="32" spans="2:29" ht="14.25" customHeight="1" x14ac:dyDescent="0.25">
      <c r="B32" s="99"/>
    </row>
    <row r="33" spans="2:6" ht="12.75" customHeight="1" x14ac:dyDescent="0.25">
      <c r="B33" s="99"/>
    </row>
    <row r="34" spans="2:6" ht="12.75" customHeight="1" x14ac:dyDescent="0.25">
      <c r="B34" s="99"/>
    </row>
    <row r="35" spans="2:6" ht="12.75" customHeight="1" x14ac:dyDescent="0.25">
      <c r="B35" s="99"/>
    </row>
    <row r="36" spans="2:6" ht="12.75" customHeight="1" x14ac:dyDescent="0.25">
      <c r="B36" s="99"/>
      <c r="E36" s="99"/>
      <c r="F36" s="99"/>
    </row>
    <row r="37" spans="2:6" ht="12.75" customHeight="1" x14ac:dyDescent="0.25">
      <c r="B37" s="99"/>
      <c r="E37" s="99"/>
      <c r="F37" s="99"/>
    </row>
    <row r="38" spans="2:6" ht="12.75" customHeight="1" x14ac:dyDescent="0.25">
      <c r="B38" s="99"/>
      <c r="E38" s="99"/>
      <c r="F38" s="99"/>
    </row>
    <row r="39" spans="2:6" ht="12.75" customHeight="1" x14ac:dyDescent="0.25">
      <c r="B39" s="99"/>
      <c r="E39" s="99"/>
      <c r="F39" s="99"/>
    </row>
    <row r="40" spans="2:6" ht="12.75" customHeight="1" x14ac:dyDescent="0.25">
      <c r="B40" s="99"/>
      <c r="E40" s="99"/>
      <c r="F40" s="99"/>
    </row>
    <row r="41" spans="2:6" ht="12.75" customHeight="1" x14ac:dyDescent="0.25">
      <c r="B41" s="99"/>
      <c r="E41" s="99"/>
      <c r="F41" s="99"/>
    </row>
    <row r="42" spans="2:6" ht="12.75" customHeight="1" x14ac:dyDescent="0.25">
      <c r="B42" s="99"/>
      <c r="E42" s="99"/>
      <c r="F42" s="99"/>
    </row>
    <row r="43" spans="2:6" ht="14" customHeight="1" x14ac:dyDescent="0.25">
      <c r="B43" s="99"/>
      <c r="E43" s="99"/>
      <c r="F43" s="99"/>
    </row>
    <row r="44" spans="2:6" ht="14" customHeight="1" x14ac:dyDescent="0.25">
      <c r="B44" s="99"/>
      <c r="E44" s="99"/>
      <c r="F44" s="99"/>
    </row>
    <row r="45" spans="2:6" ht="12.75" customHeight="1" x14ac:dyDescent="0.25">
      <c r="B45" s="99"/>
      <c r="E45" s="99"/>
      <c r="F45" s="99"/>
    </row>
    <row r="46" spans="2:6" ht="12.75" customHeight="1" x14ac:dyDescent="0.25">
      <c r="B46" s="99"/>
      <c r="E46" s="99"/>
      <c r="F46" s="99"/>
    </row>
    <row r="47" spans="2:6" ht="12.75" customHeight="1" x14ac:dyDescent="0.25">
      <c r="B47" s="99"/>
      <c r="E47" s="99"/>
      <c r="F47" s="99"/>
    </row>
    <row r="48" spans="2:6" ht="12.75" customHeight="1" x14ac:dyDescent="0.25">
      <c r="B48" s="99"/>
      <c r="E48" s="99"/>
      <c r="F48" s="99"/>
    </row>
    <row r="49" spans="1:8" ht="12.75" customHeight="1" x14ac:dyDescent="0.25">
      <c r="B49" s="99"/>
      <c r="E49" s="99"/>
      <c r="F49" s="99"/>
    </row>
    <row r="50" spans="1:8" ht="12.75" customHeight="1" x14ac:dyDescent="0.3">
      <c r="B50" s="225"/>
      <c r="C50" s="225" t="s">
        <v>237</v>
      </c>
      <c r="D50" s="225" t="s">
        <v>283</v>
      </c>
      <c r="E50" s="99"/>
      <c r="F50" s="99"/>
    </row>
    <row r="51" spans="1:8" ht="12.75" customHeight="1" x14ac:dyDescent="0.3">
      <c r="B51" s="179" t="s">
        <v>287</v>
      </c>
      <c r="C51" s="180">
        <f>10/$K$1</f>
        <v>10</v>
      </c>
      <c r="D51" s="181">
        <f>$C$1*10</f>
        <v>10000</v>
      </c>
      <c r="E51" s="99"/>
      <c r="F51" s="99"/>
    </row>
    <row r="52" spans="1:8" ht="12.75" customHeight="1" x14ac:dyDescent="0.3">
      <c r="B52" s="230" t="s">
        <v>261</v>
      </c>
      <c r="C52" s="232">
        <f>G1</f>
        <v>16.5</v>
      </c>
      <c r="D52" s="232">
        <f>E1</f>
        <v>16500</v>
      </c>
      <c r="E52" s="99"/>
      <c r="F52" s="99"/>
    </row>
    <row r="53" spans="1:8" ht="12.75" customHeight="1" x14ac:dyDescent="0.3">
      <c r="B53" s="230" t="s">
        <v>288</v>
      </c>
      <c r="C53" s="233">
        <f>MIN($C$52, $C$51)</f>
        <v>10</v>
      </c>
      <c r="D53" s="232">
        <f>(C53*$K$1)*$C$1</f>
        <v>10000</v>
      </c>
      <c r="E53" s="99"/>
      <c r="F53" s="99"/>
    </row>
    <row r="54" spans="1:8" ht="12.75" customHeight="1" x14ac:dyDescent="0.3">
      <c r="B54" s="230" t="s">
        <v>289</v>
      </c>
      <c r="C54" s="233">
        <f>MIN(MAX($C$52-C53,0),$C$51)</f>
        <v>6.5</v>
      </c>
      <c r="D54" s="232">
        <f>(C54*$K$1)*$C$1</f>
        <v>6500</v>
      </c>
      <c r="E54" s="99"/>
      <c r="F54" s="99"/>
    </row>
    <row r="55" spans="1:8" ht="12.75" customHeight="1" x14ac:dyDescent="0.3">
      <c r="B55" s="230" t="s">
        <v>290</v>
      </c>
      <c r="C55" s="233">
        <f>MIN(MAX($C$52-C53-C54,0),$C$51)</f>
        <v>0</v>
      </c>
      <c r="D55" s="232">
        <f>(C55*$K$1)*$C$1</f>
        <v>0</v>
      </c>
      <c r="E55" s="99"/>
      <c r="F55" s="99"/>
    </row>
    <row r="56" spans="1:8" ht="12.75" customHeight="1" x14ac:dyDescent="0.25">
      <c r="B56" s="99"/>
      <c r="E56" s="99"/>
      <c r="F56" s="99"/>
    </row>
    <row r="57" spans="1:8" ht="12.75" customHeight="1" x14ac:dyDescent="0.25">
      <c r="B57" s="99"/>
      <c r="E57" s="99"/>
      <c r="F57" s="99"/>
    </row>
    <row r="58" spans="1:8" ht="12.75" customHeight="1" x14ac:dyDescent="0.25">
      <c r="B58" s="99"/>
      <c r="E58" s="99"/>
      <c r="F58" s="99"/>
    </row>
    <row r="59" spans="1:8" ht="12.75" customHeight="1" x14ac:dyDescent="0.25">
      <c r="B59" s="99"/>
      <c r="E59" s="99"/>
      <c r="F59" s="99"/>
    </row>
    <row r="60" spans="1:8" x14ac:dyDescent="0.25">
      <c r="B60" s="99"/>
      <c r="E60" s="99"/>
      <c r="F60" s="99"/>
    </row>
    <row r="62" spans="1:8" ht="17.75" customHeight="1" x14ac:dyDescent="0.3">
      <c r="A62" s="927"/>
      <c r="B62" s="1438" t="s">
        <v>825</v>
      </c>
      <c r="C62" s="1439"/>
      <c r="D62" s="1439"/>
      <c r="E62" s="1439"/>
      <c r="F62" s="1439"/>
      <c r="G62" s="1439"/>
      <c r="H62" s="1439"/>
    </row>
    <row r="63" spans="1:8" ht="14" x14ac:dyDescent="0.3">
      <c r="A63" s="927"/>
      <c r="B63" s="1436" t="s">
        <v>345</v>
      </c>
      <c r="C63" s="1437"/>
      <c r="D63" s="1437"/>
      <c r="E63" s="1437"/>
      <c r="F63" s="1437"/>
      <c r="G63" s="1437"/>
      <c r="H63" s="1437"/>
    </row>
    <row r="64" spans="1:8" ht="52.25" customHeight="1" x14ac:dyDescent="0.25">
      <c r="A64" s="90"/>
      <c r="B64" s="242" t="s">
        <v>245</v>
      </c>
      <c r="C64" s="243" t="s">
        <v>246</v>
      </c>
      <c r="D64" s="244" t="s">
        <v>235</v>
      </c>
      <c r="E64" s="217" t="s">
        <v>238</v>
      </c>
      <c r="F64" s="217" t="s">
        <v>247</v>
      </c>
      <c r="G64" s="244" t="s">
        <v>248</v>
      </c>
      <c r="H64" s="217" t="s">
        <v>249</v>
      </c>
    </row>
    <row r="65" spans="1:8" ht="14.25" customHeight="1" x14ac:dyDescent="0.25">
      <c r="A65" s="294" t="s">
        <v>13</v>
      </c>
      <c r="B65" s="322" t="str">
        <f t="shared" ref="B65:D73" si="8">B6</f>
        <v>Carrot - جزر</v>
      </c>
      <c r="C65" s="123" t="str">
        <f t="shared" si="8"/>
        <v>gm</v>
      </c>
      <c r="D65" s="115">
        <f t="shared" si="8"/>
        <v>450</v>
      </c>
      <c r="E65" s="115">
        <f>$C$52</f>
        <v>16.5</v>
      </c>
      <c r="F65" s="126">
        <f t="shared" ref="F65:F73" si="9">F6</f>
        <v>1</v>
      </c>
      <c r="G65" s="118">
        <f t="shared" ref="G65:G73" si="10">D65*E65</f>
        <v>7425</v>
      </c>
      <c r="H65" s="119">
        <f t="shared" ref="H65:H73" si="11">G65*F65</f>
        <v>7425</v>
      </c>
    </row>
    <row r="66" spans="1:8" ht="14.25" customHeight="1" x14ac:dyDescent="0.25">
      <c r="A66" s="294" t="s">
        <v>13</v>
      </c>
      <c r="B66" s="322" t="str">
        <f t="shared" si="8"/>
        <v>Zucchini - كوسة</v>
      </c>
      <c r="C66" s="123" t="str">
        <f t="shared" si="8"/>
        <v>gm</v>
      </c>
      <c r="D66" s="115">
        <f t="shared" si="8"/>
        <v>450</v>
      </c>
      <c r="E66" s="115">
        <f t="shared" ref="E66:E73" si="12">$C$52</f>
        <v>16.5</v>
      </c>
      <c r="F66" s="126">
        <f t="shared" si="9"/>
        <v>1</v>
      </c>
      <c r="G66" s="118">
        <f t="shared" si="10"/>
        <v>7425</v>
      </c>
      <c r="H66" s="119">
        <f t="shared" si="11"/>
        <v>7425</v>
      </c>
    </row>
    <row r="67" spans="1:8" ht="14.25" customHeight="1" x14ac:dyDescent="0.25">
      <c r="A67" s="294" t="s">
        <v>13</v>
      </c>
      <c r="B67" s="322" t="str">
        <f t="shared" si="8"/>
        <v xml:space="preserve">Red Bell Pepper - فلفل أحمر </v>
      </c>
      <c r="C67" s="123" t="str">
        <f t="shared" si="8"/>
        <v>gm</v>
      </c>
      <c r="D67" s="115">
        <f t="shared" si="8"/>
        <v>80</v>
      </c>
      <c r="E67" s="115">
        <f t="shared" si="12"/>
        <v>16.5</v>
      </c>
      <c r="F67" s="126">
        <f t="shared" si="9"/>
        <v>1</v>
      </c>
      <c r="G67" s="118">
        <f t="shared" si="10"/>
        <v>1320</v>
      </c>
      <c r="H67" s="119">
        <f t="shared" si="11"/>
        <v>1320</v>
      </c>
    </row>
    <row r="68" spans="1:8" ht="14.25" customHeight="1" x14ac:dyDescent="0.25">
      <c r="A68" s="294" t="s">
        <v>13</v>
      </c>
      <c r="B68" s="322" t="str">
        <f t="shared" si="8"/>
        <v xml:space="preserve">Yellow Bell Pepper - فلفل أصفر </v>
      </c>
      <c r="C68" s="123" t="str">
        <f t="shared" si="8"/>
        <v>gm</v>
      </c>
      <c r="D68" s="115">
        <f t="shared" si="8"/>
        <v>80</v>
      </c>
      <c r="E68" s="115">
        <f t="shared" si="12"/>
        <v>16.5</v>
      </c>
      <c r="F68" s="126">
        <f t="shared" si="9"/>
        <v>1</v>
      </c>
      <c r="G68" s="118">
        <f t="shared" si="10"/>
        <v>1320</v>
      </c>
      <c r="H68" s="119">
        <f t="shared" si="11"/>
        <v>1320</v>
      </c>
    </row>
    <row r="69" spans="1:8" ht="14.25" customHeight="1" x14ac:dyDescent="0.25">
      <c r="A69" s="294" t="s">
        <v>13</v>
      </c>
      <c r="B69" s="322" t="str">
        <f t="shared" si="8"/>
        <v>Green Bell Pepper - فلفل أخضر رومى</v>
      </c>
      <c r="C69" s="123" t="str">
        <f t="shared" si="8"/>
        <v>gm</v>
      </c>
      <c r="D69" s="115">
        <f t="shared" si="8"/>
        <v>80</v>
      </c>
      <c r="E69" s="115">
        <f t="shared" si="12"/>
        <v>16.5</v>
      </c>
      <c r="F69" s="126">
        <f t="shared" si="9"/>
        <v>1</v>
      </c>
      <c r="G69" s="118">
        <f t="shared" si="10"/>
        <v>1320</v>
      </c>
      <c r="H69" s="119">
        <f t="shared" si="11"/>
        <v>1320</v>
      </c>
    </row>
    <row r="70" spans="1:8" ht="14.25" customHeight="1" x14ac:dyDescent="0.25">
      <c r="A70" s="294" t="s">
        <v>13</v>
      </c>
      <c r="B70" s="322" t="str">
        <f t="shared" si="8"/>
        <v>Chinese Cabbage - ملفوف صيني</v>
      </c>
      <c r="C70" s="123" t="str">
        <f t="shared" si="8"/>
        <v>gm</v>
      </c>
      <c r="D70" s="115">
        <f t="shared" si="8"/>
        <v>80</v>
      </c>
      <c r="E70" s="115">
        <f t="shared" si="12"/>
        <v>16.5</v>
      </c>
      <c r="F70" s="126">
        <f t="shared" si="9"/>
        <v>1</v>
      </c>
      <c r="G70" s="118">
        <f t="shared" si="10"/>
        <v>1320</v>
      </c>
      <c r="H70" s="119">
        <f t="shared" si="11"/>
        <v>1320</v>
      </c>
    </row>
    <row r="71" spans="1:8" ht="14.25" customHeight="1" x14ac:dyDescent="0.25">
      <c r="A71" s="294" t="s">
        <v>220</v>
      </c>
      <c r="B71" s="322" t="str">
        <f t="shared" si="8"/>
        <v>Sweet Corn - ذرة حلوة</v>
      </c>
      <c r="C71" s="123" t="str">
        <f t="shared" si="8"/>
        <v>gm</v>
      </c>
      <c r="D71" s="115">
        <f t="shared" si="8"/>
        <v>80</v>
      </c>
      <c r="E71" s="115">
        <f t="shared" si="12"/>
        <v>16.5</v>
      </c>
      <c r="F71" s="126">
        <f t="shared" si="9"/>
        <v>1</v>
      </c>
      <c r="G71" s="118">
        <f t="shared" si="10"/>
        <v>1320</v>
      </c>
      <c r="H71" s="119">
        <f t="shared" si="11"/>
        <v>1320</v>
      </c>
    </row>
    <row r="72" spans="1:8" ht="14.25" customHeight="1" x14ac:dyDescent="0.25">
      <c r="A72" s="294" t="s">
        <v>95</v>
      </c>
      <c r="B72" s="322" t="str">
        <f t="shared" si="8"/>
        <v>Salt - ملح</v>
      </c>
      <c r="C72" s="123" t="str">
        <f t="shared" si="8"/>
        <v>gm</v>
      </c>
      <c r="D72" s="115">
        <f t="shared" si="8"/>
        <v>4</v>
      </c>
      <c r="E72" s="115">
        <f t="shared" si="12"/>
        <v>16.5</v>
      </c>
      <c r="F72" s="126">
        <f t="shared" si="9"/>
        <v>0.75</v>
      </c>
      <c r="G72" s="118">
        <f t="shared" si="10"/>
        <v>66</v>
      </c>
      <c r="H72" s="119">
        <f t="shared" si="11"/>
        <v>49.5</v>
      </c>
    </row>
    <row r="73" spans="1:8" ht="12.75" customHeight="1" x14ac:dyDescent="0.25">
      <c r="A73" s="294" t="s">
        <v>95</v>
      </c>
      <c r="B73" s="322" t="str">
        <f t="shared" si="8"/>
        <v>Black Pepper Powder - فلفل أسود مطحون</v>
      </c>
      <c r="C73" s="123" t="str">
        <f t="shared" si="8"/>
        <v>gm</v>
      </c>
      <c r="D73" s="196">
        <f t="shared" si="8"/>
        <v>0.5</v>
      </c>
      <c r="E73" s="115">
        <f t="shared" si="12"/>
        <v>16.5</v>
      </c>
      <c r="F73" s="126">
        <f t="shared" si="9"/>
        <v>1</v>
      </c>
      <c r="G73" s="118">
        <f t="shared" si="10"/>
        <v>8.25</v>
      </c>
      <c r="H73" s="119">
        <f t="shared" si="11"/>
        <v>8.25</v>
      </c>
    </row>
    <row r="74" spans="1:8" ht="20.75" customHeight="1" x14ac:dyDescent="0.25">
      <c r="B74" s="197" t="s">
        <v>738</v>
      </c>
      <c r="E74" s="99"/>
      <c r="F74" s="99"/>
    </row>
    <row r="75" spans="1:8" ht="20.75" customHeight="1" x14ac:dyDescent="0.4">
      <c r="B75" s="198">
        <f>D52</f>
        <v>16500</v>
      </c>
      <c r="C75" s="99"/>
      <c r="D75" s="99"/>
      <c r="E75" s="99"/>
      <c r="F75" s="99"/>
      <c r="G75" s="99"/>
    </row>
    <row r="76" spans="1:8" ht="12.75" customHeight="1" x14ac:dyDescent="0.25">
      <c r="B76" s="99"/>
      <c r="E76" s="99"/>
      <c r="F76" s="99"/>
    </row>
    <row r="77" spans="1:8" x14ac:dyDescent="0.25">
      <c r="B77" s="99"/>
      <c r="C77" s="99"/>
      <c r="D77" s="345"/>
      <c r="E77" s="99"/>
      <c r="F77" s="99"/>
      <c r="G77" s="99"/>
      <c r="H77" s="99"/>
    </row>
    <row r="78" spans="1:8" ht="17.75" customHeight="1" x14ac:dyDescent="0.25">
      <c r="A78" s="869"/>
      <c r="B78" s="869"/>
      <c r="C78" s="869"/>
      <c r="D78" s="869"/>
      <c r="E78" s="869"/>
      <c r="F78" s="869"/>
      <c r="G78" s="869"/>
      <c r="H78" s="869"/>
    </row>
    <row r="79" spans="1:8" ht="17.75" customHeight="1" x14ac:dyDescent="0.25">
      <c r="A79" s="1226"/>
      <c r="B79" s="1475"/>
      <c r="C79" s="1475"/>
      <c r="D79" s="1475"/>
      <c r="E79" s="1475"/>
      <c r="F79" s="1475"/>
      <c r="G79" s="1475"/>
      <c r="H79" s="1475"/>
    </row>
    <row r="80" spans="1:8" ht="14" customHeight="1" x14ac:dyDescent="0.25">
      <c r="A80" s="1226"/>
      <c r="B80" s="1475"/>
      <c r="C80" s="1475"/>
      <c r="D80" s="1475"/>
      <c r="E80" s="1475"/>
      <c r="F80" s="1475"/>
      <c r="G80" s="1475"/>
      <c r="H80" s="1475"/>
    </row>
    <row r="81" spans="1:8" ht="49.25" customHeight="1" x14ac:dyDescent="0.25">
      <c r="A81" s="1231"/>
      <c r="B81" s="1241"/>
      <c r="C81" s="1242"/>
      <c r="D81" s="1241"/>
      <c r="E81" s="1243"/>
      <c r="F81" s="1243"/>
      <c r="G81" s="1241"/>
      <c r="H81" s="1243"/>
    </row>
    <row r="82" spans="1:8" ht="14.25" customHeight="1" x14ac:dyDescent="0.25">
      <c r="A82" s="869"/>
      <c r="B82" s="1244"/>
      <c r="C82" s="1244"/>
      <c r="D82" s="1249"/>
      <c r="E82" s="1250"/>
      <c r="F82" s="1246"/>
      <c r="G82" s="1247"/>
      <c r="H82" s="1248"/>
    </row>
    <row r="83" spans="1:8" ht="14.25" customHeight="1" x14ac:dyDescent="0.25">
      <c r="A83" s="869"/>
      <c r="B83" s="1244"/>
      <c r="C83" s="1244"/>
      <c r="D83" s="1249"/>
      <c r="E83" s="1250"/>
      <c r="F83" s="1246"/>
      <c r="G83" s="1247"/>
      <c r="H83" s="1248"/>
    </row>
    <row r="84" spans="1:8" ht="14.25" customHeight="1" x14ac:dyDescent="0.25">
      <c r="A84" s="869"/>
      <c r="B84" s="1244"/>
      <c r="C84" s="1244"/>
      <c r="D84" s="1249"/>
      <c r="E84" s="1250"/>
      <c r="F84" s="1246"/>
      <c r="G84" s="1247"/>
      <c r="H84" s="1248"/>
    </row>
    <row r="85" spans="1:8" ht="14.25" customHeight="1" x14ac:dyDescent="0.25">
      <c r="A85" s="869"/>
      <c r="B85" s="1244"/>
      <c r="C85" s="1244"/>
      <c r="D85" s="1249"/>
      <c r="E85" s="1250"/>
      <c r="F85" s="1246"/>
      <c r="G85" s="1247"/>
      <c r="H85" s="1248"/>
    </row>
    <row r="86" spans="1:8" ht="14.25" customHeight="1" x14ac:dyDescent="0.25">
      <c r="A86" s="869"/>
      <c r="B86" s="1244"/>
      <c r="C86" s="1244"/>
      <c r="D86" s="1249"/>
      <c r="E86" s="1250"/>
      <c r="F86" s="1246"/>
      <c r="G86" s="1247"/>
      <c r="H86" s="1248"/>
    </row>
    <row r="87" spans="1:8" ht="14.25" customHeight="1" x14ac:dyDescent="0.25">
      <c r="A87" s="869"/>
      <c r="B87" s="1244"/>
      <c r="C87" s="1244"/>
      <c r="D87" s="1249"/>
      <c r="E87" s="1250"/>
      <c r="F87" s="1246"/>
      <c r="G87" s="1247"/>
      <c r="H87" s="1248"/>
    </row>
    <row r="88" spans="1:8" ht="14.25" customHeight="1" x14ac:dyDescent="0.25">
      <c r="A88" s="869"/>
      <c r="B88" s="1244"/>
      <c r="C88" s="1244"/>
      <c r="D88" s="1249"/>
      <c r="E88" s="1250"/>
      <c r="F88" s="1246"/>
      <c r="G88" s="1247"/>
      <c r="H88" s="1248"/>
    </row>
    <row r="89" spans="1:8" ht="14.25" customHeight="1" x14ac:dyDescent="0.25">
      <c r="A89" s="869"/>
      <c r="B89" s="1244"/>
      <c r="C89" s="1244"/>
      <c r="D89" s="1249"/>
      <c r="E89" s="1250"/>
      <c r="F89" s="1246"/>
      <c r="G89" s="1247"/>
      <c r="H89" s="1248"/>
    </row>
    <row r="90" spans="1:8" ht="12.75" customHeight="1" x14ac:dyDescent="0.25">
      <c r="A90" s="869"/>
      <c r="B90" s="1244"/>
      <c r="C90" s="1244"/>
      <c r="D90" s="1251"/>
      <c r="E90" s="1250"/>
      <c r="F90" s="1246"/>
      <c r="G90" s="1247"/>
      <c r="H90" s="1248"/>
    </row>
    <row r="91" spans="1:8" ht="17" customHeight="1" x14ac:dyDescent="0.25">
      <c r="A91" s="869"/>
      <c r="B91" s="888"/>
      <c r="C91" s="869"/>
      <c r="D91" s="869"/>
      <c r="E91" s="863"/>
      <c r="F91" s="863"/>
      <c r="G91" s="869"/>
      <c r="H91" s="869"/>
    </row>
    <row r="92" spans="1:8" ht="20" x14ac:dyDescent="0.4">
      <c r="A92" s="869"/>
      <c r="B92" s="889"/>
      <c r="C92" s="863"/>
      <c r="D92" s="863"/>
      <c r="E92" s="863"/>
      <c r="F92" s="863"/>
      <c r="G92" s="863"/>
      <c r="H92" s="869"/>
    </row>
    <row r="93" spans="1:8" ht="17.75" customHeight="1" x14ac:dyDescent="0.25">
      <c r="A93" s="869"/>
      <c r="B93" s="869"/>
      <c r="C93" s="869"/>
      <c r="D93" s="869"/>
      <c r="E93" s="869"/>
      <c r="F93" s="869"/>
      <c r="G93" s="869"/>
      <c r="H93" s="869"/>
    </row>
    <row r="94" spans="1:8" ht="17.75" customHeight="1" x14ac:dyDescent="0.3">
      <c r="A94" s="1226"/>
      <c r="B94" s="1475"/>
      <c r="C94" s="1476"/>
      <c r="D94" s="1476"/>
      <c r="E94" s="1476"/>
      <c r="F94" s="1476"/>
      <c r="G94" s="1476"/>
      <c r="H94" s="1476"/>
    </row>
    <row r="95" spans="1:8" ht="18" x14ac:dyDescent="0.3">
      <c r="A95" s="1226"/>
      <c r="B95" s="1475"/>
      <c r="C95" s="1476"/>
      <c r="D95" s="1476"/>
      <c r="E95" s="1476"/>
      <c r="F95" s="1476"/>
      <c r="G95" s="1476"/>
      <c r="H95" s="1476"/>
    </row>
    <row r="96" spans="1:8" ht="60.5" customHeight="1" x14ac:dyDescent="0.25">
      <c r="A96" s="1231"/>
      <c r="B96" s="1241"/>
      <c r="C96" s="1242"/>
      <c r="D96" s="1241"/>
      <c r="E96" s="1243"/>
      <c r="F96" s="1243"/>
      <c r="G96" s="1241"/>
      <c r="H96" s="1243"/>
    </row>
    <row r="97" spans="1:8" ht="14.25" customHeight="1" x14ac:dyDescent="0.25">
      <c r="A97" s="869"/>
      <c r="B97" s="1244"/>
      <c r="C97" s="1244"/>
      <c r="D97" s="1244"/>
      <c r="E97" s="1245"/>
      <c r="F97" s="1246"/>
      <c r="G97" s="1247"/>
      <c r="H97" s="1248"/>
    </row>
    <row r="98" spans="1:8" ht="14.25" customHeight="1" x14ac:dyDescent="0.25">
      <c r="A98" s="869"/>
      <c r="B98" s="1244"/>
      <c r="C98" s="1244"/>
      <c r="D98" s="1244"/>
      <c r="E98" s="1245"/>
      <c r="F98" s="1246"/>
      <c r="G98" s="1247"/>
      <c r="H98" s="1248"/>
    </row>
    <row r="99" spans="1:8" ht="14.25" customHeight="1" x14ac:dyDescent="0.25">
      <c r="A99" s="869"/>
      <c r="B99" s="1244"/>
      <c r="C99" s="1244"/>
      <c r="D99" s="1244"/>
      <c r="E99" s="1245"/>
      <c r="F99" s="1246"/>
      <c r="G99" s="1247"/>
      <c r="H99" s="1248"/>
    </row>
    <row r="100" spans="1:8" ht="14.25" customHeight="1" x14ac:dyDescent="0.25">
      <c r="A100" s="869"/>
      <c r="B100" s="1244"/>
      <c r="C100" s="1244"/>
      <c r="D100" s="1244"/>
      <c r="E100" s="1245"/>
      <c r="F100" s="1246"/>
      <c r="G100" s="1247"/>
      <c r="H100" s="1248"/>
    </row>
    <row r="101" spans="1:8" ht="14.25" customHeight="1" x14ac:dyDescent="0.25">
      <c r="A101" s="869"/>
      <c r="B101" s="1244"/>
      <c r="C101" s="1244"/>
      <c r="D101" s="1244"/>
      <c r="E101" s="1245"/>
      <c r="F101" s="1246"/>
      <c r="G101" s="1247"/>
      <c r="H101" s="1248"/>
    </row>
    <row r="102" spans="1:8" ht="14.25" customHeight="1" x14ac:dyDescent="0.25">
      <c r="A102" s="869"/>
      <c r="B102" s="1244"/>
      <c r="C102" s="1244"/>
      <c r="D102" s="1244"/>
      <c r="E102" s="1245"/>
      <c r="F102" s="1246"/>
      <c r="G102" s="1247"/>
      <c r="H102" s="1248"/>
    </row>
    <row r="103" spans="1:8" ht="14.25" customHeight="1" x14ac:dyDescent="0.25">
      <c r="A103" s="869"/>
      <c r="B103" s="1244"/>
      <c r="C103" s="1244"/>
      <c r="D103" s="1244"/>
      <c r="E103" s="1245"/>
      <c r="F103" s="1246"/>
      <c r="G103" s="1247"/>
      <c r="H103" s="1248"/>
    </row>
    <row r="104" spans="1:8" ht="14.25" customHeight="1" x14ac:dyDescent="0.25">
      <c r="A104" s="869"/>
      <c r="B104" s="1244"/>
      <c r="C104" s="1244"/>
      <c r="D104" s="1244"/>
      <c r="E104" s="1245"/>
      <c r="F104" s="1246"/>
      <c r="G104" s="1247"/>
      <c r="H104" s="1248"/>
    </row>
    <row r="105" spans="1:8" ht="12.75" customHeight="1" x14ac:dyDescent="0.25">
      <c r="A105" s="869"/>
      <c r="B105" s="1244"/>
      <c r="C105" s="1244"/>
      <c r="D105" s="1244"/>
      <c r="E105" s="1245"/>
      <c r="F105" s="1246"/>
      <c r="G105" s="1247"/>
      <c r="H105" s="1248"/>
    </row>
    <row r="106" spans="1:8" ht="19.5" customHeight="1" x14ac:dyDescent="0.25">
      <c r="A106" s="869"/>
      <c r="B106" s="888"/>
      <c r="C106" s="869"/>
      <c r="D106" s="869"/>
      <c r="E106" s="863"/>
      <c r="F106" s="863"/>
      <c r="G106" s="869"/>
      <c r="H106" s="869"/>
    </row>
    <row r="107" spans="1:8" ht="20" x14ac:dyDescent="0.4">
      <c r="A107" s="869"/>
      <c r="B107" s="889"/>
      <c r="C107" s="863"/>
      <c r="D107" s="863"/>
      <c r="E107" s="863"/>
      <c r="F107" s="863"/>
      <c r="G107" s="863"/>
      <c r="H107" s="869"/>
    </row>
  </sheetData>
  <mergeCells count="10">
    <mergeCell ref="AE2:AG3"/>
    <mergeCell ref="B95:H95"/>
    <mergeCell ref="B79:H79"/>
    <mergeCell ref="R26:T26"/>
    <mergeCell ref="B63:H63"/>
    <mergeCell ref="B2:H3"/>
    <mergeCell ref="B94:H94"/>
    <mergeCell ref="R25:T25"/>
    <mergeCell ref="B80:H80"/>
    <mergeCell ref="B62:H62"/>
  </mergeCells>
  <printOptions horizontalCentered="1"/>
  <pageMargins left="0.5" right="0.5" top="1" bottom="0.5" header="0.3" footer="0.511811023622047"/>
  <pageSetup paperSize="9" scale="33"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FF0000"/>
    <pageSetUpPr fitToPage="1"/>
  </sheetPr>
  <dimension ref="A1:AG128"/>
  <sheetViews>
    <sheetView topLeftCell="D1" zoomScale="55" zoomScaleNormal="55" workbookViewId="0">
      <selection activeCell="B22" sqref="B22:L22"/>
    </sheetView>
  </sheetViews>
  <sheetFormatPr defaultColWidth="12.5" defaultRowHeight="12.5" x14ac:dyDescent="0.25"/>
  <cols>
    <col min="1" max="1" width="12.5" style="14" customWidth="1"/>
    <col min="2" max="2" width="31.414062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10.4140625" style="14" customWidth="1"/>
    <col min="13" max="13" width="5.25" style="14" customWidth="1"/>
    <col min="14" max="14" width="11.5" style="14" customWidth="1"/>
    <col min="15" max="17" width="4.75" style="14" customWidth="1"/>
    <col min="18" max="27" width="12.5" style="14"/>
    <col min="28" max="28" width="6.75" style="14" customWidth="1"/>
    <col min="29" max="16384" width="12.5" style="14"/>
  </cols>
  <sheetData>
    <row r="1" spans="1:33" ht="28.5" customHeight="1" x14ac:dyDescent="0.25">
      <c r="B1" s="79" t="s">
        <v>235</v>
      </c>
      <c r="C1" s="80">
        <v>1000</v>
      </c>
      <c r="D1" s="81" t="s">
        <v>236</v>
      </c>
      <c r="E1" s="116">
        <f>S30</f>
        <v>19560</v>
      </c>
      <c r="F1" s="79" t="s">
        <v>237</v>
      </c>
      <c r="G1" s="365">
        <f>E1/C1</f>
        <v>19.559999999999999</v>
      </c>
      <c r="H1" s="79" t="s">
        <v>238</v>
      </c>
      <c r="I1" s="366">
        <f>G1/K1</f>
        <v>19.366336633663366</v>
      </c>
      <c r="J1" s="367" t="s">
        <v>239</v>
      </c>
      <c r="K1" s="368">
        <v>1.01</v>
      </c>
      <c r="L1" s="367" t="s">
        <v>849</v>
      </c>
      <c r="M1" s="99" t="s">
        <v>303</v>
      </c>
      <c r="N1" s="367" t="s">
        <v>850</v>
      </c>
      <c r="O1" s="99">
        <f>T15</f>
        <v>0.91089108910891092</v>
      </c>
      <c r="P1" s="99"/>
      <c r="Q1" s="99"/>
      <c r="R1" s="99"/>
      <c r="S1" s="99"/>
      <c r="T1" s="99"/>
      <c r="U1" s="99"/>
      <c r="V1" s="99"/>
      <c r="Y1" s="90" t="s">
        <v>463</v>
      </c>
      <c r="Z1" s="835">
        <v>19560</v>
      </c>
      <c r="AA1" s="90" t="s">
        <v>578</v>
      </c>
      <c r="AB1" s="835">
        <v>0</v>
      </c>
      <c r="AC1" s="90" t="s">
        <v>567</v>
      </c>
      <c r="AD1" s="835">
        <v>131</v>
      </c>
    </row>
    <row r="2" spans="1:33" ht="12.75" customHeight="1" x14ac:dyDescent="0.3">
      <c r="A2" s="329"/>
      <c r="B2" s="1449" t="s">
        <v>347</v>
      </c>
      <c r="C2" s="1466"/>
      <c r="D2" s="1466"/>
      <c r="E2" s="1466"/>
      <c r="F2" s="1466"/>
      <c r="G2" s="1466"/>
      <c r="H2" s="1466"/>
      <c r="I2" s="351"/>
      <c r="J2" s="351"/>
      <c r="K2" s="351"/>
      <c r="L2" s="99"/>
      <c r="M2" s="99"/>
      <c r="N2" s="99"/>
      <c r="O2" s="99"/>
      <c r="P2" s="99"/>
      <c r="Q2" s="99"/>
      <c r="R2" s="99"/>
      <c r="S2" s="99"/>
      <c r="T2" s="99"/>
      <c r="U2" s="99"/>
      <c r="AE2" s="1452"/>
      <c r="AF2" s="1460"/>
      <c r="AG2" s="1460"/>
    </row>
    <row r="3" spans="1:33" ht="12.75" customHeight="1" x14ac:dyDescent="0.25">
      <c r="A3" s="329"/>
      <c r="B3" s="369"/>
      <c r="C3" s="369"/>
      <c r="D3" s="369"/>
      <c r="E3" s="369"/>
      <c r="F3" s="369"/>
      <c r="G3" s="369"/>
      <c r="H3" s="369"/>
      <c r="I3" s="351"/>
      <c r="J3" s="351"/>
      <c r="K3" s="351"/>
      <c r="L3" s="99"/>
      <c r="M3" s="99"/>
      <c r="N3" s="99"/>
      <c r="O3" s="99"/>
      <c r="P3" s="99"/>
      <c r="Q3" s="99"/>
      <c r="R3" s="99"/>
      <c r="S3" s="99"/>
      <c r="T3" s="99"/>
      <c r="U3" s="99"/>
      <c r="AE3" s="1460"/>
      <c r="AF3" s="1460"/>
      <c r="AG3" s="1460"/>
    </row>
    <row r="4" spans="1:33" ht="68.75" customHeight="1" x14ac:dyDescent="0.25">
      <c r="A4" s="90" t="s">
        <v>1</v>
      </c>
      <c r="B4" s="90" t="s">
        <v>245</v>
      </c>
      <c r="C4" s="106" t="s">
        <v>246</v>
      </c>
      <c r="D4" s="90" t="s">
        <v>235</v>
      </c>
      <c r="E4" s="217" t="s">
        <v>238</v>
      </c>
      <c r="F4" s="107" t="s">
        <v>247</v>
      </c>
      <c r="G4" s="90" t="s">
        <v>248</v>
      </c>
      <c r="H4" s="106" t="s">
        <v>339</v>
      </c>
      <c r="I4" s="90" t="s">
        <v>250</v>
      </c>
      <c r="J4" s="90" t="s">
        <v>251</v>
      </c>
      <c r="K4" s="90" t="s">
        <v>252</v>
      </c>
      <c r="L4" s="90" t="s">
        <v>253</v>
      </c>
      <c r="M4" s="99"/>
      <c r="N4" s="99"/>
      <c r="O4" s="99"/>
      <c r="P4" s="99"/>
      <c r="Q4" s="99"/>
      <c r="R4" s="99"/>
      <c r="S4" s="99"/>
      <c r="T4" s="99"/>
      <c r="U4" s="99"/>
    </row>
    <row r="5" spans="1:33" ht="14.25" customHeight="1" x14ac:dyDescent="0.25">
      <c r="A5" s="218"/>
      <c r="B5" s="649"/>
      <c r="C5" s="650"/>
      <c r="D5" s="218"/>
      <c r="E5" s="651"/>
      <c r="F5" s="218"/>
      <c r="G5" s="218"/>
      <c r="H5" s="650"/>
      <c r="I5" s="80"/>
      <c r="J5" s="118"/>
      <c r="K5" s="121"/>
      <c r="L5" s="121"/>
    </row>
    <row r="6" spans="1:33" ht="14.25" customHeight="1" x14ac:dyDescent="0.25">
      <c r="A6" s="294" t="s">
        <v>13</v>
      </c>
      <c r="B6" s="22" t="s">
        <v>21</v>
      </c>
      <c r="C6" s="123" t="s">
        <v>14</v>
      </c>
      <c r="D6" s="115">
        <f>1000/O1</f>
        <v>1097.8260869565217</v>
      </c>
      <c r="E6" s="115">
        <f t="shared" ref="E6:E12" si="0">$I$1</f>
        <v>19.366336633663366</v>
      </c>
      <c r="F6" s="126">
        <v>1</v>
      </c>
      <c r="G6" s="118">
        <f t="shared" ref="G6:G12" si="1">D6*E6</f>
        <v>21260.869565217392</v>
      </c>
      <c r="H6" s="119">
        <f t="shared" ref="H6:H12" si="2">G6*F6</f>
        <v>21260.869565217392</v>
      </c>
      <c r="I6" s="80">
        <f>VLOOKUP(B6,All_Ingredients!$A$1:$F$149,6,FALSE())</f>
        <v>0.9</v>
      </c>
      <c r="J6" s="118">
        <f>VLOOKUP(B6,All_Ingredients!$A$1:$J$149,10,FALSE())</f>
        <v>2.2999999999999998</v>
      </c>
      <c r="K6" s="121">
        <f t="shared" ref="K6:K12" si="3">(H6/I6)/1000</f>
        <v>23.623188405797102</v>
      </c>
      <c r="L6" s="121">
        <f t="shared" ref="L6:L12" si="4">K6*J6</f>
        <v>54.333333333333329</v>
      </c>
    </row>
    <row r="7" spans="1:33" ht="14.25" customHeight="1" x14ac:dyDescent="0.25">
      <c r="A7" s="294" t="s">
        <v>56</v>
      </c>
      <c r="B7" s="22" t="s">
        <v>55</v>
      </c>
      <c r="C7" s="123" t="s">
        <v>14</v>
      </c>
      <c r="D7" s="115">
        <v>10</v>
      </c>
      <c r="E7" s="115">
        <f t="shared" si="0"/>
        <v>19.366336633663366</v>
      </c>
      <c r="F7" s="126">
        <v>1</v>
      </c>
      <c r="G7" s="118">
        <f t="shared" si="1"/>
        <v>193.66336633663366</v>
      </c>
      <c r="H7" s="119">
        <f t="shared" si="2"/>
        <v>193.66336633663366</v>
      </c>
      <c r="I7" s="80">
        <f>VLOOKUP(B7,All_Ingredients!$A$1:$F$149,6,FALSE())</f>
        <v>0.87</v>
      </c>
      <c r="J7" s="118">
        <f>VLOOKUP(B7,All_Ingredients!$A$1:$J$149,10,FALSE())</f>
        <v>7</v>
      </c>
      <c r="K7" s="121">
        <f t="shared" si="3"/>
        <v>0.22260157050187776</v>
      </c>
      <c r="L7" s="121">
        <f t="shared" si="4"/>
        <v>1.5582109935131443</v>
      </c>
    </row>
    <row r="8" spans="1:33" ht="14.25" customHeight="1" x14ac:dyDescent="0.25">
      <c r="A8" s="294" t="s">
        <v>62</v>
      </c>
      <c r="B8" s="22" t="s">
        <v>61</v>
      </c>
      <c r="C8" s="123" t="s">
        <v>14</v>
      </c>
      <c r="D8" s="115">
        <v>5</v>
      </c>
      <c r="E8" s="115">
        <f t="shared" si="0"/>
        <v>19.366336633663366</v>
      </c>
      <c r="F8" s="126">
        <v>1</v>
      </c>
      <c r="G8" s="118">
        <f t="shared" si="1"/>
        <v>96.831683168316829</v>
      </c>
      <c r="H8" s="119">
        <f t="shared" si="2"/>
        <v>96.831683168316829</v>
      </c>
      <c r="I8" s="80">
        <f>VLOOKUP(B8,All_Ingredients!$A$1:$F$149,6,FALSE())</f>
        <v>0.94</v>
      </c>
      <c r="J8" s="118">
        <f>VLOOKUP(B8,All_Ingredients!$A$1:$J$149,10,FALSE())</f>
        <v>3.6363636363636367</v>
      </c>
      <c r="K8" s="121">
        <f t="shared" si="3"/>
        <v>0.10301242890246472</v>
      </c>
      <c r="L8" s="121">
        <f t="shared" si="4"/>
        <v>0.3745906505544172</v>
      </c>
    </row>
    <row r="9" spans="1:33" ht="14.25" customHeight="1" x14ac:dyDescent="0.25">
      <c r="A9" s="294" t="s">
        <v>154</v>
      </c>
      <c r="B9" s="22" t="s">
        <v>153</v>
      </c>
      <c r="C9" s="123" t="s">
        <v>14</v>
      </c>
      <c r="D9" s="115">
        <v>10</v>
      </c>
      <c r="E9" s="115">
        <f t="shared" si="0"/>
        <v>19.366336633663366</v>
      </c>
      <c r="F9" s="126">
        <v>1</v>
      </c>
      <c r="G9" s="118">
        <f t="shared" si="1"/>
        <v>193.66336633663366</v>
      </c>
      <c r="H9" s="119">
        <f t="shared" si="2"/>
        <v>193.66336633663366</v>
      </c>
      <c r="I9" s="80">
        <f>VLOOKUP(B9,All_Ingredients!$A$1:$F$149,6,FALSE())</f>
        <v>1</v>
      </c>
      <c r="J9" s="118">
        <f>VLOOKUP(B9,All_Ingredients!$A$1:$J$149,10,FALSE())</f>
        <v>30</v>
      </c>
      <c r="K9" s="121">
        <f t="shared" si="3"/>
        <v>0.19366336633663367</v>
      </c>
      <c r="L9" s="121">
        <f t="shared" si="4"/>
        <v>5.8099009900990097</v>
      </c>
    </row>
    <row r="10" spans="1:33" ht="14.25" customHeight="1" x14ac:dyDescent="0.25">
      <c r="A10" s="294" t="s">
        <v>95</v>
      </c>
      <c r="B10" s="22" t="s">
        <v>102</v>
      </c>
      <c r="C10" s="123" t="s">
        <v>14</v>
      </c>
      <c r="D10" s="115">
        <v>2</v>
      </c>
      <c r="E10" s="115">
        <f t="shared" si="0"/>
        <v>19.366336633663366</v>
      </c>
      <c r="F10" s="126">
        <v>0.75</v>
      </c>
      <c r="G10" s="118">
        <f t="shared" si="1"/>
        <v>38.732673267326732</v>
      </c>
      <c r="H10" s="119">
        <f t="shared" si="2"/>
        <v>29.049504950495049</v>
      </c>
      <c r="I10" s="80">
        <f>VLOOKUP(B10,All_Ingredients!$A$1:$F$149,6,FALSE())</f>
        <v>1</v>
      </c>
      <c r="J10" s="118">
        <f>VLOOKUP(B10,All_Ingredients!$A$1:$J$149,10,FALSE())</f>
        <v>47</v>
      </c>
      <c r="K10" s="121">
        <f t="shared" si="3"/>
        <v>2.9049504950495048E-2</v>
      </c>
      <c r="L10" s="121">
        <f t="shared" si="4"/>
        <v>1.3653267326732672</v>
      </c>
    </row>
    <row r="11" spans="1:33" ht="14.25" customHeight="1" x14ac:dyDescent="0.25">
      <c r="A11" s="294" t="s">
        <v>95</v>
      </c>
      <c r="B11" s="22" t="s">
        <v>94</v>
      </c>
      <c r="C11" s="123" t="s">
        <v>14</v>
      </c>
      <c r="D11" s="115">
        <v>5</v>
      </c>
      <c r="E11" s="115">
        <f t="shared" si="0"/>
        <v>19.366336633663366</v>
      </c>
      <c r="F11" s="126">
        <v>0.75</v>
      </c>
      <c r="G11" s="118">
        <f t="shared" si="1"/>
        <v>96.831683168316829</v>
      </c>
      <c r="H11" s="119">
        <f t="shared" si="2"/>
        <v>72.623762376237622</v>
      </c>
      <c r="I11" s="80">
        <f>VLOOKUP(B11,All_Ingredients!$A$1:$F$149,6,FALSE())</f>
        <v>1</v>
      </c>
      <c r="J11" s="118">
        <f>VLOOKUP(B11,All_Ingredients!$A$1:$J$149,10,FALSE())</f>
        <v>0.74</v>
      </c>
      <c r="K11" s="121">
        <f t="shared" si="3"/>
        <v>7.2623762376237619E-2</v>
      </c>
      <c r="L11" s="121">
        <f t="shared" si="4"/>
        <v>5.3741584158415838E-2</v>
      </c>
      <c r="R11" s="14">
        <v>11000</v>
      </c>
      <c r="S11" s="14">
        <v>10200</v>
      </c>
    </row>
    <row r="12" spans="1:33" ht="14.25" customHeight="1" x14ac:dyDescent="0.25">
      <c r="A12" s="294" t="s">
        <v>95</v>
      </c>
      <c r="B12" s="22" t="s">
        <v>106</v>
      </c>
      <c r="C12" s="123" t="s">
        <v>14</v>
      </c>
      <c r="D12" s="115">
        <v>1</v>
      </c>
      <c r="E12" s="115">
        <f t="shared" si="0"/>
        <v>19.366336633663366</v>
      </c>
      <c r="F12" s="126">
        <v>0.75</v>
      </c>
      <c r="G12" s="118">
        <f t="shared" si="1"/>
        <v>19.366336633663366</v>
      </c>
      <c r="H12" s="119">
        <f t="shared" si="2"/>
        <v>14.524752475247524</v>
      </c>
      <c r="I12" s="80">
        <f>VLOOKUP(B12,All_Ingredients!$A$1:$F$149,6,FALSE())</f>
        <v>1</v>
      </c>
      <c r="J12" s="118">
        <f>VLOOKUP(B12,All_Ingredients!$A$1:$J$149,10,FALSE())</f>
        <v>15</v>
      </c>
      <c r="K12" s="121">
        <f t="shared" si="3"/>
        <v>1.4524752475247524E-2</v>
      </c>
      <c r="L12" s="121">
        <f t="shared" si="4"/>
        <v>0.21787128712871284</v>
      </c>
      <c r="R12" s="14">
        <v>11000</v>
      </c>
      <c r="S12" s="14">
        <v>10100</v>
      </c>
    </row>
    <row r="13" spans="1:33" ht="14.25" customHeight="1" x14ac:dyDescent="0.25">
      <c r="B13" s="348"/>
      <c r="C13" s="132"/>
      <c r="D13" s="253"/>
      <c r="E13" s="224"/>
      <c r="F13" s="135"/>
      <c r="G13" s="139"/>
      <c r="H13" s="137"/>
      <c r="R13" s="14">
        <v>8300</v>
      </c>
      <c r="S13" s="14">
        <v>7300</v>
      </c>
    </row>
    <row r="14" spans="1:33" ht="14.25" customHeight="1" x14ac:dyDescent="0.25">
      <c r="E14" s="99"/>
      <c r="F14" s="99"/>
      <c r="U14" s="14" t="s">
        <v>844</v>
      </c>
    </row>
    <row r="15" spans="1:33" ht="14.25" customHeight="1" x14ac:dyDescent="0.25">
      <c r="E15" s="99"/>
      <c r="F15" s="99"/>
      <c r="R15" s="1341">
        <f>SUM(R11:R13)</f>
        <v>30300</v>
      </c>
      <c r="S15" s="1341">
        <f>SUM(S11:S13)</f>
        <v>27600</v>
      </c>
      <c r="T15" s="14">
        <f>S15/R15</f>
        <v>0.91089108910891092</v>
      </c>
      <c r="U15" s="14" t="s">
        <v>843</v>
      </c>
    </row>
    <row r="16" spans="1:33" ht="14.25" customHeight="1" x14ac:dyDescent="0.25">
      <c r="E16" s="99"/>
      <c r="F16" s="99"/>
    </row>
    <row r="17" spans="5:29" ht="14.25" customHeight="1" x14ac:dyDescent="0.25">
      <c r="E17" s="99"/>
      <c r="F17" s="99"/>
    </row>
    <row r="18" spans="5:29" ht="14.25" customHeight="1" x14ac:dyDescent="0.25">
      <c r="E18" s="99"/>
      <c r="F18" s="99"/>
    </row>
    <row r="19" spans="5:29" ht="14.25" customHeight="1" x14ac:dyDescent="0.25">
      <c r="E19" s="99"/>
      <c r="F19" s="99"/>
    </row>
    <row r="20" spans="5:29" ht="14.25" customHeight="1" x14ac:dyDescent="0.25">
      <c r="E20" s="99"/>
      <c r="F20" s="99"/>
    </row>
    <row r="21" spans="5:29" x14ac:dyDescent="0.25">
      <c r="E21" s="99"/>
      <c r="F21" s="99"/>
    </row>
    <row r="24" spans="5:29" x14ac:dyDescent="0.25">
      <c r="Z24" s="1208"/>
    </row>
    <row r="25" spans="5:29" ht="12.75" customHeight="1" x14ac:dyDescent="0.3">
      <c r="R25" s="1482" t="s">
        <v>349</v>
      </c>
      <c r="S25" s="1446"/>
      <c r="T25" s="1483"/>
      <c r="Z25" s="140" t="s">
        <v>14</v>
      </c>
      <c r="AA25" s="141">
        <v>1</v>
      </c>
      <c r="AB25" s="140" t="s">
        <v>253</v>
      </c>
      <c r="AC25" s="142">
        <f>(S31/S30)*AA25</f>
        <v>3.2573095895429599E-3</v>
      </c>
    </row>
    <row r="26" spans="5:29" ht="12.75" customHeight="1" x14ac:dyDescent="0.25">
      <c r="R26" s="371" t="s">
        <v>342</v>
      </c>
      <c r="S26" s="371"/>
      <c r="T26" s="371"/>
    </row>
    <row r="27" spans="5:29" ht="14.25" customHeight="1" x14ac:dyDescent="0.3">
      <c r="R27" s="144" t="s">
        <v>258</v>
      </c>
      <c r="S27" s="144" t="s">
        <v>343</v>
      </c>
      <c r="T27" s="144" t="s">
        <v>261</v>
      </c>
    </row>
    <row r="28" spans="5:29" ht="14.25" customHeight="1" x14ac:dyDescent="0.3">
      <c r="R28" s="144" t="s">
        <v>267</v>
      </c>
      <c r="S28" s="785">
        <f>T28</f>
        <v>19560</v>
      </c>
      <c r="T28" s="1362">
        <f>$Z$1</f>
        <v>19560</v>
      </c>
      <c r="U28" s="1377"/>
    </row>
    <row r="29" spans="5:29" ht="14.25" customHeight="1" x14ac:dyDescent="0.3">
      <c r="R29" s="144" t="s">
        <v>269</v>
      </c>
      <c r="S29" s="1362">
        <f>$AB$1</f>
        <v>0</v>
      </c>
      <c r="T29" s="787">
        <f>S29</f>
        <v>0</v>
      </c>
      <c r="U29" s="1377"/>
    </row>
    <row r="30" spans="5:29" ht="14.25" customHeight="1" thickBot="1" x14ac:dyDescent="0.35">
      <c r="R30" s="144" t="s">
        <v>261</v>
      </c>
      <c r="S30" s="1397">
        <f>SUM(S28:S29)</f>
        <v>19560</v>
      </c>
      <c r="T30" s="1397">
        <f>S30</f>
        <v>19560</v>
      </c>
      <c r="U30" s="1377"/>
    </row>
    <row r="31" spans="5:29" ht="14.25" customHeight="1" thickBot="1" x14ac:dyDescent="0.35">
      <c r="R31" s="162" t="s">
        <v>253</v>
      </c>
      <c r="S31" s="1125">
        <f>SUM(L6:L12)</f>
        <v>63.712975571460298</v>
      </c>
      <c r="T31" s="1196">
        <f>S31</f>
        <v>63.712975571460298</v>
      </c>
    </row>
    <row r="32" spans="5:29" ht="14.25" customHeight="1" x14ac:dyDescent="0.3">
      <c r="S32" s="337"/>
    </row>
    <row r="41" spans="6:8" ht="14" customHeight="1" x14ac:dyDescent="0.3">
      <c r="F41" s="337"/>
      <c r="G41" s="337"/>
      <c r="H41" s="1122"/>
    </row>
    <row r="42" spans="6:8" ht="14" customHeight="1" x14ac:dyDescent="0.3">
      <c r="F42" s="337"/>
      <c r="G42" s="337"/>
      <c r="H42" s="1122"/>
    </row>
    <row r="43" spans="6:8" ht="13" x14ac:dyDescent="0.3">
      <c r="F43" s="337"/>
      <c r="G43" s="337"/>
      <c r="H43" s="1122"/>
    </row>
    <row r="50" spans="1:8" ht="14" x14ac:dyDescent="0.3">
      <c r="B50" s="225"/>
      <c r="C50" s="225" t="s">
        <v>237</v>
      </c>
      <c r="D50" s="225" t="s">
        <v>283</v>
      </c>
    </row>
    <row r="51" spans="1:8" ht="14" x14ac:dyDescent="0.3">
      <c r="B51" s="179" t="s">
        <v>287</v>
      </c>
      <c r="C51" s="180">
        <f>10/$K$1</f>
        <v>9.9009900990099009</v>
      </c>
      <c r="D51" s="181">
        <f>$C$1*10</f>
        <v>10000</v>
      </c>
    </row>
    <row r="52" spans="1:8" ht="14" x14ac:dyDescent="0.3">
      <c r="B52" s="230" t="s">
        <v>261</v>
      </c>
      <c r="C52" s="231">
        <f>G1</f>
        <v>19.559999999999999</v>
      </c>
      <c r="D52" s="232">
        <f>E1</f>
        <v>19560</v>
      </c>
    </row>
    <row r="53" spans="1:8" ht="14" x14ac:dyDescent="0.3">
      <c r="B53" s="230" t="s">
        <v>288</v>
      </c>
      <c r="C53" s="233">
        <f>MIN($C$52, $C$51)</f>
        <v>9.9009900990099009</v>
      </c>
      <c r="D53" s="232">
        <f>(C53*$K$1)*$C$1</f>
        <v>10000</v>
      </c>
    </row>
    <row r="54" spans="1:8" ht="14" x14ac:dyDescent="0.3">
      <c r="B54" s="230" t="s">
        <v>289</v>
      </c>
      <c r="C54" s="233">
        <f>MIN($C$52-C53, $C$51)</f>
        <v>9.6590099009900978</v>
      </c>
      <c r="D54" s="232">
        <f>(C54*$K$1)*$C$1</f>
        <v>9755.5999999999985</v>
      </c>
    </row>
    <row r="55" spans="1:8" ht="14" x14ac:dyDescent="0.3">
      <c r="B55" s="230" t="s">
        <v>290</v>
      </c>
      <c r="C55" s="233">
        <f>MIN($C$52-C53-C54, $C$51)</f>
        <v>0</v>
      </c>
      <c r="D55" s="232">
        <f>(C55*$K$1)*$C$1</f>
        <v>0</v>
      </c>
    </row>
    <row r="56" spans="1:8" ht="14" x14ac:dyDescent="0.3">
      <c r="B56" s="230" t="s">
        <v>297</v>
      </c>
      <c r="C56" s="233">
        <f>MIN($C$52-C53-C54-C55, $C$51)</f>
        <v>0</v>
      </c>
      <c r="D56" s="232">
        <f>(C56*$K$1)*$C$1</f>
        <v>0</v>
      </c>
    </row>
    <row r="57" spans="1:8" ht="14" x14ac:dyDescent="0.3">
      <c r="B57" s="230" t="s">
        <v>348</v>
      </c>
      <c r="C57" s="233">
        <f>MIN($C$52-C53-C54-C55-C56, $C$51)</f>
        <v>0</v>
      </c>
      <c r="D57" s="232">
        <f>(C57*$K$1)*$C$1</f>
        <v>0</v>
      </c>
    </row>
    <row r="62" spans="1:8" ht="14" customHeight="1" x14ac:dyDescent="0.3">
      <c r="A62" s="927"/>
      <c r="B62" s="1438" t="s">
        <v>612</v>
      </c>
      <c r="C62" s="1439"/>
      <c r="D62" s="1439"/>
      <c r="E62" s="1439"/>
      <c r="F62" s="1439"/>
      <c r="G62" s="1439"/>
      <c r="H62" s="1439"/>
    </row>
    <row r="63" spans="1:8" ht="14" x14ac:dyDescent="0.3">
      <c r="A63" s="927"/>
      <c r="B63" s="1436" t="s">
        <v>347</v>
      </c>
      <c r="C63" s="1437"/>
      <c r="D63" s="1437"/>
      <c r="E63" s="1437"/>
      <c r="F63" s="1437"/>
      <c r="G63" s="1437"/>
      <c r="H63" s="1437"/>
    </row>
    <row r="64" spans="1:8" ht="42" customHeight="1" x14ac:dyDescent="0.25">
      <c r="A64" s="90"/>
      <c r="B64" s="242" t="s">
        <v>245</v>
      </c>
      <c r="C64" s="243" t="s">
        <v>246</v>
      </c>
      <c r="D64" s="244" t="s">
        <v>235</v>
      </c>
      <c r="E64" s="217" t="s">
        <v>238</v>
      </c>
      <c r="F64" s="217" t="s">
        <v>247</v>
      </c>
      <c r="G64" s="244" t="s">
        <v>248</v>
      </c>
      <c r="H64" s="217" t="s">
        <v>249</v>
      </c>
    </row>
    <row r="65" spans="1:8" ht="14.25" customHeight="1" x14ac:dyDescent="0.25">
      <c r="A65" s="294" t="s">
        <v>13</v>
      </c>
      <c r="B65" s="322" t="str">
        <f t="shared" ref="B65:D71" si="5">B6</f>
        <v>Potato - بطاطس</v>
      </c>
      <c r="C65" s="123" t="str">
        <f t="shared" si="5"/>
        <v>gm</v>
      </c>
      <c r="D65" s="115">
        <f t="shared" si="5"/>
        <v>1097.8260869565217</v>
      </c>
      <c r="E65" s="115">
        <f>$C$52</f>
        <v>19.559999999999999</v>
      </c>
      <c r="F65" s="126">
        <f t="shared" ref="F65:F71" si="6">F6</f>
        <v>1</v>
      </c>
      <c r="G65" s="118">
        <f t="shared" ref="G65:G71" si="7">D65*E65</f>
        <v>21473.478260869564</v>
      </c>
      <c r="H65" s="119">
        <f t="shared" ref="H65:H71" si="8">G65*F65</f>
        <v>21473.478260869564</v>
      </c>
    </row>
    <row r="66" spans="1:8" ht="14.25" customHeight="1" x14ac:dyDescent="0.25">
      <c r="A66" s="294" t="s">
        <v>56</v>
      </c>
      <c r="B66" s="322" t="str">
        <f t="shared" si="5"/>
        <v>Ginger - زنجبيل</v>
      </c>
      <c r="C66" s="123" t="str">
        <f t="shared" si="5"/>
        <v>gm</v>
      </c>
      <c r="D66" s="124">
        <f t="shared" si="5"/>
        <v>10</v>
      </c>
      <c r="E66" s="115">
        <f t="shared" ref="E66:E71" si="9">$C$52</f>
        <v>19.559999999999999</v>
      </c>
      <c r="F66" s="126">
        <f t="shared" si="6"/>
        <v>1</v>
      </c>
      <c r="G66" s="118">
        <f t="shared" si="7"/>
        <v>195.6</v>
      </c>
      <c r="H66" s="119">
        <f t="shared" si="8"/>
        <v>195.6</v>
      </c>
    </row>
    <row r="67" spans="1:8" ht="14.25" customHeight="1" x14ac:dyDescent="0.25">
      <c r="A67" s="294" t="s">
        <v>62</v>
      </c>
      <c r="B67" s="322" t="str">
        <f t="shared" si="5"/>
        <v>Coriander Leaves - كزبرة خضراء</v>
      </c>
      <c r="C67" s="123" t="str">
        <f t="shared" si="5"/>
        <v>gm</v>
      </c>
      <c r="D67" s="124">
        <f t="shared" si="5"/>
        <v>5</v>
      </c>
      <c r="E67" s="115">
        <f t="shared" si="9"/>
        <v>19.559999999999999</v>
      </c>
      <c r="F67" s="126">
        <f t="shared" si="6"/>
        <v>1</v>
      </c>
      <c r="G67" s="118">
        <f t="shared" si="7"/>
        <v>97.8</v>
      </c>
      <c r="H67" s="119">
        <f t="shared" si="8"/>
        <v>97.8</v>
      </c>
    </row>
    <row r="68" spans="1:8" ht="14.25" customHeight="1" x14ac:dyDescent="0.25">
      <c r="A68" s="294" t="s">
        <v>154</v>
      </c>
      <c r="B68" s="322" t="str">
        <f t="shared" si="5"/>
        <v>Butter - زبدة</v>
      </c>
      <c r="C68" s="123" t="str">
        <f t="shared" si="5"/>
        <v>gm</v>
      </c>
      <c r="D68" s="124">
        <f t="shared" si="5"/>
        <v>10</v>
      </c>
      <c r="E68" s="115">
        <f t="shared" si="9"/>
        <v>19.559999999999999</v>
      </c>
      <c r="F68" s="126">
        <f t="shared" si="6"/>
        <v>1</v>
      </c>
      <c r="G68" s="118">
        <f t="shared" si="7"/>
        <v>195.6</v>
      </c>
      <c r="H68" s="119">
        <f t="shared" si="8"/>
        <v>195.6</v>
      </c>
    </row>
    <row r="69" spans="1:8" ht="14.25" customHeight="1" x14ac:dyDescent="0.25">
      <c r="A69" s="294" t="s">
        <v>95</v>
      </c>
      <c r="B69" s="322" t="str">
        <f t="shared" si="5"/>
        <v>White Pepper - فلفل أبيض</v>
      </c>
      <c r="C69" s="123" t="str">
        <f t="shared" si="5"/>
        <v>gm</v>
      </c>
      <c r="D69" s="124">
        <f t="shared" si="5"/>
        <v>2</v>
      </c>
      <c r="E69" s="115">
        <f t="shared" si="9"/>
        <v>19.559999999999999</v>
      </c>
      <c r="F69" s="126">
        <f t="shared" si="6"/>
        <v>0.75</v>
      </c>
      <c r="G69" s="118">
        <f t="shared" si="7"/>
        <v>39.119999999999997</v>
      </c>
      <c r="H69" s="119">
        <f t="shared" si="8"/>
        <v>29.339999999999996</v>
      </c>
    </row>
    <row r="70" spans="1:8" ht="14.25" customHeight="1" x14ac:dyDescent="0.25">
      <c r="A70" s="294" t="s">
        <v>95</v>
      </c>
      <c r="B70" s="322" t="str">
        <f t="shared" si="5"/>
        <v>Salt - ملح</v>
      </c>
      <c r="C70" s="123" t="str">
        <f t="shared" si="5"/>
        <v>gm</v>
      </c>
      <c r="D70" s="124">
        <f t="shared" si="5"/>
        <v>5</v>
      </c>
      <c r="E70" s="115">
        <f t="shared" si="9"/>
        <v>19.559999999999999</v>
      </c>
      <c r="F70" s="126">
        <f t="shared" si="6"/>
        <v>0.75</v>
      </c>
      <c r="G70" s="118">
        <f t="shared" si="7"/>
        <v>97.8</v>
      </c>
      <c r="H70" s="119">
        <f t="shared" si="8"/>
        <v>73.349999999999994</v>
      </c>
    </row>
    <row r="71" spans="1:8" ht="12.75" customHeight="1" x14ac:dyDescent="0.25">
      <c r="A71" s="294" t="s">
        <v>95</v>
      </c>
      <c r="B71" s="322" t="str">
        <f t="shared" si="5"/>
        <v>Cumin Powder - كمون مطحون</v>
      </c>
      <c r="C71" s="123" t="str">
        <f t="shared" si="5"/>
        <v>gm</v>
      </c>
      <c r="D71" s="124">
        <f t="shared" si="5"/>
        <v>1</v>
      </c>
      <c r="E71" s="115">
        <f t="shared" si="9"/>
        <v>19.559999999999999</v>
      </c>
      <c r="F71" s="126">
        <f t="shared" si="6"/>
        <v>0.75</v>
      </c>
      <c r="G71" s="118">
        <f t="shared" si="7"/>
        <v>19.559999999999999</v>
      </c>
      <c r="H71" s="119">
        <f t="shared" si="8"/>
        <v>14.669999999999998</v>
      </c>
    </row>
    <row r="72" spans="1:8" ht="17.75" customHeight="1" x14ac:dyDescent="0.25">
      <c r="B72" s="197" t="s">
        <v>737</v>
      </c>
      <c r="E72" s="99"/>
      <c r="F72" s="99"/>
    </row>
    <row r="73" spans="1:8" ht="19.5" customHeight="1" x14ac:dyDescent="0.4">
      <c r="B73" s="198">
        <f>D52</f>
        <v>19560</v>
      </c>
      <c r="C73" s="207"/>
      <c r="D73" s="4"/>
      <c r="E73" s="99"/>
      <c r="F73" s="182"/>
    </row>
    <row r="74" spans="1:8" ht="12.75" customHeight="1" x14ac:dyDescent="0.25">
      <c r="B74" s="99"/>
      <c r="E74" s="99"/>
      <c r="F74" s="99"/>
    </row>
    <row r="75" spans="1:8" ht="17.75" customHeight="1" x14ac:dyDescent="0.25">
      <c r="B75" s="99"/>
      <c r="C75" s="99"/>
      <c r="D75" s="99"/>
      <c r="E75" s="99"/>
      <c r="F75" s="99"/>
      <c r="G75" s="99"/>
      <c r="H75" s="99"/>
    </row>
    <row r="76" spans="1:8" ht="17.75" customHeight="1" x14ac:dyDescent="0.3">
      <c r="A76" s="1226"/>
      <c r="B76" s="1475"/>
      <c r="C76" s="1476"/>
      <c r="D76" s="1476"/>
      <c r="E76" s="1476"/>
      <c r="F76" s="1476"/>
      <c r="G76" s="1476"/>
      <c r="H76" s="1476"/>
    </row>
    <row r="77" spans="1:8" ht="18" x14ac:dyDescent="0.3">
      <c r="A77" s="1226"/>
      <c r="B77" s="1475"/>
      <c r="C77" s="1476"/>
      <c r="D77" s="1476"/>
      <c r="E77" s="1476"/>
      <c r="F77" s="1476"/>
      <c r="G77" s="1476"/>
      <c r="H77" s="1476"/>
    </row>
    <row r="78" spans="1:8" ht="45.5" customHeight="1" x14ac:dyDescent="0.25">
      <c r="A78" s="1231"/>
      <c r="B78" s="1241"/>
      <c r="C78" s="1242"/>
      <c r="D78" s="1241"/>
      <c r="E78" s="1243"/>
      <c r="F78" s="1243"/>
      <c r="G78" s="1241"/>
      <c r="H78" s="1243"/>
    </row>
    <row r="79" spans="1:8" ht="14.25" customHeight="1" x14ac:dyDescent="0.25">
      <c r="A79" s="869"/>
      <c r="B79" s="1244"/>
      <c r="C79" s="1244"/>
      <c r="D79" s="1244"/>
      <c r="E79" s="1245"/>
      <c r="F79" s="1246"/>
      <c r="G79" s="1247"/>
      <c r="H79" s="1248"/>
    </row>
    <row r="80" spans="1:8" ht="14.25" customHeight="1" x14ac:dyDescent="0.25">
      <c r="A80" s="869"/>
      <c r="B80" s="1244"/>
      <c r="C80" s="1244"/>
      <c r="D80" s="1244"/>
      <c r="E80" s="1245"/>
      <c r="F80" s="1246"/>
      <c r="G80" s="1247"/>
      <c r="H80" s="1248"/>
    </row>
    <row r="81" spans="1:8" ht="14.25" customHeight="1" x14ac:dyDescent="0.25">
      <c r="A81" s="869"/>
      <c r="B81" s="1244"/>
      <c r="C81" s="1244"/>
      <c r="D81" s="1244"/>
      <c r="E81" s="1245"/>
      <c r="F81" s="1246"/>
      <c r="G81" s="1247"/>
      <c r="H81" s="1248"/>
    </row>
    <row r="82" spans="1:8" ht="14.25" customHeight="1" x14ac:dyDescent="0.25">
      <c r="A82" s="869"/>
      <c r="B82" s="1244"/>
      <c r="C82" s="1244"/>
      <c r="D82" s="1244"/>
      <c r="E82" s="1245"/>
      <c r="F82" s="1246"/>
      <c r="G82" s="1247"/>
      <c r="H82" s="1248"/>
    </row>
    <row r="83" spans="1:8" ht="14.25" customHeight="1" x14ac:dyDescent="0.25">
      <c r="A83" s="869"/>
      <c r="B83" s="1244"/>
      <c r="C83" s="1244"/>
      <c r="D83" s="1244"/>
      <c r="E83" s="1245"/>
      <c r="F83" s="1246"/>
      <c r="G83" s="1247"/>
      <c r="H83" s="1248"/>
    </row>
    <row r="84" spans="1:8" ht="14.25" customHeight="1" x14ac:dyDescent="0.25">
      <c r="A84" s="869"/>
      <c r="B84" s="1244"/>
      <c r="C84" s="1244"/>
      <c r="D84" s="1244"/>
      <c r="E84" s="1245"/>
      <c r="F84" s="1246"/>
      <c r="G84" s="1247"/>
      <c r="H84" s="1248"/>
    </row>
    <row r="85" spans="1:8" ht="12.75" customHeight="1" x14ac:dyDescent="0.25">
      <c r="A85" s="869"/>
      <c r="B85" s="1244"/>
      <c r="C85" s="1244"/>
      <c r="D85" s="1244"/>
      <c r="E85" s="1245"/>
      <c r="F85" s="1246"/>
      <c r="G85" s="1247"/>
      <c r="H85" s="1248"/>
    </row>
    <row r="86" spans="1:8" ht="19.25" customHeight="1" x14ac:dyDescent="0.25">
      <c r="A86" s="869"/>
      <c r="B86" s="888"/>
      <c r="C86" s="869"/>
      <c r="D86" s="869"/>
      <c r="E86" s="863"/>
      <c r="F86" s="863"/>
      <c r="G86" s="869"/>
      <c r="H86" s="869"/>
    </row>
    <row r="87" spans="1:8" ht="21" customHeight="1" x14ac:dyDescent="0.4">
      <c r="A87" s="869"/>
      <c r="B87" s="889"/>
      <c r="C87" s="893"/>
      <c r="D87" s="1252"/>
      <c r="E87" s="863"/>
      <c r="F87" s="1253"/>
      <c r="G87" s="869"/>
      <c r="H87" s="869"/>
    </row>
    <row r="88" spans="1:8" ht="12.75" customHeight="1" x14ac:dyDescent="0.25">
      <c r="A88" s="869"/>
      <c r="B88" s="863"/>
      <c r="C88" s="863"/>
      <c r="D88" s="863"/>
      <c r="E88" s="863"/>
      <c r="F88" s="863"/>
      <c r="G88" s="863"/>
      <c r="H88" s="863"/>
    </row>
    <row r="89" spans="1:8" ht="17.75" customHeight="1" x14ac:dyDescent="0.25">
      <c r="A89" s="869"/>
      <c r="B89" s="863"/>
      <c r="C89" s="863"/>
      <c r="D89" s="863"/>
      <c r="E89" s="863"/>
      <c r="F89" s="863"/>
      <c r="G89" s="863"/>
      <c r="H89" s="863"/>
    </row>
    <row r="90" spans="1:8" ht="17.75" customHeight="1" x14ac:dyDescent="0.3">
      <c r="A90" s="1226"/>
      <c r="B90" s="1475"/>
      <c r="C90" s="1476"/>
      <c r="D90" s="1476"/>
      <c r="E90" s="1476"/>
      <c r="F90" s="1476"/>
      <c r="G90" s="1476"/>
      <c r="H90" s="1476"/>
    </row>
    <row r="91" spans="1:8" ht="18" x14ac:dyDescent="0.3">
      <c r="A91" s="1226"/>
      <c r="B91" s="1475"/>
      <c r="C91" s="1476"/>
      <c r="D91" s="1476"/>
      <c r="E91" s="1476"/>
      <c r="F91" s="1476"/>
      <c r="G91" s="1476"/>
      <c r="H91" s="1476"/>
    </row>
    <row r="92" spans="1:8" ht="48.5" customHeight="1" x14ac:dyDescent="0.25">
      <c r="A92" s="1231"/>
      <c r="B92" s="1241"/>
      <c r="C92" s="1242"/>
      <c r="D92" s="1241"/>
      <c r="E92" s="1243"/>
      <c r="F92" s="1243"/>
      <c r="G92" s="1241"/>
      <c r="H92" s="1243"/>
    </row>
    <row r="93" spans="1:8" ht="14.25" customHeight="1" x14ac:dyDescent="0.25">
      <c r="A93" s="869"/>
      <c r="B93" s="1244"/>
      <c r="C93" s="1244"/>
      <c r="D93" s="1244"/>
      <c r="E93" s="1245"/>
      <c r="F93" s="1246"/>
      <c r="G93" s="1247"/>
      <c r="H93" s="1248"/>
    </row>
    <row r="94" spans="1:8" ht="14.25" customHeight="1" x14ac:dyDescent="0.25">
      <c r="A94" s="869"/>
      <c r="B94" s="1244"/>
      <c r="C94" s="1244"/>
      <c r="D94" s="1244"/>
      <c r="E94" s="1245"/>
      <c r="F94" s="1246"/>
      <c r="G94" s="1247"/>
      <c r="H94" s="1248"/>
    </row>
    <row r="95" spans="1:8" ht="14.25" customHeight="1" x14ac:dyDescent="0.25">
      <c r="A95" s="869"/>
      <c r="B95" s="1244"/>
      <c r="C95" s="1244"/>
      <c r="D95" s="1244"/>
      <c r="E95" s="1245"/>
      <c r="F95" s="1246"/>
      <c r="G95" s="1247"/>
      <c r="H95" s="1248"/>
    </row>
    <row r="96" spans="1:8" ht="14.25" customHeight="1" x14ac:dyDescent="0.25">
      <c r="A96" s="869"/>
      <c r="B96" s="1244"/>
      <c r="C96" s="1244"/>
      <c r="D96" s="1244"/>
      <c r="E96" s="1245"/>
      <c r="F96" s="1246"/>
      <c r="G96" s="1247"/>
      <c r="H96" s="1248"/>
    </row>
    <row r="97" spans="1:8" ht="14.25" customHeight="1" x14ac:dyDescent="0.25">
      <c r="A97" s="869"/>
      <c r="B97" s="1244"/>
      <c r="C97" s="1244"/>
      <c r="D97" s="1244"/>
      <c r="E97" s="1245"/>
      <c r="F97" s="1246"/>
      <c r="G97" s="1247"/>
      <c r="H97" s="1248"/>
    </row>
    <row r="98" spans="1:8" ht="14.25" customHeight="1" x14ac:dyDescent="0.25">
      <c r="A98" s="869"/>
      <c r="B98" s="1244"/>
      <c r="C98" s="1244"/>
      <c r="D98" s="1244"/>
      <c r="E98" s="1245"/>
      <c r="F98" s="1246"/>
      <c r="G98" s="1247"/>
      <c r="H98" s="1248"/>
    </row>
    <row r="99" spans="1:8" ht="12.75" customHeight="1" x14ac:dyDescent="0.25">
      <c r="A99" s="869"/>
      <c r="B99" s="1244"/>
      <c r="C99" s="1244"/>
      <c r="D99" s="1244"/>
      <c r="E99" s="1245"/>
      <c r="F99" s="1246"/>
      <c r="G99" s="1247"/>
      <c r="H99" s="1248"/>
    </row>
    <row r="100" spans="1:8" ht="18.5" customHeight="1" x14ac:dyDescent="0.25">
      <c r="A100" s="869"/>
      <c r="B100" s="888"/>
      <c r="C100" s="869"/>
      <c r="D100" s="869"/>
      <c r="E100" s="863"/>
      <c r="F100" s="863"/>
      <c r="G100" s="869"/>
      <c r="H100" s="869"/>
    </row>
    <row r="101" spans="1:8" ht="20" x14ac:dyDescent="0.4">
      <c r="A101" s="869"/>
      <c r="B101" s="889"/>
      <c r="C101" s="893"/>
      <c r="D101" s="1252"/>
      <c r="E101" s="863"/>
      <c r="F101" s="1253"/>
      <c r="G101" s="869"/>
      <c r="H101" s="869"/>
    </row>
    <row r="103" spans="1:8" ht="17.75" customHeight="1" x14ac:dyDescent="0.25"/>
    <row r="104" spans="1:8" ht="17.75" customHeight="1" x14ac:dyDescent="0.25">
      <c r="A104" s="329"/>
      <c r="B104" s="1481" t="s">
        <v>350</v>
      </c>
      <c r="C104" s="1460"/>
      <c r="D104" s="1460"/>
      <c r="E104" s="1460"/>
      <c r="F104" s="1460"/>
      <c r="G104" s="1460"/>
      <c r="H104" s="1460"/>
    </row>
    <row r="105" spans="1:8" ht="14" x14ac:dyDescent="0.3">
      <c r="A105" s="329"/>
      <c r="B105" s="1438" t="s">
        <v>351</v>
      </c>
      <c r="C105" s="1444"/>
      <c r="D105" s="1444"/>
      <c r="E105" s="1444"/>
      <c r="F105" s="1444"/>
      <c r="G105" s="1444"/>
      <c r="H105" s="1444"/>
    </row>
    <row r="106" spans="1:8" ht="41" customHeight="1" x14ac:dyDescent="0.25">
      <c r="A106" s="90"/>
      <c r="B106" s="242" t="s">
        <v>245</v>
      </c>
      <c r="C106" s="243" t="s">
        <v>246</v>
      </c>
      <c r="D106" s="244" t="s">
        <v>235</v>
      </c>
      <c r="E106" s="217" t="s">
        <v>238</v>
      </c>
      <c r="F106" s="217" t="s">
        <v>247</v>
      </c>
      <c r="G106" s="244" t="s">
        <v>248</v>
      </c>
      <c r="H106" s="217" t="s">
        <v>249</v>
      </c>
    </row>
    <row r="107" spans="1:8" ht="14.25" customHeight="1" x14ac:dyDescent="0.25">
      <c r="A107" s="294" t="s">
        <v>13</v>
      </c>
      <c r="B107" s="322" t="str">
        <f t="shared" ref="B107:D113" si="10">B6</f>
        <v>Potato - بطاطس</v>
      </c>
      <c r="C107" s="322" t="str">
        <f t="shared" si="10"/>
        <v>gm</v>
      </c>
      <c r="D107" s="322">
        <f t="shared" si="10"/>
        <v>1097.8260869565217</v>
      </c>
      <c r="E107" s="350">
        <f t="shared" ref="E107:E113" si="11">$C$56</f>
        <v>0</v>
      </c>
      <c r="F107" s="126">
        <f t="shared" ref="F107:F113" si="12">F6</f>
        <v>1</v>
      </c>
      <c r="G107" s="118">
        <f t="shared" ref="G107:G113" si="13">D107*E107</f>
        <v>0</v>
      </c>
      <c r="H107" s="119">
        <f t="shared" ref="H107:H113" si="14">G107*F107</f>
        <v>0</v>
      </c>
    </row>
    <row r="108" spans="1:8" ht="14.25" customHeight="1" x14ac:dyDescent="0.25">
      <c r="A108" s="294" t="s">
        <v>56</v>
      </c>
      <c r="B108" s="322" t="str">
        <f t="shared" si="10"/>
        <v>Ginger - زنجبيل</v>
      </c>
      <c r="C108" s="322" t="str">
        <f t="shared" si="10"/>
        <v>gm</v>
      </c>
      <c r="D108" s="322">
        <f t="shared" si="10"/>
        <v>10</v>
      </c>
      <c r="E108" s="350">
        <f t="shared" si="11"/>
        <v>0</v>
      </c>
      <c r="F108" s="126">
        <f t="shared" si="12"/>
        <v>1</v>
      </c>
      <c r="G108" s="118">
        <f t="shared" si="13"/>
        <v>0</v>
      </c>
      <c r="H108" s="119">
        <f t="shared" si="14"/>
        <v>0</v>
      </c>
    </row>
    <row r="109" spans="1:8" ht="14.25" customHeight="1" x14ac:dyDescent="0.25">
      <c r="A109" s="294" t="s">
        <v>62</v>
      </c>
      <c r="B109" s="322" t="str">
        <f t="shared" si="10"/>
        <v>Coriander Leaves - كزبرة خضراء</v>
      </c>
      <c r="C109" s="322" t="str">
        <f t="shared" si="10"/>
        <v>gm</v>
      </c>
      <c r="D109" s="322">
        <f t="shared" si="10"/>
        <v>5</v>
      </c>
      <c r="E109" s="350">
        <f t="shared" si="11"/>
        <v>0</v>
      </c>
      <c r="F109" s="126">
        <f t="shared" si="12"/>
        <v>1</v>
      </c>
      <c r="G109" s="118">
        <f t="shared" si="13"/>
        <v>0</v>
      </c>
      <c r="H109" s="119">
        <f t="shared" si="14"/>
        <v>0</v>
      </c>
    </row>
    <row r="110" spans="1:8" ht="14.25" customHeight="1" x14ac:dyDescent="0.25">
      <c r="A110" s="294" t="s">
        <v>154</v>
      </c>
      <c r="B110" s="322" t="str">
        <f t="shared" si="10"/>
        <v>Butter - زبدة</v>
      </c>
      <c r="C110" s="322" t="str">
        <f t="shared" si="10"/>
        <v>gm</v>
      </c>
      <c r="D110" s="322">
        <f t="shared" si="10"/>
        <v>10</v>
      </c>
      <c r="E110" s="350">
        <f t="shared" si="11"/>
        <v>0</v>
      </c>
      <c r="F110" s="126">
        <f t="shared" si="12"/>
        <v>1</v>
      </c>
      <c r="G110" s="118">
        <f t="shared" si="13"/>
        <v>0</v>
      </c>
      <c r="H110" s="119">
        <f t="shared" si="14"/>
        <v>0</v>
      </c>
    </row>
    <row r="111" spans="1:8" ht="14.25" customHeight="1" x14ac:dyDescent="0.25">
      <c r="A111" s="294" t="s">
        <v>95</v>
      </c>
      <c r="B111" s="322" t="str">
        <f t="shared" si="10"/>
        <v>White Pepper - فلفل أبيض</v>
      </c>
      <c r="C111" s="322" t="str">
        <f t="shared" si="10"/>
        <v>gm</v>
      </c>
      <c r="D111" s="322">
        <f t="shared" si="10"/>
        <v>2</v>
      </c>
      <c r="E111" s="350">
        <f t="shared" si="11"/>
        <v>0</v>
      </c>
      <c r="F111" s="126">
        <f t="shared" si="12"/>
        <v>0.75</v>
      </c>
      <c r="G111" s="118">
        <f t="shared" si="13"/>
        <v>0</v>
      </c>
      <c r="H111" s="119">
        <f t="shared" si="14"/>
        <v>0</v>
      </c>
    </row>
    <row r="112" spans="1:8" ht="14.25" customHeight="1" x14ac:dyDescent="0.25">
      <c r="A112" s="294" t="s">
        <v>95</v>
      </c>
      <c r="B112" s="322" t="str">
        <f t="shared" si="10"/>
        <v>Salt - ملح</v>
      </c>
      <c r="C112" s="322" t="str">
        <f t="shared" si="10"/>
        <v>gm</v>
      </c>
      <c r="D112" s="322">
        <f t="shared" si="10"/>
        <v>5</v>
      </c>
      <c r="E112" s="350">
        <f t="shared" si="11"/>
        <v>0</v>
      </c>
      <c r="F112" s="126">
        <f t="shared" si="12"/>
        <v>0.75</v>
      </c>
      <c r="G112" s="118">
        <f t="shared" si="13"/>
        <v>0</v>
      </c>
      <c r="H112" s="119">
        <f t="shared" si="14"/>
        <v>0</v>
      </c>
    </row>
    <row r="113" spans="1:8" ht="12.75" customHeight="1" x14ac:dyDescent="0.25">
      <c r="A113" s="294" t="s">
        <v>95</v>
      </c>
      <c r="B113" s="322" t="str">
        <f t="shared" si="10"/>
        <v>Cumin Powder - كمون مطحون</v>
      </c>
      <c r="C113" s="322" t="str">
        <f t="shared" si="10"/>
        <v>gm</v>
      </c>
      <c r="D113" s="322">
        <f t="shared" si="10"/>
        <v>1</v>
      </c>
      <c r="E113" s="350">
        <f t="shared" si="11"/>
        <v>0</v>
      </c>
      <c r="F113" s="126">
        <f t="shared" si="12"/>
        <v>0.75</v>
      </c>
      <c r="G113" s="118">
        <f t="shared" si="13"/>
        <v>0</v>
      </c>
      <c r="H113" s="119">
        <f t="shared" si="14"/>
        <v>0</v>
      </c>
    </row>
    <row r="114" spans="1:8" ht="19.25" customHeight="1" x14ac:dyDescent="0.25">
      <c r="B114" s="197" t="s">
        <v>737</v>
      </c>
      <c r="E114" s="99"/>
      <c r="F114" s="99"/>
    </row>
    <row r="115" spans="1:8" ht="20" x14ac:dyDescent="0.4">
      <c r="B115" s="198">
        <f>D56</f>
        <v>0</v>
      </c>
      <c r="C115" s="207"/>
      <c r="D115" s="4"/>
      <c r="E115" s="99"/>
      <c r="F115" s="182"/>
    </row>
    <row r="116" spans="1:8" ht="17.75" customHeight="1" x14ac:dyDescent="0.25"/>
    <row r="117" spans="1:8" ht="17.75" customHeight="1" x14ac:dyDescent="0.25">
      <c r="A117" s="329"/>
      <c r="B117" s="1481" t="s">
        <v>352</v>
      </c>
      <c r="C117" s="1460"/>
      <c r="D117" s="1460"/>
      <c r="E117" s="1460"/>
      <c r="F117" s="1460"/>
      <c r="G117" s="1460"/>
      <c r="H117" s="1460"/>
    </row>
    <row r="118" spans="1:8" ht="14" x14ac:dyDescent="0.3">
      <c r="A118" s="329"/>
      <c r="B118" s="1438" t="s">
        <v>353</v>
      </c>
      <c r="C118" s="1444"/>
      <c r="D118" s="1444"/>
      <c r="E118" s="1444"/>
      <c r="F118" s="1444"/>
      <c r="G118" s="1444"/>
      <c r="H118" s="1444"/>
    </row>
    <row r="119" spans="1:8" ht="44.75" customHeight="1" x14ac:dyDescent="0.25">
      <c r="A119" s="90"/>
      <c r="B119" s="242" t="s">
        <v>245</v>
      </c>
      <c r="C119" s="243" t="s">
        <v>246</v>
      </c>
      <c r="D119" s="244" t="s">
        <v>235</v>
      </c>
      <c r="E119" s="217" t="s">
        <v>238</v>
      </c>
      <c r="F119" s="217" t="s">
        <v>247</v>
      </c>
      <c r="G119" s="244" t="s">
        <v>248</v>
      </c>
      <c r="H119" s="217" t="s">
        <v>249</v>
      </c>
    </row>
    <row r="120" spans="1:8" ht="14.25" customHeight="1" x14ac:dyDescent="0.25">
      <c r="A120" s="294" t="s">
        <v>13</v>
      </c>
      <c r="B120" s="322" t="str">
        <f t="shared" ref="B120:D126" si="15">B6</f>
        <v>Potato - بطاطس</v>
      </c>
      <c r="C120" s="322" t="str">
        <f t="shared" si="15"/>
        <v>gm</v>
      </c>
      <c r="D120" s="322">
        <f t="shared" si="15"/>
        <v>1097.8260869565217</v>
      </c>
      <c r="E120" s="350">
        <f t="shared" ref="E120:E126" si="16">$C$57</f>
        <v>0</v>
      </c>
      <c r="F120" s="126">
        <f t="shared" ref="F120:F126" si="17">F6</f>
        <v>1</v>
      </c>
      <c r="G120" s="118">
        <f t="shared" ref="G120:G126" si="18">D120*E120</f>
        <v>0</v>
      </c>
      <c r="H120" s="119">
        <f t="shared" ref="H120:H126" si="19">G120*F120</f>
        <v>0</v>
      </c>
    </row>
    <row r="121" spans="1:8" ht="14.25" customHeight="1" x14ac:dyDescent="0.25">
      <c r="A121" s="294" t="s">
        <v>56</v>
      </c>
      <c r="B121" s="322" t="str">
        <f t="shared" si="15"/>
        <v>Ginger - زنجبيل</v>
      </c>
      <c r="C121" s="322" t="str">
        <f t="shared" si="15"/>
        <v>gm</v>
      </c>
      <c r="D121" s="322">
        <f t="shared" si="15"/>
        <v>10</v>
      </c>
      <c r="E121" s="350">
        <f t="shared" si="16"/>
        <v>0</v>
      </c>
      <c r="F121" s="126">
        <f t="shared" si="17"/>
        <v>1</v>
      </c>
      <c r="G121" s="118">
        <f t="shared" si="18"/>
        <v>0</v>
      </c>
      <c r="H121" s="119">
        <f t="shared" si="19"/>
        <v>0</v>
      </c>
    </row>
    <row r="122" spans="1:8" ht="14.25" customHeight="1" x14ac:dyDescent="0.25">
      <c r="A122" s="294" t="s">
        <v>62</v>
      </c>
      <c r="B122" s="322" t="str">
        <f t="shared" si="15"/>
        <v>Coriander Leaves - كزبرة خضراء</v>
      </c>
      <c r="C122" s="322" t="str">
        <f t="shared" si="15"/>
        <v>gm</v>
      </c>
      <c r="D122" s="322">
        <f t="shared" si="15"/>
        <v>5</v>
      </c>
      <c r="E122" s="350">
        <f t="shared" si="16"/>
        <v>0</v>
      </c>
      <c r="F122" s="126">
        <f t="shared" si="17"/>
        <v>1</v>
      </c>
      <c r="G122" s="118">
        <f t="shared" si="18"/>
        <v>0</v>
      </c>
      <c r="H122" s="119">
        <f t="shared" si="19"/>
        <v>0</v>
      </c>
    </row>
    <row r="123" spans="1:8" ht="14.25" customHeight="1" x14ac:dyDescent="0.25">
      <c r="A123" s="294" t="s">
        <v>154</v>
      </c>
      <c r="B123" s="322" t="str">
        <f t="shared" si="15"/>
        <v>Butter - زبدة</v>
      </c>
      <c r="C123" s="322" t="str">
        <f t="shared" si="15"/>
        <v>gm</v>
      </c>
      <c r="D123" s="322">
        <f t="shared" si="15"/>
        <v>10</v>
      </c>
      <c r="E123" s="350">
        <f t="shared" si="16"/>
        <v>0</v>
      </c>
      <c r="F123" s="126">
        <f t="shared" si="17"/>
        <v>1</v>
      </c>
      <c r="G123" s="118">
        <f t="shared" si="18"/>
        <v>0</v>
      </c>
      <c r="H123" s="119">
        <f t="shared" si="19"/>
        <v>0</v>
      </c>
    </row>
    <row r="124" spans="1:8" ht="14.25" customHeight="1" x14ac:dyDescent="0.25">
      <c r="A124" s="294" t="s">
        <v>95</v>
      </c>
      <c r="B124" s="322" t="str">
        <f t="shared" si="15"/>
        <v>White Pepper - فلفل أبيض</v>
      </c>
      <c r="C124" s="322" t="str">
        <f t="shared" si="15"/>
        <v>gm</v>
      </c>
      <c r="D124" s="322">
        <f t="shared" si="15"/>
        <v>2</v>
      </c>
      <c r="E124" s="350">
        <f t="shared" si="16"/>
        <v>0</v>
      </c>
      <c r="F124" s="126">
        <f t="shared" si="17"/>
        <v>0.75</v>
      </c>
      <c r="G124" s="118">
        <f t="shared" si="18"/>
        <v>0</v>
      </c>
      <c r="H124" s="119">
        <f t="shared" si="19"/>
        <v>0</v>
      </c>
    </row>
    <row r="125" spans="1:8" ht="14.25" customHeight="1" x14ac:dyDescent="0.25">
      <c r="A125" s="294" t="s">
        <v>95</v>
      </c>
      <c r="B125" s="322" t="str">
        <f t="shared" si="15"/>
        <v>Salt - ملح</v>
      </c>
      <c r="C125" s="322" t="str">
        <f t="shared" si="15"/>
        <v>gm</v>
      </c>
      <c r="D125" s="322">
        <f t="shared" si="15"/>
        <v>5</v>
      </c>
      <c r="E125" s="350">
        <f t="shared" si="16"/>
        <v>0</v>
      </c>
      <c r="F125" s="126">
        <f t="shared" si="17"/>
        <v>0.75</v>
      </c>
      <c r="G125" s="118">
        <f t="shared" si="18"/>
        <v>0</v>
      </c>
      <c r="H125" s="119">
        <f t="shared" si="19"/>
        <v>0</v>
      </c>
    </row>
    <row r="126" spans="1:8" ht="14" x14ac:dyDescent="0.25">
      <c r="A126" s="294" t="s">
        <v>95</v>
      </c>
      <c r="B126" s="322" t="str">
        <f t="shared" si="15"/>
        <v>Cumin Powder - كمون مطحون</v>
      </c>
      <c r="C126" s="322" t="str">
        <f t="shared" si="15"/>
        <v>gm</v>
      </c>
      <c r="D126" s="322">
        <f t="shared" si="15"/>
        <v>1</v>
      </c>
      <c r="E126" s="350">
        <f t="shared" si="16"/>
        <v>0</v>
      </c>
      <c r="F126" s="126">
        <f t="shared" si="17"/>
        <v>0.75</v>
      </c>
      <c r="G126" s="118">
        <f t="shared" si="18"/>
        <v>0</v>
      </c>
      <c r="H126" s="119">
        <f t="shared" si="19"/>
        <v>0</v>
      </c>
    </row>
    <row r="127" spans="1:8" ht="21" customHeight="1" x14ac:dyDescent="0.25">
      <c r="B127" s="197" t="s">
        <v>737</v>
      </c>
    </row>
    <row r="128" spans="1:8" ht="20" x14ac:dyDescent="0.4">
      <c r="B128" s="198">
        <f>D57</f>
        <v>0</v>
      </c>
    </row>
  </sheetData>
  <mergeCells count="13">
    <mergeCell ref="AE2:AG3"/>
    <mergeCell ref="B118:H118"/>
    <mergeCell ref="B90:H90"/>
    <mergeCell ref="B105:H105"/>
    <mergeCell ref="B77:H77"/>
    <mergeCell ref="B91:H91"/>
    <mergeCell ref="B62:H62"/>
    <mergeCell ref="B2:H2"/>
    <mergeCell ref="B117:H117"/>
    <mergeCell ref="B104:H104"/>
    <mergeCell ref="R25:T25"/>
    <mergeCell ref="B76:H76"/>
    <mergeCell ref="B63:H63"/>
  </mergeCells>
  <printOptions horizontalCentered="1"/>
  <pageMargins left="0.5" right="0.5" top="1" bottom="0.5" header="0.3" footer="0.511811023622047"/>
  <pageSetup paperSize="9" scale="32"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2E75B6"/>
    <pageSetUpPr fitToPage="1"/>
  </sheetPr>
  <dimension ref="A1:AT123"/>
  <sheetViews>
    <sheetView topLeftCell="Q10" zoomScale="70" zoomScaleNormal="70" workbookViewId="0">
      <selection activeCell="AC25" sqref="AC25"/>
    </sheetView>
  </sheetViews>
  <sheetFormatPr defaultColWidth="12.5" defaultRowHeight="14" x14ac:dyDescent="0.3"/>
  <cols>
    <col min="1" max="1" width="12.5" style="78" customWidth="1"/>
    <col min="2" max="2" width="30.914062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9" width="12.5" style="14" customWidth="1"/>
    <col min="10" max="10" width="11" style="14" customWidth="1"/>
    <col min="11" max="11" width="12.5" style="14" customWidth="1"/>
    <col min="12" max="12" width="8.33203125" style="14" customWidth="1"/>
    <col min="13" max="14" width="5.1640625" style="14" customWidth="1"/>
    <col min="15" max="17" width="12.5" style="14" customWidth="1"/>
    <col min="18" max="18" width="32.83203125" style="14" customWidth="1"/>
    <col min="19" max="27" width="12.5" style="14" customWidth="1"/>
    <col min="28" max="28" width="11.9140625" style="14" bestFit="1" customWidth="1"/>
    <col min="29" max="29" width="13.33203125" style="14" bestFit="1" customWidth="1"/>
    <col min="30" max="31" width="10" style="14" bestFit="1" customWidth="1"/>
    <col min="32" max="32" width="7.08203125" style="14" bestFit="1" customWidth="1"/>
    <col min="33" max="35" width="4.08203125" style="14" customWidth="1"/>
    <col min="36" max="36" width="32.5" style="14" customWidth="1"/>
    <col min="37" max="37" width="12.5" style="14" customWidth="1"/>
    <col min="38" max="38" width="16.9140625" style="14" customWidth="1"/>
    <col min="39" max="16384" width="12.5" style="14"/>
  </cols>
  <sheetData>
    <row r="1" spans="1:46" s="249" customFormat="1" ht="35.25" customHeight="1" x14ac:dyDescent="0.25">
      <c r="A1" s="247"/>
      <c r="B1" s="79" t="s">
        <v>235</v>
      </c>
      <c r="C1" s="80">
        <v>1000</v>
      </c>
      <c r="D1" s="81" t="s">
        <v>236</v>
      </c>
      <c r="E1" s="116">
        <f>T32</f>
        <v>10977.692307692319</v>
      </c>
      <c r="F1" s="79" t="s">
        <v>237</v>
      </c>
      <c r="G1" s="80">
        <f>E1/C1</f>
        <v>10.977692307692319</v>
      </c>
      <c r="H1" s="79" t="s">
        <v>238</v>
      </c>
      <c r="I1" s="248">
        <f>(G1/K1)</f>
        <v>10.977692307692319</v>
      </c>
      <c r="J1" s="85" t="s">
        <v>239</v>
      </c>
      <c r="K1" s="248">
        <v>1</v>
      </c>
      <c r="L1" s="91"/>
      <c r="M1" s="88"/>
      <c r="N1" s="89"/>
      <c r="O1" s="90" t="s">
        <v>240</v>
      </c>
      <c r="P1" s="91" t="s">
        <v>241</v>
      </c>
      <c r="Q1" s="92" t="s">
        <v>242</v>
      </c>
      <c r="R1" s="91">
        <v>0.59</v>
      </c>
      <c r="S1" s="91"/>
      <c r="T1" s="91"/>
      <c r="Y1" s="90" t="s">
        <v>463</v>
      </c>
      <c r="Z1" s="835">
        <v>47570</v>
      </c>
      <c r="AA1" s="90" t="s">
        <v>578</v>
      </c>
      <c r="AB1" s="835">
        <v>0</v>
      </c>
      <c r="AC1" s="90" t="s">
        <v>567</v>
      </c>
      <c r="AD1" s="835">
        <v>325</v>
      </c>
      <c r="AF1" s="251"/>
      <c r="AG1" s="91"/>
      <c r="AI1" s="14"/>
      <c r="AJ1" s="93" t="s">
        <v>254</v>
      </c>
      <c r="AK1" s="93">
        <v>10000</v>
      </c>
      <c r="AL1" s="623" t="s">
        <v>503</v>
      </c>
      <c r="AM1" s="624">
        <f>$S$32</f>
        <v>36592.307692307681</v>
      </c>
      <c r="AN1" s="93" t="s">
        <v>243</v>
      </c>
      <c r="AO1" s="95">
        <f>($S$32/$R$1)/$AK$1</f>
        <v>6.2020860495436745</v>
      </c>
      <c r="AP1" s="94"/>
    </row>
    <row r="2" spans="1:46" ht="15.75" customHeight="1" x14ac:dyDescent="0.3">
      <c r="A2" s="96"/>
      <c r="B2" s="1450" t="s">
        <v>43</v>
      </c>
      <c r="C2" s="1460"/>
      <c r="D2" s="1460"/>
      <c r="E2" s="1460"/>
      <c r="F2" s="1460"/>
      <c r="G2" s="1460"/>
      <c r="H2" s="1460"/>
      <c r="I2" s="1460"/>
      <c r="J2" s="1460"/>
      <c r="K2" s="1443"/>
      <c r="L2" s="1443"/>
      <c r="O2" s="99"/>
      <c r="P2" s="99"/>
      <c r="Q2" s="99"/>
      <c r="R2" s="99"/>
      <c r="S2" s="99"/>
      <c r="T2" s="99"/>
      <c r="U2" s="99"/>
      <c r="AC2" s="98"/>
      <c r="AD2" s="98"/>
      <c r="AE2" s="1457"/>
      <c r="AF2" s="1460"/>
      <c r="AG2" s="1460"/>
      <c r="AJ2" s="100"/>
      <c r="AK2" s="1442" t="s">
        <v>355</v>
      </c>
      <c r="AL2" s="1442"/>
      <c r="AM2" s="1442"/>
      <c r="AN2" s="101"/>
      <c r="AO2" s="100"/>
      <c r="AP2" s="100"/>
    </row>
    <row r="3" spans="1:46" ht="15.75" customHeight="1" x14ac:dyDescent="0.3">
      <c r="A3" s="96"/>
      <c r="B3" s="1444"/>
      <c r="C3" s="1444"/>
      <c r="D3" s="1444"/>
      <c r="E3" s="1444"/>
      <c r="F3" s="1444"/>
      <c r="G3" s="1444"/>
      <c r="H3" s="1444"/>
      <c r="I3" s="1444"/>
      <c r="J3" s="1444"/>
      <c r="K3" s="1444"/>
      <c r="L3" s="1444"/>
      <c r="O3" s="99"/>
      <c r="P3" s="99"/>
      <c r="Q3" s="99"/>
      <c r="R3" s="99"/>
      <c r="S3" s="99"/>
      <c r="T3" s="99"/>
      <c r="U3" s="99"/>
      <c r="AC3" s="98"/>
      <c r="AD3" s="98"/>
      <c r="AE3" s="1460"/>
      <c r="AF3" s="1460"/>
      <c r="AG3" s="1460"/>
      <c r="AJ3" s="372"/>
      <c r="AK3" s="103"/>
      <c r="AL3" s="104"/>
      <c r="AM3" s="104"/>
      <c r="AN3" s="104"/>
      <c r="AO3" s="103"/>
      <c r="AP3" s="103"/>
    </row>
    <row r="4" spans="1:46" ht="69" customHeight="1" x14ac:dyDescent="0.25">
      <c r="A4" s="90" t="s">
        <v>1</v>
      </c>
      <c r="B4" s="90" t="s">
        <v>354</v>
      </c>
      <c r="C4" s="106" t="s">
        <v>246</v>
      </c>
      <c r="D4" s="90" t="s">
        <v>235</v>
      </c>
      <c r="E4" s="107" t="s">
        <v>238</v>
      </c>
      <c r="F4" s="107" t="s">
        <v>247</v>
      </c>
      <c r="G4" s="90" t="s">
        <v>248</v>
      </c>
      <c r="H4" s="108" t="s">
        <v>249</v>
      </c>
      <c r="I4" s="90" t="s">
        <v>250</v>
      </c>
      <c r="J4" s="90" t="s">
        <v>251</v>
      </c>
      <c r="K4" s="90" t="s">
        <v>252</v>
      </c>
      <c r="L4" s="90" t="s">
        <v>253</v>
      </c>
      <c r="O4" s="99"/>
      <c r="P4" s="99"/>
      <c r="Q4" s="99"/>
      <c r="R4" s="99"/>
      <c r="S4" s="99"/>
      <c r="AA4" s="250"/>
      <c r="AB4" s="252"/>
      <c r="AC4" s="250"/>
      <c r="AD4" s="250"/>
      <c r="AE4" s="250"/>
      <c r="AJ4" s="109" t="s">
        <v>245</v>
      </c>
      <c r="AK4" s="110" t="s">
        <v>246</v>
      </c>
      <c r="AL4" s="109" t="s">
        <v>254</v>
      </c>
      <c r="AM4" s="109" t="s">
        <v>238</v>
      </c>
      <c r="AN4" s="109" t="s">
        <v>247</v>
      </c>
      <c r="AO4" s="109" t="s">
        <v>248</v>
      </c>
      <c r="AP4" s="111" t="s">
        <v>249</v>
      </c>
      <c r="AQ4" s="90" t="s">
        <v>250</v>
      </c>
      <c r="AR4" s="90" t="s">
        <v>251</v>
      </c>
      <c r="AS4" s="90" t="s">
        <v>252</v>
      </c>
      <c r="AT4" s="90" t="s">
        <v>253</v>
      </c>
    </row>
    <row r="5" spans="1:46" ht="14.25" customHeight="1" x14ac:dyDescent="0.25">
      <c r="A5" s="265" t="s">
        <v>225</v>
      </c>
      <c r="B5" s="308" t="s">
        <v>224</v>
      </c>
      <c r="C5" s="123" t="s">
        <v>14</v>
      </c>
      <c r="D5" s="120">
        <f>I51/H51</f>
        <v>5649.8305084745762</v>
      </c>
      <c r="E5" s="116">
        <f>H52</f>
        <v>10.977472758237139</v>
      </c>
      <c r="F5" s="126">
        <v>1</v>
      </c>
      <c r="G5" s="118">
        <f t="shared" ref="G5:G29" si="0">D5*E5</f>
        <v>62020.860495436747</v>
      </c>
      <c r="H5" s="119">
        <f t="shared" ref="H5:H29" si="1">G5*F5</f>
        <v>62020.860495436747</v>
      </c>
      <c r="I5" s="80">
        <f>VLOOKUP(B5,All_Ingredients!$A$1:$F$149,6,FALSE())</f>
        <v>0.86</v>
      </c>
      <c r="J5" s="118">
        <f>VLOOKUP(B5,All_Ingredients!$A$1:$J$149,10,FALSE())</f>
        <v>17.100000000000001</v>
      </c>
      <c r="K5" s="121">
        <f t="shared" ref="K5" si="2">(H5/I5)/1000</f>
        <v>72.117279645856684</v>
      </c>
      <c r="L5" s="121">
        <f t="shared" ref="L5" si="3">K5*J5</f>
        <v>1233.2054819441494</v>
      </c>
      <c r="O5" s="99"/>
      <c r="P5" s="99"/>
      <c r="Q5" s="99"/>
      <c r="R5" s="99"/>
      <c r="S5" s="99"/>
      <c r="AA5" s="91"/>
      <c r="AB5" s="132"/>
      <c r="AC5" s="253"/>
      <c r="AD5" s="134"/>
      <c r="AE5" s="135"/>
      <c r="AJ5" s="373" t="s">
        <v>224</v>
      </c>
      <c r="AK5" s="123" t="s">
        <v>231</v>
      </c>
      <c r="AL5" s="374">
        <v>10</v>
      </c>
      <c r="AM5" s="375">
        <f t="shared" ref="AM5:AM12" si="4">$AO$1</f>
        <v>6.2020860495436745</v>
      </c>
      <c r="AN5" s="376">
        <v>1</v>
      </c>
      <c r="AO5" s="377">
        <f t="shared" ref="AO5:AO12" si="5">AL5*AM5</f>
        <v>62.020860495436743</v>
      </c>
      <c r="AP5" s="378">
        <f t="shared" ref="AP5:AP12" si="6">AO5*AN5</f>
        <v>62.020860495436743</v>
      </c>
      <c r="AR5" s="1128"/>
      <c r="AS5" s="553"/>
      <c r="AT5" s="1126"/>
    </row>
    <row r="6" spans="1:46" ht="14.25" customHeight="1" x14ac:dyDescent="0.3">
      <c r="A6" s="379" t="s">
        <v>154</v>
      </c>
      <c r="B6" s="266" t="s">
        <v>153</v>
      </c>
      <c r="C6" s="123" t="s">
        <v>14</v>
      </c>
      <c r="D6" s="124">
        <v>40</v>
      </c>
      <c r="E6" s="196">
        <f t="shared" ref="E6:E29" si="7">$I$1</f>
        <v>10.977692307692319</v>
      </c>
      <c r="F6" s="126">
        <v>1</v>
      </c>
      <c r="G6" s="118">
        <f t="shared" si="0"/>
        <v>439.10769230769279</v>
      </c>
      <c r="H6" s="119">
        <f t="shared" si="1"/>
        <v>439.10769230769279</v>
      </c>
      <c r="I6" s="80">
        <f>VLOOKUP(B6,All_Ingredients!$A$1:$F$149,6,FALSE())</f>
        <v>1</v>
      </c>
      <c r="J6" s="118">
        <f>VLOOKUP(B6,All_Ingredients!$A$1:$J$149,10,FALSE())</f>
        <v>30</v>
      </c>
      <c r="K6" s="121">
        <f t="shared" ref="K6:K29" si="8">(H6/I6)/1000</f>
        <v>0.43910769230769281</v>
      </c>
      <c r="L6" s="121">
        <f t="shared" ref="L6:L29" si="9">K6*J6</f>
        <v>13.173230769230784</v>
      </c>
      <c r="AJ6" s="373" t="s">
        <v>55</v>
      </c>
      <c r="AK6" s="333" t="s">
        <v>14</v>
      </c>
      <c r="AL6" s="115">
        <v>100</v>
      </c>
      <c r="AM6" s="375">
        <f t="shared" si="4"/>
        <v>6.2020860495436745</v>
      </c>
      <c r="AN6" s="376">
        <v>1</v>
      </c>
      <c r="AO6" s="377">
        <f t="shared" si="5"/>
        <v>620.2086049543675</v>
      </c>
      <c r="AP6" s="378">
        <f t="shared" si="6"/>
        <v>620.2086049543675</v>
      </c>
      <c r="AQ6" s="1126">
        <f>VLOOKUP(AJ6,Marination_Ordering!$A:$J,6,FALSE)</f>
        <v>0.87</v>
      </c>
      <c r="AR6" s="1126">
        <f>VLOOKUP(AJ6,Marination_Ordering!$A:$J,10,FALSE)</f>
        <v>3.2</v>
      </c>
      <c r="AS6" s="553">
        <f>AP6/AQ6</f>
        <v>712.8834539705374</v>
      </c>
      <c r="AT6" s="1126">
        <f>AR6*(AS6/1000)</f>
        <v>2.2812270527057197</v>
      </c>
    </row>
    <row r="7" spans="1:46" ht="14.25" customHeight="1" x14ac:dyDescent="0.3">
      <c r="A7" s="379" t="s">
        <v>13</v>
      </c>
      <c r="B7" s="266" t="s">
        <v>12</v>
      </c>
      <c r="C7" s="123" t="s">
        <v>14</v>
      </c>
      <c r="D7" s="124">
        <v>350</v>
      </c>
      <c r="E7" s="196">
        <f t="shared" si="7"/>
        <v>10.977692307692319</v>
      </c>
      <c r="F7" s="126">
        <v>0.75</v>
      </c>
      <c r="G7" s="118">
        <f t="shared" si="0"/>
        <v>3842.1923076923117</v>
      </c>
      <c r="H7" s="119">
        <f t="shared" si="1"/>
        <v>2881.6442307692337</v>
      </c>
      <c r="I7" s="80">
        <f>VLOOKUP(B7,All_Ingredients!$A$1:$F$149,6,FALSE())</f>
        <v>0.9</v>
      </c>
      <c r="J7" s="118">
        <f>VLOOKUP(B7,All_Ingredients!$A$1:$J$149,10,FALSE())</f>
        <v>3</v>
      </c>
      <c r="K7" s="121">
        <f t="shared" si="8"/>
        <v>3.2018269230769261</v>
      </c>
      <c r="L7" s="121">
        <f t="shared" si="9"/>
        <v>9.6054807692307786</v>
      </c>
      <c r="AJ7" s="373" t="s">
        <v>762</v>
      </c>
      <c r="AK7" s="333" t="s">
        <v>14</v>
      </c>
      <c r="AL7" s="115">
        <v>150</v>
      </c>
      <c r="AM7" s="375">
        <f t="shared" si="4"/>
        <v>6.2020860495436745</v>
      </c>
      <c r="AN7" s="376">
        <v>1</v>
      </c>
      <c r="AO7" s="377">
        <f t="shared" si="5"/>
        <v>930.31290743155114</v>
      </c>
      <c r="AP7" s="378">
        <f t="shared" si="6"/>
        <v>930.31290743155114</v>
      </c>
      <c r="AQ7" s="1126">
        <f>VLOOKUP(AJ7,Marination_Ordering!$A:$J,6,FALSE)</f>
        <v>1</v>
      </c>
      <c r="AR7" s="1126">
        <f>VLOOKUP(AJ7,Marination_Ordering!$A:$J,10,FALSE)</f>
        <v>10.5</v>
      </c>
      <c r="AS7" s="553">
        <f t="shared" ref="AS7:AS12" si="10">AP7/AQ7</f>
        <v>930.31290743155114</v>
      </c>
      <c r="AT7" s="1126">
        <f t="shared" ref="AT7:AT12" si="11">AR7*(AS7/1000)</f>
        <v>9.7682855280312868</v>
      </c>
    </row>
    <row r="8" spans="1:46" ht="14.25" customHeight="1" x14ac:dyDescent="0.3">
      <c r="A8" s="379" t="s">
        <v>154</v>
      </c>
      <c r="B8" s="266" t="s">
        <v>164</v>
      </c>
      <c r="C8" s="123" t="s">
        <v>14</v>
      </c>
      <c r="D8" s="124">
        <v>250</v>
      </c>
      <c r="E8" s="196">
        <f t="shared" si="7"/>
        <v>10.977692307692319</v>
      </c>
      <c r="F8" s="126">
        <v>0.9</v>
      </c>
      <c r="G8" s="118">
        <f t="shared" si="0"/>
        <v>2744.4230769230799</v>
      </c>
      <c r="H8" s="119">
        <f t="shared" si="1"/>
        <v>2469.9807692307718</v>
      </c>
      <c r="I8" s="80">
        <f>VLOOKUP(B8,All_Ingredients!$A$1:$F$149,6,FALSE())</f>
        <v>1</v>
      </c>
      <c r="J8" s="118">
        <f>VLOOKUP(B8,All_Ingredients!$A$1:$J$149,10,FALSE())</f>
        <v>6.6959999999999997</v>
      </c>
      <c r="K8" s="121">
        <f t="shared" si="8"/>
        <v>2.4699807692307716</v>
      </c>
      <c r="L8" s="121">
        <f t="shared" si="9"/>
        <v>16.538991230769245</v>
      </c>
      <c r="AJ8" s="373" t="s">
        <v>214</v>
      </c>
      <c r="AK8" s="333" t="s">
        <v>161</v>
      </c>
      <c r="AL8" s="115">
        <v>150</v>
      </c>
      <c r="AM8" s="375">
        <f t="shared" si="4"/>
        <v>6.2020860495436745</v>
      </c>
      <c r="AN8" s="376">
        <v>1</v>
      </c>
      <c r="AO8" s="377">
        <f t="shared" si="5"/>
        <v>930.31290743155114</v>
      </c>
      <c r="AP8" s="378">
        <f t="shared" si="6"/>
        <v>930.31290743155114</v>
      </c>
      <c r="AQ8" s="1126">
        <f>VLOOKUP(AJ8,Marination_Ordering!$A:$J,6,FALSE)</f>
        <v>1</v>
      </c>
      <c r="AR8" s="1126">
        <f>VLOOKUP(AJ8,Marination_Ordering!$A:$J,10,FALSE)</f>
        <v>5</v>
      </c>
      <c r="AS8" s="553">
        <f t="shared" si="10"/>
        <v>930.31290743155114</v>
      </c>
      <c r="AT8" s="1126">
        <f t="shared" si="11"/>
        <v>4.6515645371577561</v>
      </c>
    </row>
    <row r="9" spans="1:46" ht="14.25" customHeight="1" x14ac:dyDescent="0.3">
      <c r="A9" s="379" t="s">
        <v>13</v>
      </c>
      <c r="B9" s="266" t="s">
        <v>762</v>
      </c>
      <c r="C9" s="123" t="s">
        <v>14</v>
      </c>
      <c r="D9" s="124">
        <v>20</v>
      </c>
      <c r="E9" s="196">
        <f t="shared" si="7"/>
        <v>10.977692307692319</v>
      </c>
      <c r="F9" s="126">
        <v>1</v>
      </c>
      <c r="G9" s="118">
        <f t="shared" si="0"/>
        <v>219.55384615384639</v>
      </c>
      <c r="H9" s="119">
        <f t="shared" si="1"/>
        <v>219.55384615384639</v>
      </c>
      <c r="I9" s="80">
        <f>VLOOKUP(B9,All_Ingredients!$A$1:$F$149,6,FALSE())</f>
        <v>1</v>
      </c>
      <c r="J9" s="118">
        <f>VLOOKUP(B9,All_Ingredients!$A$1:$J$149,10,FALSE())</f>
        <v>10.5</v>
      </c>
      <c r="K9" s="121">
        <f t="shared" si="8"/>
        <v>0.2195538461538464</v>
      </c>
      <c r="L9" s="121">
        <f t="shared" si="9"/>
        <v>2.3053153846153873</v>
      </c>
      <c r="AJ9" s="373" t="s">
        <v>210</v>
      </c>
      <c r="AK9" s="123" t="s">
        <v>161</v>
      </c>
      <c r="AL9" s="115">
        <v>100</v>
      </c>
      <c r="AM9" s="375">
        <f t="shared" si="4"/>
        <v>6.2020860495436745</v>
      </c>
      <c r="AN9" s="376">
        <v>1</v>
      </c>
      <c r="AO9" s="377">
        <f t="shared" si="5"/>
        <v>620.2086049543675</v>
      </c>
      <c r="AP9" s="378">
        <f t="shared" si="6"/>
        <v>620.2086049543675</v>
      </c>
      <c r="AQ9" s="1126">
        <f>VLOOKUP(AJ9,Marination_Ordering!$A:$J,6,FALSE)</f>
        <v>1</v>
      </c>
      <c r="AR9" s="1126">
        <f>VLOOKUP(AJ9,Marination_Ordering!$A:$J,10,FALSE)</f>
        <v>2.1621621621621623</v>
      </c>
      <c r="AS9" s="553">
        <f t="shared" si="10"/>
        <v>620.2086049543675</v>
      </c>
      <c r="AT9" s="1126">
        <f t="shared" si="11"/>
        <v>1.3409915782797135</v>
      </c>
    </row>
    <row r="10" spans="1:46" ht="14.25" customHeight="1" x14ac:dyDescent="0.3">
      <c r="A10" s="379" t="s">
        <v>56</v>
      </c>
      <c r="B10" s="266" t="s">
        <v>55</v>
      </c>
      <c r="C10" s="123" t="s">
        <v>14</v>
      </c>
      <c r="D10" s="124">
        <v>20</v>
      </c>
      <c r="E10" s="196">
        <f t="shared" si="7"/>
        <v>10.977692307692319</v>
      </c>
      <c r="F10" s="126">
        <v>0.5</v>
      </c>
      <c r="G10" s="118">
        <f t="shared" si="0"/>
        <v>219.55384615384639</v>
      </c>
      <c r="H10" s="119">
        <f t="shared" si="1"/>
        <v>109.7769230769232</v>
      </c>
      <c r="I10" s="80">
        <f>VLOOKUP(B10,All_Ingredients!$A$1:$F$149,6,FALSE())</f>
        <v>0.87</v>
      </c>
      <c r="J10" s="118">
        <f>VLOOKUP(B10,All_Ingredients!$A$1:$J$149,10,FALSE())</f>
        <v>7</v>
      </c>
      <c r="K10" s="121">
        <f t="shared" si="8"/>
        <v>0.12618037135278529</v>
      </c>
      <c r="L10" s="121">
        <f t="shared" si="9"/>
        <v>0.88326259946949703</v>
      </c>
      <c r="AJ10" s="373" t="s">
        <v>94</v>
      </c>
      <c r="AK10" s="333" t="s">
        <v>14</v>
      </c>
      <c r="AL10" s="115">
        <v>5</v>
      </c>
      <c r="AM10" s="375">
        <f t="shared" si="4"/>
        <v>6.2020860495436745</v>
      </c>
      <c r="AN10" s="376">
        <v>1</v>
      </c>
      <c r="AO10" s="377">
        <f t="shared" si="5"/>
        <v>31.010430247718372</v>
      </c>
      <c r="AP10" s="378">
        <f t="shared" si="6"/>
        <v>31.010430247718372</v>
      </c>
      <c r="AQ10" s="1126">
        <f>VLOOKUP(AJ10,Marination_Ordering!$A:$J,6,FALSE)</f>
        <v>1</v>
      </c>
      <c r="AR10" s="1126">
        <f>VLOOKUP(AJ10,Marination_Ordering!$A:$J,10,FALSE)</f>
        <v>0.74</v>
      </c>
      <c r="AS10" s="553">
        <f t="shared" si="10"/>
        <v>31.010430247718372</v>
      </c>
      <c r="AT10" s="1126">
        <f t="shared" si="11"/>
        <v>2.2947718383311597E-2</v>
      </c>
    </row>
    <row r="11" spans="1:46" ht="14.25" customHeight="1" x14ac:dyDescent="0.3">
      <c r="A11" s="379" t="s">
        <v>95</v>
      </c>
      <c r="B11" s="266" t="s">
        <v>108</v>
      </c>
      <c r="C11" s="123" t="s">
        <v>14</v>
      </c>
      <c r="D11" s="124">
        <v>10</v>
      </c>
      <c r="E11" s="196">
        <f t="shared" si="7"/>
        <v>10.977692307692319</v>
      </c>
      <c r="F11" s="126">
        <v>0.95</v>
      </c>
      <c r="G11" s="118">
        <f t="shared" si="0"/>
        <v>109.7769230769232</v>
      </c>
      <c r="H11" s="119">
        <f t="shared" si="1"/>
        <v>104.28807692307703</v>
      </c>
      <c r="I11" s="80">
        <f>VLOOKUP(B11,All_Ingredients!$A$1:$F$149,6,FALSE())</f>
        <v>1</v>
      </c>
      <c r="J11" s="118">
        <f>VLOOKUP(B11,All_Ingredients!$A$1:$J$149,10,FALSE())</f>
        <v>8</v>
      </c>
      <c r="K11" s="121">
        <f t="shared" si="8"/>
        <v>0.10428807692307702</v>
      </c>
      <c r="L11" s="121">
        <f t="shared" si="9"/>
        <v>0.8343046153846162</v>
      </c>
      <c r="AJ11" s="373" t="s">
        <v>100</v>
      </c>
      <c r="AK11" s="333" t="s">
        <v>14</v>
      </c>
      <c r="AL11" s="115">
        <v>5</v>
      </c>
      <c r="AM11" s="375">
        <f t="shared" si="4"/>
        <v>6.2020860495436745</v>
      </c>
      <c r="AN11" s="376">
        <v>1</v>
      </c>
      <c r="AO11" s="377">
        <f t="shared" si="5"/>
        <v>31.010430247718372</v>
      </c>
      <c r="AP11" s="378">
        <f t="shared" si="6"/>
        <v>31.010430247718372</v>
      </c>
      <c r="AQ11" s="1126">
        <f>VLOOKUP(AJ11,Marination_Ordering!$A:$J,6,FALSE)</f>
        <v>1</v>
      </c>
      <c r="AR11" s="1126">
        <f>VLOOKUP(AJ11,Marination_Ordering!$A:$J,10,FALSE)</f>
        <v>31</v>
      </c>
      <c r="AS11" s="553">
        <f t="shared" si="10"/>
        <v>31.010430247718372</v>
      </c>
      <c r="AT11" s="1126">
        <f t="shared" si="11"/>
        <v>0.96132333767926959</v>
      </c>
    </row>
    <row r="12" spans="1:46" ht="14.25" customHeight="1" x14ac:dyDescent="0.3">
      <c r="A12" s="379" t="s">
        <v>95</v>
      </c>
      <c r="B12" s="266" t="s">
        <v>106</v>
      </c>
      <c r="C12" s="123" t="s">
        <v>14</v>
      </c>
      <c r="D12" s="124">
        <v>5</v>
      </c>
      <c r="E12" s="196">
        <f t="shared" si="7"/>
        <v>10.977692307692319</v>
      </c>
      <c r="F12" s="126">
        <v>0.95</v>
      </c>
      <c r="G12" s="118">
        <f t="shared" si="0"/>
        <v>54.888461538461598</v>
      </c>
      <c r="H12" s="119">
        <f t="shared" si="1"/>
        <v>52.144038461538514</v>
      </c>
      <c r="I12" s="80">
        <f>VLOOKUP(B12,All_Ingredients!$A$1:$F$149,6,FALSE())</f>
        <v>1</v>
      </c>
      <c r="J12" s="118">
        <f>VLOOKUP(B12,All_Ingredients!$A$1:$J$149,10,FALSE())</f>
        <v>15</v>
      </c>
      <c r="K12" s="121">
        <f t="shared" si="8"/>
        <v>5.2144038461538512E-2</v>
      </c>
      <c r="L12" s="121">
        <f t="shared" si="9"/>
        <v>0.78216057692307772</v>
      </c>
      <c r="AJ12" s="373" t="s">
        <v>877</v>
      </c>
      <c r="AK12" s="333" t="s">
        <v>14</v>
      </c>
      <c r="AL12" s="124">
        <v>5</v>
      </c>
      <c r="AM12" s="375">
        <f t="shared" si="4"/>
        <v>6.2020860495436745</v>
      </c>
      <c r="AN12" s="376">
        <v>1</v>
      </c>
      <c r="AO12" s="377">
        <f t="shared" si="5"/>
        <v>31.010430247718372</v>
      </c>
      <c r="AP12" s="378">
        <f t="shared" si="6"/>
        <v>31.010430247718372</v>
      </c>
      <c r="AQ12" s="1126">
        <f>VLOOKUP(AJ12,Marination_Ordering!$A:$J,6,FALSE)</f>
        <v>1</v>
      </c>
      <c r="AR12" s="1126">
        <f>VLOOKUP(AJ12,Marination_Ordering!$A:$J,10,FALSE)</f>
        <v>22.5</v>
      </c>
      <c r="AS12" s="553">
        <f t="shared" si="10"/>
        <v>31.010430247718372</v>
      </c>
      <c r="AT12" s="1126">
        <f t="shared" si="11"/>
        <v>0.69773468057366339</v>
      </c>
    </row>
    <row r="13" spans="1:46" ht="14.25" customHeight="1" x14ac:dyDescent="0.3">
      <c r="A13" s="379" t="s">
        <v>95</v>
      </c>
      <c r="B13" s="266" t="s">
        <v>114</v>
      </c>
      <c r="C13" s="123" t="s">
        <v>14</v>
      </c>
      <c r="D13" s="124">
        <v>3</v>
      </c>
      <c r="E13" s="196">
        <f t="shared" si="7"/>
        <v>10.977692307692319</v>
      </c>
      <c r="F13" s="126">
        <v>0.6</v>
      </c>
      <c r="G13" s="118">
        <f t="shared" si="0"/>
        <v>32.933076923076953</v>
      </c>
      <c r="H13" s="119">
        <f t="shared" si="1"/>
        <v>19.759846153846173</v>
      </c>
      <c r="I13" s="80">
        <f>VLOOKUP(B13,All_Ingredients!$A$1:$F$149,6,FALSE())</f>
        <v>1</v>
      </c>
      <c r="J13" s="118">
        <f>VLOOKUP(B13,All_Ingredients!$A$1:$J$149,10,FALSE())</f>
        <v>20</v>
      </c>
      <c r="K13" s="121">
        <f t="shared" si="8"/>
        <v>1.9759846153846173E-2</v>
      </c>
      <c r="L13" s="121">
        <f t="shared" si="9"/>
        <v>0.39519692307692345</v>
      </c>
    </row>
    <row r="14" spans="1:46" ht="14.25" customHeight="1" x14ac:dyDescent="0.3">
      <c r="A14" s="379" t="s">
        <v>154</v>
      </c>
      <c r="B14" s="266" t="s">
        <v>167</v>
      </c>
      <c r="C14" s="123" t="s">
        <v>161</v>
      </c>
      <c r="D14" s="124">
        <v>500</v>
      </c>
      <c r="E14" s="196">
        <f t="shared" si="7"/>
        <v>10.977692307692319</v>
      </c>
      <c r="F14" s="126">
        <v>1</v>
      </c>
      <c r="G14" s="118">
        <f t="shared" si="0"/>
        <v>5488.8461538461597</v>
      </c>
      <c r="H14" s="119">
        <f t="shared" si="1"/>
        <v>5488.8461538461597</v>
      </c>
      <c r="I14" s="80">
        <f>VLOOKUP(B14,All_Ingredients!$A$1:$F$149,6,FALSE())</f>
        <v>1</v>
      </c>
      <c r="J14" s="118">
        <f>VLOOKUP(B14,All_Ingredients!$A$1:$J$149,10,FALSE())</f>
        <v>12.666666666666666</v>
      </c>
      <c r="K14" s="121">
        <f t="shared" si="8"/>
        <v>5.4888461538461595</v>
      </c>
      <c r="L14" s="121">
        <f t="shared" si="9"/>
        <v>69.525384615384681</v>
      </c>
    </row>
    <row r="15" spans="1:46" ht="14.25" customHeight="1" x14ac:dyDescent="0.3">
      <c r="A15" s="379" t="s">
        <v>215</v>
      </c>
      <c r="B15" s="266" t="s">
        <v>877</v>
      </c>
      <c r="C15" s="123" t="s">
        <v>14</v>
      </c>
      <c r="D15" s="124">
        <v>3</v>
      </c>
      <c r="E15" s="196">
        <f t="shared" si="7"/>
        <v>10.977692307692319</v>
      </c>
      <c r="F15" s="126">
        <v>1</v>
      </c>
      <c r="G15" s="118">
        <f t="shared" si="0"/>
        <v>32.933076923076953</v>
      </c>
      <c r="H15" s="119">
        <f t="shared" si="1"/>
        <v>32.933076923076953</v>
      </c>
      <c r="I15" s="80">
        <f>VLOOKUP(B15,All_Ingredients!$A$1:$F$149,6,FALSE())</f>
        <v>1</v>
      </c>
      <c r="J15" s="118">
        <f>VLOOKUP(B15,All_Ingredients!$A$1:$J$149,10,FALSE())</f>
        <v>22.5</v>
      </c>
      <c r="K15" s="121">
        <f t="shared" si="8"/>
        <v>3.2933076923076954E-2</v>
      </c>
      <c r="L15" s="121">
        <f t="shared" si="9"/>
        <v>0.74099423076923143</v>
      </c>
    </row>
    <row r="16" spans="1:46" ht="14.25" customHeight="1" x14ac:dyDescent="0.3">
      <c r="A16" s="379" t="s">
        <v>95</v>
      </c>
      <c r="B16" s="266" t="s">
        <v>94</v>
      </c>
      <c r="C16" s="123" t="s">
        <v>14</v>
      </c>
      <c r="D16" s="124">
        <v>6</v>
      </c>
      <c r="E16" s="196">
        <f t="shared" si="7"/>
        <v>10.977692307692319</v>
      </c>
      <c r="F16" s="126">
        <v>0.75</v>
      </c>
      <c r="G16" s="118">
        <f t="shared" si="0"/>
        <v>65.866153846153907</v>
      </c>
      <c r="H16" s="119">
        <f t="shared" si="1"/>
        <v>49.39961538461543</v>
      </c>
      <c r="I16" s="80">
        <f>VLOOKUP(B16,All_Ingredients!$A$1:$F$149,6,FALSE())</f>
        <v>1</v>
      </c>
      <c r="J16" s="118">
        <f>VLOOKUP(B16,All_Ingredients!$A$1:$J$149,10,FALSE())</f>
        <v>0.74</v>
      </c>
      <c r="K16" s="121">
        <f t="shared" si="8"/>
        <v>4.9399615384615431E-2</v>
      </c>
      <c r="L16" s="121">
        <f t="shared" si="9"/>
        <v>3.6555715384615418E-2</v>
      </c>
    </row>
    <row r="17" spans="1:42" ht="14.25" customHeight="1" x14ac:dyDescent="0.3">
      <c r="A17" s="379" t="s">
        <v>81</v>
      </c>
      <c r="B17" s="266" t="s">
        <v>83</v>
      </c>
      <c r="C17" s="123" t="s">
        <v>14</v>
      </c>
      <c r="D17" s="124">
        <v>1</v>
      </c>
      <c r="E17" s="196">
        <f t="shared" si="7"/>
        <v>10.977692307692319</v>
      </c>
      <c r="F17" s="126">
        <v>0.75</v>
      </c>
      <c r="G17" s="118">
        <f t="shared" si="0"/>
        <v>10.977692307692319</v>
      </c>
      <c r="H17" s="119">
        <f t="shared" si="1"/>
        <v>8.2332692307692383</v>
      </c>
      <c r="I17" s="80">
        <f>VLOOKUP(B17,All_Ingredients!$A$1:$F$149,6,FALSE())</f>
        <v>1</v>
      </c>
      <c r="J17" s="118">
        <f>VLOOKUP(B17,All_Ingredients!$A$1:$J$149,10,FALSE())</f>
        <v>147.88732394366198</v>
      </c>
      <c r="K17" s="121">
        <f t="shared" si="8"/>
        <v>8.2332692307692384E-3</v>
      </c>
      <c r="L17" s="121">
        <f t="shared" si="9"/>
        <v>1.217596153846155</v>
      </c>
    </row>
    <row r="18" spans="1:42" ht="15.75" customHeight="1" x14ac:dyDescent="0.35">
      <c r="A18" s="379" t="s">
        <v>95</v>
      </c>
      <c r="B18" s="266" t="s">
        <v>140</v>
      </c>
      <c r="C18" s="123" t="s">
        <v>14</v>
      </c>
      <c r="D18" s="124">
        <v>7</v>
      </c>
      <c r="E18" s="196">
        <f t="shared" si="7"/>
        <v>10.977692307692319</v>
      </c>
      <c r="F18" s="126">
        <v>0.75</v>
      </c>
      <c r="G18" s="118">
        <f t="shared" si="0"/>
        <v>76.843846153846229</v>
      </c>
      <c r="H18" s="119">
        <f t="shared" si="1"/>
        <v>57.632884615384668</v>
      </c>
      <c r="I18" s="80">
        <f>VLOOKUP(B18,All_Ingredients!$A$1:$F$149,6,FALSE())</f>
        <v>1</v>
      </c>
      <c r="J18" s="118">
        <f>VLOOKUP(B18,All_Ingredients!$A$1:$J$149,10,FALSE())</f>
        <v>15.277777777777779</v>
      </c>
      <c r="K18" s="121">
        <f t="shared" si="8"/>
        <v>5.7632884615384669E-2</v>
      </c>
      <c r="L18" s="121">
        <f t="shared" si="9"/>
        <v>0.88050240384615475</v>
      </c>
      <c r="M18" s="380"/>
      <c r="N18" s="380"/>
    </row>
    <row r="19" spans="1:42" ht="15.75" customHeight="1" x14ac:dyDescent="0.35">
      <c r="A19" s="379" t="s">
        <v>13</v>
      </c>
      <c r="B19" s="266" t="s">
        <v>763</v>
      </c>
      <c r="C19" s="123" t="s">
        <v>14</v>
      </c>
      <c r="D19" s="124">
        <v>50</v>
      </c>
      <c r="E19" s="196">
        <f t="shared" si="7"/>
        <v>10.977692307692319</v>
      </c>
      <c r="F19" s="126">
        <v>1</v>
      </c>
      <c r="G19" s="118">
        <f t="shared" si="0"/>
        <v>548.88461538461593</v>
      </c>
      <c r="H19" s="119">
        <f t="shared" si="1"/>
        <v>548.88461538461593</v>
      </c>
      <c r="I19" s="80">
        <f>VLOOKUP(B19,All_Ingredients!$A$1:$F$149,6,FALSE())</f>
        <v>1</v>
      </c>
      <c r="J19" s="118">
        <f>VLOOKUP(B19,All_Ingredients!$A$1:$J$149,10,FALSE())</f>
        <v>40.74074074074074</v>
      </c>
      <c r="K19" s="121">
        <f t="shared" si="8"/>
        <v>0.54888461538461597</v>
      </c>
      <c r="L19" s="121">
        <f t="shared" si="9"/>
        <v>22.361965811965835</v>
      </c>
      <c r="M19" s="381"/>
      <c r="N19" s="381"/>
      <c r="AJ19" s="131"/>
      <c r="AK19" s="131"/>
      <c r="AL19" s="131"/>
      <c r="AM19" s="131"/>
      <c r="AN19" s="131"/>
      <c r="AO19" s="131"/>
      <c r="AP19" s="131"/>
    </row>
    <row r="20" spans="1:42" ht="15.75" customHeight="1" x14ac:dyDescent="0.35">
      <c r="A20" s="379" t="s">
        <v>95</v>
      </c>
      <c r="B20" s="382" t="s">
        <v>119</v>
      </c>
      <c r="C20" s="123" t="s">
        <v>14</v>
      </c>
      <c r="D20" s="124">
        <v>2</v>
      </c>
      <c r="E20" s="196">
        <f t="shared" si="7"/>
        <v>10.977692307692319</v>
      </c>
      <c r="F20" s="126">
        <v>1</v>
      </c>
      <c r="G20" s="118">
        <f t="shared" si="0"/>
        <v>21.955384615384638</v>
      </c>
      <c r="H20" s="119">
        <f t="shared" si="1"/>
        <v>21.955384615384638</v>
      </c>
      <c r="I20" s="80">
        <f>VLOOKUP(B20,All_Ingredients!$A$1:$F$149,6,FALSE())</f>
        <v>1</v>
      </c>
      <c r="J20" s="118">
        <f>VLOOKUP(B20,All_Ingredients!$A$1:$J$149,10,FALSE())</f>
        <v>15</v>
      </c>
      <c r="K20" s="121">
        <f t="shared" si="8"/>
        <v>2.1955384615384637E-2</v>
      </c>
      <c r="L20" s="121">
        <f t="shared" si="9"/>
        <v>0.32933076923076954</v>
      </c>
      <c r="M20" s="381"/>
      <c r="N20" s="381"/>
      <c r="S20"/>
      <c r="AJ20" s="131"/>
      <c r="AK20" s="131"/>
      <c r="AL20" s="131"/>
      <c r="AM20" s="131"/>
      <c r="AN20" s="131"/>
      <c r="AO20" s="131"/>
      <c r="AP20" s="131"/>
    </row>
    <row r="21" spans="1:42" ht="15.75" customHeight="1" x14ac:dyDescent="0.35">
      <c r="A21" s="379" t="s">
        <v>154</v>
      </c>
      <c r="B21" s="266" t="s">
        <v>160</v>
      </c>
      <c r="C21" s="123" t="s">
        <v>161</v>
      </c>
      <c r="D21" s="124">
        <v>100</v>
      </c>
      <c r="E21" s="196">
        <f t="shared" si="7"/>
        <v>10.977692307692319</v>
      </c>
      <c r="F21" s="126">
        <v>1</v>
      </c>
      <c r="G21" s="118">
        <f t="shared" si="0"/>
        <v>1097.7692307692319</v>
      </c>
      <c r="H21" s="119">
        <f t="shared" si="1"/>
        <v>1097.7692307692319</v>
      </c>
      <c r="I21" s="80">
        <f>VLOOKUP(B21,All_Ingredients!$A$1:$F$149,6,FALSE())</f>
        <v>1</v>
      </c>
      <c r="J21" s="118">
        <f>VLOOKUP(B21,All_Ingredients!$A$1:$J$149,10,FALSE())</f>
        <v>4.2033333333333331</v>
      </c>
      <c r="K21" s="121">
        <f t="shared" si="8"/>
        <v>1.0977692307692319</v>
      </c>
      <c r="L21" s="121">
        <f t="shared" si="9"/>
        <v>4.6142900000000049</v>
      </c>
      <c r="M21" s="381"/>
      <c r="N21" s="381"/>
      <c r="AM21" s="131"/>
      <c r="AN21" s="131"/>
      <c r="AO21" s="131"/>
      <c r="AP21" s="131"/>
    </row>
    <row r="22" spans="1:42" ht="15.75" customHeight="1" x14ac:dyDescent="0.35">
      <c r="A22" s="379" t="s">
        <v>13</v>
      </c>
      <c r="B22" s="266" t="s">
        <v>34</v>
      </c>
      <c r="C22" s="123" t="s">
        <v>14</v>
      </c>
      <c r="D22" s="124">
        <v>2</v>
      </c>
      <c r="E22" s="196">
        <f t="shared" si="7"/>
        <v>10.977692307692319</v>
      </c>
      <c r="F22" s="126">
        <v>0.75</v>
      </c>
      <c r="G22" s="118">
        <f t="shared" si="0"/>
        <v>21.955384615384638</v>
      </c>
      <c r="H22" s="119">
        <f t="shared" si="1"/>
        <v>16.466538461538477</v>
      </c>
      <c r="I22" s="80">
        <f>VLOOKUP(B22,All_Ingredients!$A$1:$F$149,6,FALSE())</f>
        <v>0.86</v>
      </c>
      <c r="J22" s="118">
        <f>VLOOKUP(B22,All_Ingredients!$A$1:$J$149,10,FALSE())</f>
        <v>14</v>
      </c>
      <c r="K22" s="121">
        <f t="shared" si="8"/>
        <v>1.9147137745974974E-2</v>
      </c>
      <c r="L22" s="121">
        <f t="shared" si="9"/>
        <v>0.26805992844364962</v>
      </c>
      <c r="M22" s="381"/>
      <c r="N22" s="381"/>
      <c r="AM22" s="131"/>
      <c r="AN22" s="131"/>
      <c r="AO22" s="131"/>
      <c r="AP22" s="131"/>
    </row>
    <row r="23" spans="1:42" s="131" customFormat="1" ht="14.25" customHeight="1" x14ac:dyDescent="0.3">
      <c r="A23" s="379" t="s">
        <v>13</v>
      </c>
      <c r="B23" s="383" t="s">
        <v>32</v>
      </c>
      <c r="C23" s="123" t="s">
        <v>14</v>
      </c>
      <c r="D23" s="124">
        <v>50</v>
      </c>
      <c r="E23" s="196">
        <f t="shared" si="7"/>
        <v>10.977692307692319</v>
      </c>
      <c r="F23" s="126">
        <v>1.75</v>
      </c>
      <c r="G23" s="118">
        <f t="shared" si="0"/>
        <v>548.88461538461593</v>
      </c>
      <c r="H23" s="119">
        <f t="shared" si="1"/>
        <v>960.54807692307782</v>
      </c>
      <c r="I23" s="80">
        <f>VLOOKUP(B23,All_Ingredients!$A$1:$F$149,6,FALSE())</f>
        <v>0.69</v>
      </c>
      <c r="J23" s="118">
        <f>VLOOKUP(B23,All_Ingredients!$A$1:$J$149,10,FALSE())</f>
        <v>4</v>
      </c>
      <c r="K23" s="121">
        <f t="shared" si="8"/>
        <v>1.3920986622073592</v>
      </c>
      <c r="L23" s="121">
        <f t="shared" si="9"/>
        <v>5.5683946488294369</v>
      </c>
      <c r="M23" s="91"/>
      <c r="N23" s="91"/>
      <c r="AJ23" s="14"/>
      <c r="AK23" s="14"/>
      <c r="AL23" s="14"/>
      <c r="AM23" s="14"/>
      <c r="AN23" s="14"/>
      <c r="AO23" s="14"/>
      <c r="AP23" s="14"/>
    </row>
    <row r="24" spans="1:42" s="131" customFormat="1" ht="14.25" customHeight="1" x14ac:dyDescent="0.3">
      <c r="A24" s="379" t="s">
        <v>13</v>
      </c>
      <c r="B24" s="266" t="s">
        <v>28</v>
      </c>
      <c r="C24" s="123" t="s">
        <v>14</v>
      </c>
      <c r="D24" s="124">
        <v>50</v>
      </c>
      <c r="E24" s="196">
        <f t="shared" si="7"/>
        <v>10.977692307692319</v>
      </c>
      <c r="F24" s="126">
        <v>0.75</v>
      </c>
      <c r="G24" s="118">
        <f t="shared" si="0"/>
        <v>548.88461538461593</v>
      </c>
      <c r="H24" s="119">
        <f t="shared" si="1"/>
        <v>411.66346153846195</v>
      </c>
      <c r="I24" s="80">
        <f>VLOOKUP(B24,All_Ingredients!$A$1:$F$149,6,FALSE())</f>
        <v>0.73</v>
      </c>
      <c r="J24" s="118">
        <f>VLOOKUP(B24,All_Ingredients!$A$1:$J$149,10,FALSE())</f>
        <v>8.5</v>
      </c>
      <c r="K24" s="121">
        <f t="shared" si="8"/>
        <v>0.56392255005268754</v>
      </c>
      <c r="L24" s="121">
        <f t="shared" si="9"/>
        <v>4.7933416754478442</v>
      </c>
      <c r="M24" s="130"/>
      <c r="N24" s="130"/>
      <c r="O24" s="91"/>
      <c r="P24" s="91"/>
      <c r="Z24" s="1267"/>
      <c r="AJ24" s="14"/>
      <c r="AK24" s="14"/>
      <c r="AL24" s="14"/>
      <c r="AM24" s="14"/>
      <c r="AN24" s="14"/>
      <c r="AO24" s="14"/>
      <c r="AP24" s="14"/>
    </row>
    <row r="25" spans="1:42" s="131" customFormat="1" ht="14.25" customHeight="1" x14ac:dyDescent="0.35">
      <c r="A25" s="384" t="s">
        <v>13</v>
      </c>
      <c r="B25" s="266" t="s">
        <v>30</v>
      </c>
      <c r="C25" s="123" t="s">
        <v>14</v>
      </c>
      <c r="D25" s="122">
        <v>50</v>
      </c>
      <c r="E25" s="196">
        <f t="shared" si="7"/>
        <v>10.977692307692319</v>
      </c>
      <c r="F25" s="126">
        <v>1</v>
      </c>
      <c r="G25" s="118">
        <f t="shared" si="0"/>
        <v>548.88461538461593</v>
      </c>
      <c r="H25" s="119">
        <f t="shared" si="1"/>
        <v>548.88461538461593</v>
      </c>
      <c r="I25" s="80">
        <f>VLOOKUP(B25,All_Ingredients!$A$1:$F$149,6,FALSE())</f>
        <v>0.71</v>
      </c>
      <c r="J25" s="118">
        <f>VLOOKUP(B25,All_Ingredients!$A$1:$J$149,10,FALSE())</f>
        <v>8.5</v>
      </c>
      <c r="K25" s="121">
        <f t="shared" si="8"/>
        <v>0.77307692307692388</v>
      </c>
      <c r="L25" s="121">
        <f t="shared" si="9"/>
        <v>6.5711538461538535</v>
      </c>
      <c r="M25" s="130"/>
      <c r="N25" s="130"/>
      <c r="O25" s="91"/>
      <c r="P25" s="91"/>
      <c r="R25" s="1440" t="s">
        <v>355</v>
      </c>
      <c r="S25" s="1444"/>
      <c r="T25" s="1444"/>
      <c r="U25" s="1444"/>
      <c r="V25" s="1187"/>
      <c r="W25" s="1197"/>
      <c r="Z25" s="140" t="s">
        <v>256</v>
      </c>
      <c r="AA25" s="141">
        <v>1</v>
      </c>
      <c r="AB25" s="140" t="s">
        <v>253</v>
      </c>
      <c r="AC25" s="142">
        <f>(AA25*AF30)+(AA30*(AB28/R1))</f>
        <v>2.9802401133688844E-2</v>
      </c>
      <c r="AD25" s="14"/>
      <c r="AJ25" s="14"/>
      <c r="AK25" s="14"/>
      <c r="AL25" s="14"/>
      <c r="AM25" s="14"/>
      <c r="AN25" s="14"/>
      <c r="AO25" s="14"/>
      <c r="AP25" s="14"/>
    </row>
    <row r="26" spans="1:42" s="131" customFormat="1" ht="14.25" customHeight="1" x14ac:dyDescent="0.3">
      <c r="A26" s="384" t="s">
        <v>95</v>
      </c>
      <c r="B26" s="221" t="s">
        <v>121</v>
      </c>
      <c r="C26" s="123" t="s">
        <v>14</v>
      </c>
      <c r="D26" s="122">
        <v>1</v>
      </c>
      <c r="E26" s="196">
        <f t="shared" si="7"/>
        <v>10.977692307692319</v>
      </c>
      <c r="F26" s="126">
        <v>0.75</v>
      </c>
      <c r="G26" s="118">
        <f t="shared" si="0"/>
        <v>10.977692307692319</v>
      </c>
      <c r="H26" s="119">
        <f t="shared" si="1"/>
        <v>8.2332692307692383</v>
      </c>
      <c r="I26" s="80">
        <f>VLOOKUP(B26,All_Ingredients!$A$1:$F$149,6,FALSE())</f>
        <v>1</v>
      </c>
      <c r="J26" s="118">
        <f>VLOOKUP(B26,All_Ingredients!$A$1:$J$149,10,FALSE())</f>
        <v>15</v>
      </c>
      <c r="K26" s="121">
        <f t="shared" si="8"/>
        <v>8.2332692307692384E-3</v>
      </c>
      <c r="L26" s="121">
        <f t="shared" si="9"/>
        <v>0.12349903846153858</v>
      </c>
      <c r="M26" s="130"/>
      <c r="N26" s="130"/>
      <c r="O26" s="91"/>
      <c r="P26" s="91"/>
      <c r="R26" s="1459" t="s">
        <v>301</v>
      </c>
      <c r="S26" s="1444"/>
      <c r="T26" s="1444"/>
      <c r="U26" s="1444"/>
      <c r="V26" s="1187"/>
      <c r="W26" s="1197"/>
      <c r="Z26" s="14"/>
      <c r="AA26" s="14"/>
      <c r="AB26" s="14"/>
      <c r="AC26" s="14"/>
      <c r="AD26" s="14"/>
      <c r="AJ26" s="14"/>
      <c r="AK26" s="14"/>
      <c r="AL26" s="14"/>
      <c r="AM26" s="14"/>
      <c r="AN26" s="14"/>
      <c r="AO26" s="14"/>
      <c r="AP26" s="14"/>
    </row>
    <row r="27" spans="1:42" ht="15" customHeight="1" thickBot="1" x14ac:dyDescent="0.4">
      <c r="A27" s="384" t="s">
        <v>95</v>
      </c>
      <c r="B27" s="221" t="s">
        <v>125</v>
      </c>
      <c r="C27" s="123" t="s">
        <v>14</v>
      </c>
      <c r="D27" s="122">
        <v>1</v>
      </c>
      <c r="E27" s="196">
        <f t="shared" si="7"/>
        <v>10.977692307692319</v>
      </c>
      <c r="F27" s="126">
        <v>0.75</v>
      </c>
      <c r="G27" s="118">
        <f t="shared" si="0"/>
        <v>10.977692307692319</v>
      </c>
      <c r="H27" s="119">
        <f t="shared" si="1"/>
        <v>8.2332692307692383</v>
      </c>
      <c r="I27" s="80">
        <f>VLOOKUP(B27,All_Ingredients!$A$1:$F$149,6,FALSE())</f>
        <v>1</v>
      </c>
      <c r="J27" s="118">
        <f>VLOOKUP(B27,All_Ingredients!$A$1:$J$149,10,FALSE())</f>
        <v>37</v>
      </c>
      <c r="K27" s="121">
        <f t="shared" si="8"/>
        <v>8.2332692307692384E-3</v>
      </c>
      <c r="L27" s="121">
        <f t="shared" si="9"/>
        <v>0.30463096153846181</v>
      </c>
      <c r="M27" s="130"/>
      <c r="N27" s="130"/>
      <c r="O27" s="381"/>
      <c r="P27" s="381"/>
      <c r="R27" s="144" t="s">
        <v>258</v>
      </c>
      <c r="S27" s="145" t="s">
        <v>259</v>
      </c>
      <c r="T27" s="145" t="s">
        <v>260</v>
      </c>
      <c r="U27" s="145" t="s">
        <v>266</v>
      </c>
      <c r="V27" s="145" t="s">
        <v>808</v>
      </c>
      <c r="W27" s="145" t="s">
        <v>817</v>
      </c>
      <c r="Z27" s="140" t="s">
        <v>262</v>
      </c>
      <c r="AA27" s="1166" t="s">
        <v>316</v>
      </c>
      <c r="AB27" s="146" t="s">
        <v>263</v>
      </c>
      <c r="AC27" s="146" t="s">
        <v>264</v>
      </c>
      <c r="AD27" s="146" t="s">
        <v>265</v>
      </c>
      <c r="AE27" s="1167" t="s">
        <v>817</v>
      </c>
      <c r="AF27" s="146" t="s">
        <v>266</v>
      </c>
    </row>
    <row r="28" spans="1:42" ht="15" customHeight="1" thickBot="1" x14ac:dyDescent="0.4">
      <c r="A28" s="384" t="s">
        <v>95</v>
      </c>
      <c r="B28" s="255" t="s">
        <v>98</v>
      </c>
      <c r="C28" s="123" t="s">
        <v>14</v>
      </c>
      <c r="D28" s="122">
        <v>1</v>
      </c>
      <c r="E28" s="196">
        <f t="shared" si="7"/>
        <v>10.977692307692319</v>
      </c>
      <c r="F28" s="126">
        <v>0.75</v>
      </c>
      <c r="G28" s="118">
        <f t="shared" si="0"/>
        <v>10.977692307692319</v>
      </c>
      <c r="H28" s="119">
        <f t="shared" si="1"/>
        <v>8.2332692307692383</v>
      </c>
      <c r="I28" s="80">
        <f>VLOOKUP(B28,All_Ingredients!$A$1:$F$149,6,FALSE())</f>
        <v>1</v>
      </c>
      <c r="J28" s="118">
        <f>VLOOKUP(B28,All_Ingredients!$A$1:$J$149,10,FALSE())</f>
        <v>38</v>
      </c>
      <c r="K28" s="121">
        <f t="shared" si="8"/>
        <v>8.2332692307692384E-3</v>
      </c>
      <c r="L28" s="121">
        <f t="shared" si="9"/>
        <v>0.31286423076923109</v>
      </c>
      <c r="M28" s="130"/>
      <c r="N28" s="130"/>
      <c r="O28" s="381"/>
      <c r="P28" s="381"/>
      <c r="R28" s="147" t="s">
        <v>267</v>
      </c>
      <c r="S28" s="1371">
        <f>U28*S40</f>
        <v>36592.307692307681</v>
      </c>
      <c r="T28" s="1371">
        <f>U28*U40</f>
        <v>10977.692307692319</v>
      </c>
      <c r="U28" s="1342">
        <f>$Z$1</f>
        <v>47570</v>
      </c>
      <c r="V28" s="148">
        <f>SUM(AP5:AP13)</f>
        <v>3256.095176010429</v>
      </c>
      <c r="W28" s="1199">
        <f>H37</f>
        <v>22.750000000000004</v>
      </c>
      <c r="Z28" s="150"/>
      <c r="AA28" s="1169"/>
      <c r="AB28" s="151">
        <f>AA25*$S$40</f>
        <v>0.76923076923076905</v>
      </c>
      <c r="AC28" s="151">
        <f>AA25-AB28</f>
        <v>0.23076923076923095</v>
      </c>
      <c r="AD28" s="152"/>
      <c r="AE28" s="1169"/>
      <c r="AF28" s="153">
        <f>SUM(AB28:AD28)</f>
        <v>1</v>
      </c>
    </row>
    <row r="29" spans="1:42" ht="14.25" customHeight="1" thickBot="1" x14ac:dyDescent="0.35">
      <c r="A29" s="379" t="s">
        <v>95</v>
      </c>
      <c r="B29" s="255" t="s">
        <v>127</v>
      </c>
      <c r="C29" s="123" t="s">
        <v>14</v>
      </c>
      <c r="D29" s="122">
        <v>1</v>
      </c>
      <c r="E29" s="196">
        <f t="shared" si="7"/>
        <v>10.977692307692319</v>
      </c>
      <c r="F29" s="126">
        <v>0.75</v>
      </c>
      <c r="G29" s="118">
        <f t="shared" si="0"/>
        <v>10.977692307692319</v>
      </c>
      <c r="H29" s="119">
        <f t="shared" si="1"/>
        <v>8.2332692307692383</v>
      </c>
      <c r="I29" s="80">
        <f>VLOOKUP(B29,All_Ingredients!$A$1:$F$149,6,FALSE())</f>
        <v>1</v>
      </c>
      <c r="J29" s="118">
        <f>VLOOKUP(B29,All_Ingredients!$A$1:$J$149,10,FALSE())</f>
        <v>125</v>
      </c>
      <c r="K29" s="121">
        <f t="shared" si="8"/>
        <v>8.2332692307692384E-3</v>
      </c>
      <c r="L29" s="121">
        <f t="shared" si="9"/>
        <v>1.0291586538461548</v>
      </c>
      <c r="M29" s="130"/>
      <c r="N29" s="130"/>
      <c r="R29" s="147" t="s">
        <v>268</v>
      </c>
      <c r="S29" s="1374"/>
      <c r="T29" s="148"/>
      <c r="U29" s="1371">
        <f>T29</f>
        <v>0</v>
      </c>
      <c r="V29" s="148"/>
      <c r="W29" s="148"/>
      <c r="Z29" s="150"/>
      <c r="AA29" s="1173"/>
      <c r="AB29" s="155">
        <f>AB28/$AF$28</f>
        <v>0.76923076923076905</v>
      </c>
      <c r="AC29" s="155">
        <f>AC28/$AF$28</f>
        <v>0.23076923076923095</v>
      </c>
      <c r="AD29" s="155"/>
      <c r="AE29" s="1173"/>
      <c r="AF29" s="155">
        <f>AF28/$AF$28</f>
        <v>1</v>
      </c>
    </row>
    <row r="30" spans="1:42" ht="14.25" customHeight="1" thickBot="1" x14ac:dyDescent="0.35">
      <c r="R30" s="147" t="s">
        <v>269</v>
      </c>
      <c r="S30" s="1382">
        <f>U30*S40</f>
        <v>0</v>
      </c>
      <c r="T30" s="1382">
        <f>U30*U40</f>
        <v>0</v>
      </c>
      <c r="U30" s="1342">
        <f>$AB$1</f>
        <v>0</v>
      </c>
      <c r="V30" s="1124"/>
      <c r="W30" s="1124"/>
      <c r="Z30" s="140" t="s">
        <v>270</v>
      </c>
      <c r="AA30" s="1177">
        <f>V35/(S32/R1)</f>
        <v>3.1802323081702393E-4</v>
      </c>
      <c r="AB30" s="156">
        <f>S35/(S28)</f>
        <v>3.3701221915648408E-2</v>
      </c>
      <c r="AC30" s="157">
        <f>T35/T32</f>
        <v>1.4866117666484697E-2</v>
      </c>
      <c r="AD30" s="157"/>
      <c r="AE30" s="1200">
        <f>W35/U32</f>
        <v>3.310910237544672E-5</v>
      </c>
      <c r="AF30" s="1182">
        <f>SUMPRODUCT(AB30:AD30,AB29:AD29)+AE30</f>
        <v>2.9387768498986076E-2</v>
      </c>
    </row>
    <row r="31" spans="1:42" ht="14.25" customHeight="1" thickBot="1" x14ac:dyDescent="0.35">
      <c r="B31" s="131"/>
      <c r="C31" s="132"/>
      <c r="D31" s="253"/>
      <c r="E31" s="295"/>
      <c r="F31" s="135"/>
      <c r="H31" s="137"/>
      <c r="I31" s="91"/>
      <c r="J31" s="138"/>
      <c r="R31" s="147" t="s">
        <v>271</v>
      </c>
      <c r="S31" s="154"/>
      <c r="T31" s="148"/>
      <c r="U31" s="148"/>
      <c r="V31" s="148"/>
      <c r="W31" s="148"/>
    </row>
    <row r="32" spans="1:42" ht="14.25" customHeight="1" thickBot="1" x14ac:dyDescent="0.35">
      <c r="B32" s="99"/>
      <c r="C32" s="170"/>
      <c r="D32" s="170"/>
      <c r="E32" s="99"/>
      <c r="F32" s="99"/>
      <c r="G32" s="170"/>
      <c r="R32" s="159" t="s">
        <v>261</v>
      </c>
      <c r="S32" s="148">
        <f>SUM(S28:S30)</f>
        <v>36592.307692307681</v>
      </c>
      <c r="T32" s="148">
        <f>SUM(T28:T30)</f>
        <v>10977.692307692319</v>
      </c>
      <c r="U32" s="148">
        <f>SUM(U28:U30)</f>
        <v>47570</v>
      </c>
      <c r="V32" s="148">
        <f>SUM(V28:V30)</f>
        <v>3256.095176010429</v>
      </c>
      <c r="W32" s="1198">
        <f>SUM(W28:W30)</f>
        <v>22.750000000000004</v>
      </c>
    </row>
    <row r="33" spans="2:23" ht="14.25" customHeight="1" thickBot="1" x14ac:dyDescent="0.35">
      <c r="R33" s="160" t="s">
        <v>272</v>
      </c>
      <c r="S33" s="154"/>
      <c r="T33" s="154"/>
      <c r="U33" s="154"/>
      <c r="V33" s="154"/>
      <c r="W33" s="154"/>
    </row>
    <row r="34" spans="2:23" ht="14.25" customHeight="1" thickBot="1" x14ac:dyDescent="0.35">
      <c r="R34" s="161" t="s">
        <v>273</v>
      </c>
      <c r="S34" s="154"/>
      <c r="T34" s="148"/>
      <c r="U34" s="154"/>
      <c r="V34" s="154"/>
      <c r="W34" s="154"/>
    </row>
    <row r="35" spans="2:23" ht="14.25" customHeight="1" thickBot="1" x14ac:dyDescent="0.35">
      <c r="B35" s="1484" t="s">
        <v>659</v>
      </c>
      <c r="C35" s="1484"/>
      <c r="D35" s="1484"/>
      <c r="E35" s="1484"/>
      <c r="F35" s="1484"/>
      <c r="G35" s="877"/>
      <c r="H35" s="877"/>
      <c r="I35" s="877"/>
      <c r="J35" s="877"/>
      <c r="K35" s="877"/>
      <c r="L35" s="877"/>
      <c r="R35" s="162" t="s">
        <v>253</v>
      </c>
      <c r="S35" s="163">
        <f>$L$5</f>
        <v>1233.2054819441494</v>
      </c>
      <c r="T35" s="163">
        <f>SUM(L6:L29)</f>
        <v>163.19566555261795</v>
      </c>
      <c r="U35" s="1211">
        <f>S35+T35+V35+W35</f>
        <v>1417.7002219295782</v>
      </c>
      <c r="V35" s="1125">
        <f>SUM(AT6:AT13)</f>
        <v>19.72407443281072</v>
      </c>
      <c r="W35" s="1125">
        <f>L37</f>
        <v>1.5750000000000004</v>
      </c>
    </row>
    <row r="36" spans="2:23" ht="14.25" customHeight="1" x14ac:dyDescent="0.3">
      <c r="B36" s="848" t="s">
        <v>245</v>
      </c>
      <c r="C36" s="848" t="s">
        <v>321</v>
      </c>
      <c r="D36" s="850" t="s">
        <v>645</v>
      </c>
      <c r="E36" s="847" t="s">
        <v>646</v>
      </c>
      <c r="F36" s="850" t="s">
        <v>647</v>
      </c>
      <c r="G36" s="870"/>
      <c r="H36" s="850" t="s">
        <v>647</v>
      </c>
      <c r="I36" s="850" t="s">
        <v>250</v>
      </c>
      <c r="J36" s="850" t="s">
        <v>251</v>
      </c>
      <c r="K36" s="850" t="s">
        <v>252</v>
      </c>
      <c r="L36" s="850" t="s">
        <v>253</v>
      </c>
    </row>
    <row r="37" spans="2:23" ht="14.25" customHeight="1" x14ac:dyDescent="0.3">
      <c r="B37" s="843" t="s">
        <v>716</v>
      </c>
      <c r="C37" s="844" t="s">
        <v>14</v>
      </c>
      <c r="D37" s="845">
        <v>7.0000000000000007E-2</v>
      </c>
      <c r="E37" s="843">
        <f>$AD$1</f>
        <v>325</v>
      </c>
      <c r="F37" s="843">
        <f>D37*E37</f>
        <v>22.750000000000004</v>
      </c>
      <c r="G37"/>
      <c r="H37" s="843">
        <f>F37</f>
        <v>22.750000000000004</v>
      </c>
      <c r="I37" s="843">
        <f>VLOOKUP(B37,All_Ingredients!$A$1:$F$149,6,FALSE())</f>
        <v>0.65</v>
      </c>
      <c r="J37" s="843">
        <f>VLOOKUP(B37,All_Ingredients!$A$1:$J$149,10,FALSE())</f>
        <v>45</v>
      </c>
      <c r="K37" s="843">
        <f>(H37/I37)/1000</f>
        <v>3.500000000000001E-2</v>
      </c>
      <c r="L37" s="843">
        <f t="shared" ref="L37" si="12">K37*J37</f>
        <v>1.5750000000000004</v>
      </c>
    </row>
    <row r="38" spans="2:23" ht="20.25" customHeight="1" x14ac:dyDescent="0.3"/>
    <row r="39" spans="2:23" ht="20.25" customHeight="1" x14ac:dyDescent="0.3">
      <c r="B39" s="99"/>
      <c r="E39" s="99"/>
      <c r="F39" s="99"/>
    </row>
    <row r="40" spans="2:23" ht="23.25" customHeight="1" x14ac:dyDescent="0.3">
      <c r="R40" s="164" t="s">
        <v>274</v>
      </c>
      <c r="S40" s="165">
        <v>0.76923076923076905</v>
      </c>
      <c r="T40" s="164" t="s">
        <v>275</v>
      </c>
      <c r="U40" s="166">
        <v>0.230769230769231</v>
      </c>
      <c r="V40" s="167">
        <f>S40+U40</f>
        <v>1</v>
      </c>
    </row>
    <row r="41" spans="2:23" ht="14.25" customHeight="1" x14ac:dyDescent="0.3">
      <c r="U41" s="168"/>
    </row>
    <row r="43" spans="2:23" ht="14.25" customHeight="1" x14ac:dyDescent="0.3">
      <c r="Q43" s="169" t="s">
        <v>276</v>
      </c>
      <c r="R43" s="169" t="s">
        <v>277</v>
      </c>
      <c r="S43" s="169" t="s">
        <v>278</v>
      </c>
      <c r="T43" s="169" t="s">
        <v>279</v>
      </c>
      <c r="U43" s="169" t="s">
        <v>280</v>
      </c>
      <c r="V43" s="169" t="s">
        <v>281</v>
      </c>
      <c r="W43" s="257" t="s">
        <v>282</v>
      </c>
    </row>
    <row r="44" spans="2:23" ht="14.25" customHeight="1" x14ac:dyDescent="0.3">
      <c r="Q44" s="171">
        <v>43334</v>
      </c>
      <c r="R44" s="172">
        <f>D51</f>
        <v>10000</v>
      </c>
      <c r="S44" s="173">
        <v>1</v>
      </c>
      <c r="T44" s="173">
        <v>0</v>
      </c>
      <c r="U44" s="241">
        <f>R44*S44</f>
        <v>10000</v>
      </c>
      <c r="V44" s="175">
        <f>R44*T44</f>
        <v>0</v>
      </c>
      <c r="W44" s="259">
        <f>Q44-U44</f>
        <v>33334</v>
      </c>
    </row>
    <row r="48" spans="2:23" ht="15.75" customHeight="1" x14ac:dyDescent="0.3"/>
    <row r="50" spans="1:10" x14ac:dyDescent="0.3">
      <c r="B50" s="144"/>
      <c r="C50" s="144" t="s">
        <v>237</v>
      </c>
      <c r="D50" s="144" t="s">
        <v>283</v>
      </c>
      <c r="E50" s="182"/>
      <c r="F50" s="99"/>
      <c r="G50" s="144" t="s">
        <v>284</v>
      </c>
      <c r="H50" s="144" t="s">
        <v>237</v>
      </c>
      <c r="I50" s="144" t="s">
        <v>285</v>
      </c>
      <c r="J50" s="144" t="s">
        <v>286</v>
      </c>
    </row>
    <row r="51" spans="1:10" x14ac:dyDescent="0.3">
      <c r="B51" s="179" t="s">
        <v>287</v>
      </c>
      <c r="C51" s="180">
        <f>10/$K$1</f>
        <v>10</v>
      </c>
      <c r="D51" s="181">
        <f>$C$1*10</f>
        <v>10000</v>
      </c>
      <c r="E51" s="182"/>
      <c r="F51" s="99"/>
      <c r="G51" s="179" t="s">
        <v>287</v>
      </c>
      <c r="H51" s="276">
        <v>10</v>
      </c>
      <c r="I51" s="180">
        <f>J51/$R$1</f>
        <v>56498.305084745763</v>
      </c>
      <c r="J51" s="180">
        <f>$W$44</f>
        <v>33334</v>
      </c>
    </row>
    <row r="52" spans="1:10" x14ac:dyDescent="0.3">
      <c r="B52" s="230" t="s">
        <v>266</v>
      </c>
      <c r="C52" s="231">
        <f>$I$1</f>
        <v>10.977692307692319</v>
      </c>
      <c r="D52" s="232">
        <f>$E$1</f>
        <v>10977.692307692319</v>
      </c>
      <c r="E52" s="99"/>
      <c r="F52" s="99"/>
      <c r="G52" s="147" t="s">
        <v>266</v>
      </c>
      <c r="H52" s="209">
        <f>I52/$D$5</f>
        <v>10.977472758237139</v>
      </c>
      <c r="I52" s="175">
        <f>J52/$R$1</f>
        <v>62020.860495436747</v>
      </c>
      <c r="J52" s="183">
        <f>$S$32</f>
        <v>36592.307692307681</v>
      </c>
    </row>
    <row r="53" spans="1:10" x14ac:dyDescent="0.3">
      <c r="B53" s="230" t="s">
        <v>288</v>
      </c>
      <c r="C53" s="233">
        <f>MIN(C52, C51)</f>
        <v>10</v>
      </c>
      <c r="D53" s="232">
        <f>(C53*$K$1)*$C$1</f>
        <v>10000</v>
      </c>
      <c r="E53" s="99"/>
      <c r="F53" s="99"/>
      <c r="G53" s="147" t="s">
        <v>288</v>
      </c>
      <c r="H53" s="186">
        <f>MIN(H52,H51)</f>
        <v>10</v>
      </c>
      <c r="I53" s="175">
        <f>J53/$R$1</f>
        <v>56498.305084745763</v>
      </c>
      <c r="J53" s="175">
        <f>MIN(J52,J51)</f>
        <v>33334</v>
      </c>
    </row>
    <row r="54" spans="1:10" x14ac:dyDescent="0.3">
      <c r="B54" s="230" t="s">
        <v>289</v>
      </c>
      <c r="C54" s="233">
        <f>MIN(MAX(C52-C53,0),C51)</f>
        <v>0.97769230769231896</v>
      </c>
      <c r="D54" s="232">
        <f>(C54*$K$1)*$C$1</f>
        <v>977.69230769231899</v>
      </c>
      <c r="E54" s="99"/>
      <c r="F54" s="99"/>
      <c r="G54" s="147" t="s">
        <v>289</v>
      </c>
      <c r="H54" s="186">
        <f>MIN(MAX(H52-H53),H51)</f>
        <v>0.97747275823713942</v>
      </c>
      <c r="I54" s="175">
        <f>J54/$R$1</f>
        <v>5522.555410690984</v>
      </c>
      <c r="J54" s="175">
        <f>MIN(MAX(J52-J53),J51)</f>
        <v>3258.3076923076806</v>
      </c>
    </row>
    <row r="55" spans="1:10" x14ac:dyDescent="0.3">
      <c r="B55" s="230" t="s">
        <v>290</v>
      </c>
      <c r="C55" s="233">
        <f>MIN(MAX(C52-C53-C54,0),C51)</f>
        <v>0</v>
      </c>
      <c r="D55" s="232">
        <f>(C55*$K$1)*$C$1</f>
        <v>0</v>
      </c>
      <c r="E55" s="99"/>
      <c r="F55" s="99"/>
      <c r="G55" s="144" t="s">
        <v>290</v>
      </c>
      <c r="H55" s="186">
        <f>MIN(MAX(H52-H53-H54),H51)</f>
        <v>0</v>
      </c>
      <c r="I55" s="175">
        <f>J55/$R$1</f>
        <v>0</v>
      </c>
      <c r="J55" s="175">
        <f>MIN(MAX(J52-J53-J54),J51)</f>
        <v>0</v>
      </c>
    </row>
    <row r="62" spans="1:10" ht="17.75" customHeight="1" x14ac:dyDescent="0.3">
      <c r="A62" s="922"/>
      <c r="B62" s="1447" t="str">
        <f>"دجاج الفريدو دفعة 1 / " &amp; COUNTIF($C$53:$C$55, "&gt;0")</f>
        <v>دجاج الفريدو دفعة 1 / 2</v>
      </c>
      <c r="C62" s="1461"/>
      <c r="D62" s="1461"/>
      <c r="E62" s="1461"/>
      <c r="F62" s="1461"/>
      <c r="G62" s="1461"/>
      <c r="H62" s="1461"/>
    </row>
    <row r="63" spans="1:10" ht="17.75" customHeight="1" x14ac:dyDescent="0.3">
      <c r="A63" s="922"/>
      <c r="B63" s="1438" t="str">
        <f>"Chicken Alfredo 1 / " &amp; COUNTIF(C$53:$C$55, "&gt;0")</f>
        <v>Chicken Alfredo 1 / 2</v>
      </c>
      <c r="C63" s="1439"/>
      <c r="D63" s="1439"/>
      <c r="E63" s="1439"/>
      <c r="F63" s="1439"/>
      <c r="G63" s="1439"/>
      <c r="H63" s="1439"/>
    </row>
    <row r="64" spans="1:10" ht="39" customHeight="1" x14ac:dyDescent="0.25">
      <c r="A64" s="90"/>
      <c r="B64" s="90" t="s">
        <v>245</v>
      </c>
      <c r="C64" s="106" t="s">
        <v>246</v>
      </c>
      <c r="D64" s="90" t="s">
        <v>235</v>
      </c>
      <c r="E64" s="107" t="s">
        <v>238</v>
      </c>
      <c r="F64" s="107" t="s">
        <v>247</v>
      </c>
      <c r="G64" s="90" t="s">
        <v>248</v>
      </c>
      <c r="H64" s="108" t="s">
        <v>249</v>
      </c>
    </row>
    <row r="65" spans="1:8" ht="14.25" customHeight="1" x14ac:dyDescent="0.3">
      <c r="A65" s="127" t="s">
        <v>225</v>
      </c>
      <c r="B65" s="122" t="str">
        <f t="shared" ref="B65:D89" si="13">B5</f>
        <v>Chicken - دجاج</v>
      </c>
      <c r="C65" s="123" t="str">
        <f t="shared" si="13"/>
        <v>gm</v>
      </c>
      <c r="D65" s="115">
        <f>D5</f>
        <v>5649.8305084745762</v>
      </c>
      <c r="E65" s="280">
        <f>H53</f>
        <v>10</v>
      </c>
      <c r="F65" s="126">
        <f t="shared" ref="F65:F89" si="14">F5</f>
        <v>1</v>
      </c>
      <c r="G65" s="118">
        <f t="shared" ref="G65:G89" si="15">D65*E65</f>
        <v>56498.305084745763</v>
      </c>
      <c r="H65" s="119">
        <f t="shared" ref="H65:H89" si="16">G65*F65</f>
        <v>56498.305084745763</v>
      </c>
    </row>
    <row r="66" spans="1:8" ht="14.25" customHeight="1" x14ac:dyDescent="0.3">
      <c r="A66" s="127" t="s">
        <v>154</v>
      </c>
      <c r="B66" s="122" t="str">
        <f t="shared" si="13"/>
        <v>Butter - زبدة</v>
      </c>
      <c r="C66" s="123" t="str">
        <f t="shared" si="13"/>
        <v>gm</v>
      </c>
      <c r="D66" s="124">
        <f t="shared" si="13"/>
        <v>40</v>
      </c>
      <c r="E66" s="280">
        <f t="shared" ref="E66:E89" si="17">$C$53</f>
        <v>10</v>
      </c>
      <c r="F66" s="126">
        <f t="shared" si="14"/>
        <v>1</v>
      </c>
      <c r="G66" s="118">
        <f t="shared" si="15"/>
        <v>400</v>
      </c>
      <c r="H66" s="119">
        <f t="shared" si="16"/>
        <v>400</v>
      </c>
    </row>
    <row r="67" spans="1:8" ht="14.25" customHeight="1" x14ac:dyDescent="0.3">
      <c r="A67" s="127" t="s">
        <v>13</v>
      </c>
      <c r="B67" s="122" t="str">
        <f t="shared" si="13"/>
        <v>Onion - بصل</v>
      </c>
      <c r="C67" s="123" t="str">
        <f t="shared" si="13"/>
        <v>gm</v>
      </c>
      <c r="D67" s="124">
        <f t="shared" si="13"/>
        <v>350</v>
      </c>
      <c r="E67" s="280">
        <f t="shared" si="17"/>
        <v>10</v>
      </c>
      <c r="F67" s="126">
        <f t="shared" si="14"/>
        <v>0.75</v>
      </c>
      <c r="G67" s="118">
        <f t="shared" si="15"/>
        <v>3500</v>
      </c>
      <c r="H67" s="119">
        <f t="shared" si="16"/>
        <v>2625</v>
      </c>
    </row>
    <row r="68" spans="1:8" ht="14.25" customHeight="1" x14ac:dyDescent="0.3">
      <c r="A68" s="127" t="s">
        <v>154</v>
      </c>
      <c r="B68" s="122" t="str">
        <f t="shared" si="13"/>
        <v>Yogurt - زبادي</v>
      </c>
      <c r="C68" s="123" t="str">
        <f t="shared" si="13"/>
        <v>gm</v>
      </c>
      <c r="D68" s="124">
        <f t="shared" si="13"/>
        <v>250</v>
      </c>
      <c r="E68" s="280">
        <f t="shared" si="17"/>
        <v>10</v>
      </c>
      <c r="F68" s="126">
        <f t="shared" si="14"/>
        <v>0.9</v>
      </c>
      <c r="G68" s="118">
        <f t="shared" si="15"/>
        <v>2500</v>
      </c>
      <c r="H68" s="119">
        <f t="shared" si="16"/>
        <v>2250</v>
      </c>
    </row>
    <row r="69" spans="1:8" ht="14.25" customHeight="1" x14ac:dyDescent="0.3">
      <c r="A69" s="127" t="s">
        <v>13</v>
      </c>
      <c r="B69" s="122" t="str">
        <f t="shared" si="13"/>
        <v>Garlic - ثوم مقشر</v>
      </c>
      <c r="C69" s="123" t="str">
        <f t="shared" si="13"/>
        <v>gm</v>
      </c>
      <c r="D69" s="124">
        <f t="shared" si="13"/>
        <v>20</v>
      </c>
      <c r="E69" s="280">
        <f t="shared" si="17"/>
        <v>10</v>
      </c>
      <c r="F69" s="126">
        <f t="shared" si="14"/>
        <v>1</v>
      </c>
      <c r="G69" s="118">
        <f t="shared" si="15"/>
        <v>200</v>
      </c>
      <c r="H69" s="119">
        <f t="shared" si="16"/>
        <v>200</v>
      </c>
    </row>
    <row r="70" spans="1:8" ht="14.25" customHeight="1" x14ac:dyDescent="0.3">
      <c r="A70" s="127" t="s">
        <v>56</v>
      </c>
      <c r="B70" s="122" t="str">
        <f t="shared" si="13"/>
        <v>Ginger - زنجبيل</v>
      </c>
      <c r="C70" s="123" t="str">
        <f t="shared" si="13"/>
        <v>gm</v>
      </c>
      <c r="D70" s="124">
        <f t="shared" si="13"/>
        <v>20</v>
      </c>
      <c r="E70" s="280">
        <f t="shared" si="17"/>
        <v>10</v>
      </c>
      <c r="F70" s="126">
        <f t="shared" si="14"/>
        <v>0.5</v>
      </c>
      <c r="G70" s="118">
        <f t="shared" si="15"/>
        <v>200</v>
      </c>
      <c r="H70" s="119">
        <f t="shared" si="16"/>
        <v>100</v>
      </c>
    </row>
    <row r="71" spans="1:8" ht="14.25" customHeight="1" x14ac:dyDescent="0.3">
      <c r="A71" s="127" t="s">
        <v>95</v>
      </c>
      <c r="B71" s="122" t="str">
        <f t="shared" si="13"/>
        <v>Coriander Powder - كزبرة مطحونة</v>
      </c>
      <c r="C71" s="123" t="str">
        <f t="shared" si="13"/>
        <v>gm</v>
      </c>
      <c r="D71" s="124">
        <f t="shared" si="13"/>
        <v>10</v>
      </c>
      <c r="E71" s="280">
        <f t="shared" si="17"/>
        <v>10</v>
      </c>
      <c r="F71" s="126">
        <f t="shared" si="14"/>
        <v>0.95</v>
      </c>
      <c r="G71" s="118">
        <f t="shared" si="15"/>
        <v>100</v>
      </c>
      <c r="H71" s="119">
        <f t="shared" si="16"/>
        <v>95</v>
      </c>
    </row>
    <row r="72" spans="1:8" ht="14.25" customHeight="1" x14ac:dyDescent="0.3">
      <c r="A72" s="127" t="s">
        <v>95</v>
      </c>
      <c r="B72" s="122" t="str">
        <f t="shared" si="13"/>
        <v>Cumin Powder - كمون مطحون</v>
      </c>
      <c r="C72" s="123" t="str">
        <f t="shared" si="13"/>
        <v>gm</v>
      </c>
      <c r="D72" s="124">
        <f t="shared" si="13"/>
        <v>5</v>
      </c>
      <c r="E72" s="280">
        <f t="shared" si="17"/>
        <v>10</v>
      </c>
      <c r="F72" s="126">
        <f t="shared" si="14"/>
        <v>0.95</v>
      </c>
      <c r="G72" s="118">
        <f t="shared" si="15"/>
        <v>50</v>
      </c>
      <c r="H72" s="119">
        <f t="shared" si="16"/>
        <v>47.5</v>
      </c>
    </row>
    <row r="73" spans="1:8" ht="14.25" customHeight="1" x14ac:dyDescent="0.3">
      <c r="A73" s="127" t="s">
        <v>95</v>
      </c>
      <c r="B73" s="122" t="str">
        <f t="shared" si="13"/>
        <v>Red Chilli Powder - شطة حمراء مطحونة</v>
      </c>
      <c r="C73" s="123" t="str">
        <f t="shared" si="13"/>
        <v>gm</v>
      </c>
      <c r="D73" s="124">
        <f t="shared" si="13"/>
        <v>3</v>
      </c>
      <c r="E73" s="280">
        <f t="shared" si="17"/>
        <v>10</v>
      </c>
      <c r="F73" s="126">
        <f t="shared" si="14"/>
        <v>0.6</v>
      </c>
      <c r="G73" s="118">
        <f t="shared" si="15"/>
        <v>30</v>
      </c>
      <c r="H73" s="119">
        <f t="shared" si="16"/>
        <v>18</v>
      </c>
    </row>
    <row r="74" spans="1:8" ht="14.25" customHeight="1" x14ac:dyDescent="0.3">
      <c r="A74" s="127" t="s">
        <v>154</v>
      </c>
      <c r="B74" s="122" t="str">
        <f t="shared" si="13"/>
        <v>Cooking Cream - كريمة طبخ</v>
      </c>
      <c r="C74" s="123" t="str">
        <f t="shared" si="13"/>
        <v>ml</v>
      </c>
      <c r="D74" s="124">
        <f t="shared" si="13"/>
        <v>500</v>
      </c>
      <c r="E74" s="280">
        <f t="shared" si="17"/>
        <v>10</v>
      </c>
      <c r="F74" s="126">
        <f t="shared" si="14"/>
        <v>1</v>
      </c>
      <c r="G74" s="118">
        <f t="shared" si="15"/>
        <v>5000</v>
      </c>
      <c r="H74" s="119">
        <f t="shared" si="16"/>
        <v>5000</v>
      </c>
    </row>
    <row r="75" spans="1:8" ht="14.25" customHeight="1" x14ac:dyDescent="0.3">
      <c r="A75" s="127" t="s">
        <v>215</v>
      </c>
      <c r="B75" s="122" t="str">
        <f t="shared" si="13"/>
        <v>Saffron yellow color powder - لون صفار زعفران بودر</v>
      </c>
      <c r="C75" s="123" t="str">
        <f t="shared" si="13"/>
        <v>gm</v>
      </c>
      <c r="D75" s="124">
        <f t="shared" si="13"/>
        <v>3</v>
      </c>
      <c r="E75" s="280">
        <f t="shared" si="17"/>
        <v>10</v>
      </c>
      <c r="F75" s="126">
        <f t="shared" si="14"/>
        <v>1</v>
      </c>
      <c r="G75" s="118">
        <f t="shared" si="15"/>
        <v>30</v>
      </c>
      <c r="H75" s="119">
        <f t="shared" si="16"/>
        <v>30</v>
      </c>
    </row>
    <row r="76" spans="1:8" ht="14.25" customHeight="1" x14ac:dyDescent="0.3">
      <c r="A76" s="127" t="s">
        <v>95</v>
      </c>
      <c r="B76" s="122" t="str">
        <f t="shared" si="13"/>
        <v>Salt - ملح</v>
      </c>
      <c r="C76" s="123" t="str">
        <f t="shared" si="13"/>
        <v>gm</v>
      </c>
      <c r="D76" s="124">
        <f t="shared" si="13"/>
        <v>6</v>
      </c>
      <c r="E76" s="280">
        <f t="shared" si="17"/>
        <v>10</v>
      </c>
      <c r="F76" s="126">
        <f t="shared" si="14"/>
        <v>0.75</v>
      </c>
      <c r="G76" s="118">
        <f t="shared" si="15"/>
        <v>60</v>
      </c>
      <c r="H76" s="119">
        <f t="shared" si="16"/>
        <v>45</v>
      </c>
    </row>
    <row r="77" spans="1:8" ht="14.25" customHeight="1" x14ac:dyDescent="0.3">
      <c r="A77" s="127" t="s">
        <v>81</v>
      </c>
      <c r="B77" s="122" t="str">
        <f t="shared" si="13"/>
        <v>Dry Oregano - أوريجانو مجفف</v>
      </c>
      <c r="C77" s="123" t="str">
        <f t="shared" si="13"/>
        <v>gm</v>
      </c>
      <c r="D77" s="124">
        <f t="shared" si="13"/>
        <v>1</v>
      </c>
      <c r="E77" s="280">
        <f t="shared" si="17"/>
        <v>10</v>
      </c>
      <c r="F77" s="126">
        <f t="shared" si="14"/>
        <v>0.75</v>
      </c>
      <c r="G77" s="118">
        <f t="shared" si="15"/>
        <v>10</v>
      </c>
      <c r="H77" s="119">
        <f t="shared" si="16"/>
        <v>7.5</v>
      </c>
    </row>
    <row r="78" spans="1:8" ht="14.25" customHeight="1" x14ac:dyDescent="0.3">
      <c r="A78" s="127" t="s">
        <v>95</v>
      </c>
      <c r="B78" s="122" t="str">
        <f t="shared" si="13"/>
        <v>Maggi Cubes - مكعبات ماجي</v>
      </c>
      <c r="C78" s="123" t="str">
        <f t="shared" si="13"/>
        <v>gm</v>
      </c>
      <c r="D78" s="124">
        <f t="shared" si="13"/>
        <v>7</v>
      </c>
      <c r="E78" s="280">
        <f t="shared" si="17"/>
        <v>10</v>
      </c>
      <c r="F78" s="126">
        <f t="shared" si="14"/>
        <v>0.75</v>
      </c>
      <c r="G78" s="118">
        <f t="shared" si="15"/>
        <v>70</v>
      </c>
      <c r="H78" s="119">
        <f t="shared" si="16"/>
        <v>52.5</v>
      </c>
    </row>
    <row r="79" spans="1:8" ht="14.25" customHeight="1" x14ac:dyDescent="0.3">
      <c r="A79" s="127" t="s">
        <v>13</v>
      </c>
      <c r="B79" s="122" t="str">
        <f t="shared" si="13"/>
        <v>Fresh Coconut - جوز هند طازج</v>
      </c>
      <c r="C79" s="123" t="str">
        <f t="shared" si="13"/>
        <v>gm</v>
      </c>
      <c r="D79" s="124">
        <f t="shared" si="13"/>
        <v>50</v>
      </c>
      <c r="E79" s="280">
        <f t="shared" si="17"/>
        <v>10</v>
      </c>
      <c r="F79" s="126">
        <f t="shared" si="14"/>
        <v>1</v>
      </c>
      <c r="G79" s="118">
        <f t="shared" si="15"/>
        <v>500</v>
      </c>
      <c r="H79" s="119">
        <f t="shared" si="16"/>
        <v>500</v>
      </c>
    </row>
    <row r="80" spans="1:8" ht="14.25" customHeight="1" x14ac:dyDescent="0.3">
      <c r="A80" s="127" t="s">
        <v>95</v>
      </c>
      <c r="B80" s="122" t="str">
        <f t="shared" si="13"/>
        <v>Turmeric - كركم</v>
      </c>
      <c r="C80" s="123" t="str">
        <f t="shared" si="13"/>
        <v>gm</v>
      </c>
      <c r="D80" s="124">
        <f t="shared" si="13"/>
        <v>2</v>
      </c>
      <c r="E80" s="280">
        <f t="shared" si="17"/>
        <v>10</v>
      </c>
      <c r="F80" s="126">
        <f t="shared" si="14"/>
        <v>1</v>
      </c>
      <c r="G80" s="118">
        <f t="shared" si="15"/>
        <v>20</v>
      </c>
      <c r="H80" s="119">
        <f t="shared" si="16"/>
        <v>20</v>
      </c>
    </row>
    <row r="81" spans="1:8" ht="14.25" customHeight="1" x14ac:dyDescent="0.3">
      <c r="A81" s="127" t="s">
        <v>154</v>
      </c>
      <c r="B81" s="122" t="str">
        <f t="shared" si="13"/>
        <v>Milk - حليب</v>
      </c>
      <c r="C81" s="123" t="str">
        <f t="shared" si="13"/>
        <v>ml</v>
      </c>
      <c r="D81" s="124">
        <f t="shared" si="13"/>
        <v>100</v>
      </c>
      <c r="E81" s="280">
        <f t="shared" si="17"/>
        <v>10</v>
      </c>
      <c r="F81" s="126">
        <f t="shared" si="14"/>
        <v>1</v>
      </c>
      <c r="G81" s="118">
        <f t="shared" si="15"/>
        <v>1000</v>
      </c>
      <c r="H81" s="119">
        <f t="shared" si="16"/>
        <v>1000</v>
      </c>
    </row>
    <row r="82" spans="1:8" ht="14.25" customHeight="1" x14ac:dyDescent="0.3">
      <c r="A82" s="127" t="s">
        <v>13</v>
      </c>
      <c r="B82" s="122" t="str">
        <f t="shared" si="13"/>
        <v>Green Chilli Pepper - فلفل أخضر حار</v>
      </c>
      <c r="C82" s="123" t="str">
        <f t="shared" si="13"/>
        <v>gm</v>
      </c>
      <c r="D82" s="124">
        <f t="shared" si="13"/>
        <v>2</v>
      </c>
      <c r="E82" s="280">
        <f t="shared" si="17"/>
        <v>10</v>
      </c>
      <c r="F82" s="126">
        <f t="shared" si="14"/>
        <v>0.75</v>
      </c>
      <c r="G82" s="118">
        <f t="shared" si="15"/>
        <v>20</v>
      </c>
      <c r="H82" s="119">
        <f t="shared" si="16"/>
        <v>15</v>
      </c>
    </row>
    <row r="83" spans="1:8" ht="14.25" customHeight="1" x14ac:dyDescent="0.3">
      <c r="A83" s="127" t="s">
        <v>13</v>
      </c>
      <c r="B83" s="122" t="str">
        <f t="shared" si="13"/>
        <v>Green Bell Pepper - فلفل أخضر رومى</v>
      </c>
      <c r="C83" s="123" t="str">
        <f t="shared" si="13"/>
        <v>gm</v>
      </c>
      <c r="D83" s="124">
        <f t="shared" si="13"/>
        <v>50</v>
      </c>
      <c r="E83" s="280">
        <f t="shared" si="17"/>
        <v>10</v>
      </c>
      <c r="F83" s="126">
        <f t="shared" si="14"/>
        <v>1.75</v>
      </c>
      <c r="G83" s="118">
        <f t="shared" si="15"/>
        <v>500</v>
      </c>
      <c r="H83" s="119">
        <f t="shared" si="16"/>
        <v>875</v>
      </c>
    </row>
    <row r="84" spans="1:8" ht="14.25" customHeight="1" x14ac:dyDescent="0.3">
      <c r="A84" s="127" t="s">
        <v>13</v>
      </c>
      <c r="B84" s="122" t="str">
        <f t="shared" si="13"/>
        <v xml:space="preserve">Red Bell Pepper - فلفل أحمر </v>
      </c>
      <c r="C84" s="123" t="str">
        <f t="shared" si="13"/>
        <v>gm</v>
      </c>
      <c r="D84" s="124">
        <f t="shared" si="13"/>
        <v>50</v>
      </c>
      <c r="E84" s="280">
        <f t="shared" si="17"/>
        <v>10</v>
      </c>
      <c r="F84" s="126">
        <f t="shared" si="14"/>
        <v>0.75</v>
      </c>
      <c r="G84" s="118">
        <f t="shared" si="15"/>
        <v>500</v>
      </c>
      <c r="H84" s="119">
        <f t="shared" si="16"/>
        <v>375</v>
      </c>
    </row>
    <row r="85" spans="1:8" ht="14.25" customHeight="1" x14ac:dyDescent="0.3">
      <c r="A85" s="127" t="s">
        <v>13</v>
      </c>
      <c r="B85" s="122" t="str">
        <f t="shared" si="13"/>
        <v xml:space="preserve">Yellow Bell Pepper - فلفل أصفر </v>
      </c>
      <c r="C85" s="123" t="str">
        <f t="shared" si="13"/>
        <v>gm</v>
      </c>
      <c r="D85" s="124">
        <f t="shared" si="13"/>
        <v>50</v>
      </c>
      <c r="E85" s="280">
        <f t="shared" si="17"/>
        <v>10</v>
      </c>
      <c r="F85" s="126">
        <f t="shared" si="14"/>
        <v>1</v>
      </c>
      <c r="G85" s="118">
        <f t="shared" si="15"/>
        <v>500</v>
      </c>
      <c r="H85" s="119">
        <f t="shared" si="16"/>
        <v>500</v>
      </c>
    </row>
    <row r="86" spans="1:8" ht="14.25" customHeight="1" x14ac:dyDescent="0.3">
      <c r="A86" s="127" t="s">
        <v>95</v>
      </c>
      <c r="B86" s="122" t="str">
        <f t="shared" si="13"/>
        <v>Cinnamon Whole - قرفة أعواد</v>
      </c>
      <c r="C86" s="123" t="str">
        <f t="shared" si="13"/>
        <v>gm</v>
      </c>
      <c r="D86" s="124">
        <f t="shared" si="13"/>
        <v>1</v>
      </c>
      <c r="E86" s="280">
        <f t="shared" si="17"/>
        <v>10</v>
      </c>
      <c r="F86" s="126">
        <f t="shared" si="14"/>
        <v>0.75</v>
      </c>
      <c r="G86" s="118">
        <f t="shared" si="15"/>
        <v>10</v>
      </c>
      <c r="H86" s="119">
        <f t="shared" si="16"/>
        <v>7.5</v>
      </c>
    </row>
    <row r="87" spans="1:8" ht="14.25" customHeight="1" x14ac:dyDescent="0.3">
      <c r="A87" s="127" t="s">
        <v>95</v>
      </c>
      <c r="B87" s="122" t="str">
        <f t="shared" si="13"/>
        <v>Cloves Whole - قرنفل حب</v>
      </c>
      <c r="C87" s="123" t="str">
        <f t="shared" si="13"/>
        <v>gm</v>
      </c>
      <c r="D87" s="124">
        <f t="shared" si="13"/>
        <v>1</v>
      </c>
      <c r="E87" s="280">
        <f t="shared" si="17"/>
        <v>10</v>
      </c>
      <c r="F87" s="126">
        <f t="shared" si="14"/>
        <v>0.75</v>
      </c>
      <c r="G87" s="118">
        <f t="shared" si="15"/>
        <v>10</v>
      </c>
      <c r="H87" s="119">
        <f t="shared" si="16"/>
        <v>7.5</v>
      </c>
    </row>
    <row r="88" spans="1:8" ht="14.25" customHeight="1" x14ac:dyDescent="0.3">
      <c r="A88" s="127" t="s">
        <v>95</v>
      </c>
      <c r="B88" s="122" t="str">
        <f t="shared" si="13"/>
        <v>Black Pepper Whole - فلفل أسود حب</v>
      </c>
      <c r="C88" s="123" t="str">
        <f t="shared" si="13"/>
        <v>gm</v>
      </c>
      <c r="D88" s="124">
        <f t="shared" si="13"/>
        <v>1</v>
      </c>
      <c r="E88" s="280">
        <f t="shared" si="17"/>
        <v>10</v>
      </c>
      <c r="F88" s="126">
        <f t="shared" si="14"/>
        <v>0.75</v>
      </c>
      <c r="G88" s="118">
        <f t="shared" si="15"/>
        <v>10</v>
      </c>
      <c r="H88" s="119">
        <f t="shared" si="16"/>
        <v>7.5</v>
      </c>
    </row>
    <row r="89" spans="1:8" ht="14.25" customHeight="1" x14ac:dyDescent="0.3">
      <c r="A89" s="127" t="s">
        <v>95</v>
      </c>
      <c r="B89" s="122" t="str">
        <f t="shared" si="13"/>
        <v>Cardamom Whole - هيل حب</v>
      </c>
      <c r="C89" s="123" t="str">
        <f t="shared" si="13"/>
        <v>gm</v>
      </c>
      <c r="D89" s="124">
        <f t="shared" si="13"/>
        <v>1</v>
      </c>
      <c r="E89" s="280">
        <f t="shared" si="17"/>
        <v>10</v>
      </c>
      <c r="F89" s="126">
        <f t="shared" si="14"/>
        <v>0.75</v>
      </c>
      <c r="G89" s="118">
        <f t="shared" si="15"/>
        <v>10</v>
      </c>
      <c r="H89" s="119">
        <f t="shared" si="16"/>
        <v>7.5</v>
      </c>
    </row>
    <row r="90" spans="1:8" ht="25.25" customHeight="1" x14ac:dyDescent="0.3">
      <c r="A90" s="210"/>
      <c r="B90" s="197" t="s">
        <v>291</v>
      </c>
      <c r="C90" s="199" t="s">
        <v>277</v>
      </c>
      <c r="E90" s="199" t="s">
        <v>292</v>
      </c>
      <c r="G90" s="878" t="s">
        <v>268</v>
      </c>
      <c r="H90" s="878" t="s">
        <v>703</v>
      </c>
    </row>
    <row r="91" spans="1:8" ht="19.5" customHeight="1" x14ac:dyDescent="0.4">
      <c r="A91" s="210"/>
      <c r="B91" s="198">
        <f>$J$53</f>
        <v>33334</v>
      </c>
      <c r="C91" s="198">
        <f>E91+G91</f>
        <v>10000</v>
      </c>
      <c r="D91" s="915"/>
      <c r="E91" s="198">
        <f>$D$53*$S$44</f>
        <v>10000</v>
      </c>
      <c r="F91" s="919"/>
      <c r="G91" s="198">
        <f>$D$53*$T$44</f>
        <v>0</v>
      </c>
      <c r="H91" s="198">
        <f>B91+E91</f>
        <v>43334</v>
      </c>
    </row>
    <row r="92" spans="1:8" ht="14.25" customHeight="1" x14ac:dyDescent="0.3">
      <c r="B92" s="99"/>
      <c r="E92" s="99"/>
      <c r="F92" s="99"/>
    </row>
    <row r="93" spans="1:8" ht="14.25" customHeight="1" x14ac:dyDescent="0.3">
      <c r="B93" s="99"/>
      <c r="C93" s="99"/>
      <c r="D93" s="99"/>
      <c r="E93" s="99"/>
      <c r="F93" s="99"/>
      <c r="G93" s="99"/>
      <c r="H93" s="99"/>
    </row>
    <row r="94" spans="1:8" ht="17.75" customHeight="1" x14ac:dyDescent="0.3">
      <c r="A94" s="922"/>
      <c r="B94" s="1447" t="str">
        <f>"دجاج الفريدو دفعة 2 / " &amp; COUNTIF($C$53:$C$55, "&gt;0")</f>
        <v>دجاج الفريدو دفعة 2 / 2</v>
      </c>
      <c r="C94" s="1461"/>
      <c r="D94" s="1461"/>
      <c r="E94" s="1461"/>
      <c r="F94" s="1461"/>
      <c r="G94" s="1461"/>
      <c r="H94" s="1461"/>
    </row>
    <row r="95" spans="1:8" ht="17.75" customHeight="1" x14ac:dyDescent="0.3">
      <c r="A95" s="922"/>
      <c r="B95" s="1438" t="str">
        <f>"Chicken Alfredo 2 / " &amp; COUNTIF(C$53:$C$55, "&gt;0")</f>
        <v>Chicken Alfredo 2 / 2</v>
      </c>
      <c r="C95" s="1439"/>
      <c r="D95" s="1439"/>
      <c r="E95" s="1439"/>
      <c r="F95" s="1439"/>
      <c r="G95" s="1439"/>
      <c r="H95" s="1439"/>
    </row>
    <row r="96" spans="1:8" ht="45.75" customHeight="1" x14ac:dyDescent="0.25">
      <c r="A96" s="90"/>
      <c r="B96" s="90" t="s">
        <v>245</v>
      </c>
      <c r="C96" s="106" t="s">
        <v>246</v>
      </c>
      <c r="D96" s="90" t="s">
        <v>235</v>
      </c>
      <c r="E96" s="107" t="s">
        <v>238</v>
      </c>
      <c r="F96" s="107" t="s">
        <v>247</v>
      </c>
      <c r="G96" s="90" t="s">
        <v>248</v>
      </c>
      <c r="H96" s="108" t="s">
        <v>249</v>
      </c>
    </row>
    <row r="97" spans="1:8" ht="14.25" customHeight="1" x14ac:dyDescent="0.3">
      <c r="A97" s="127" t="s">
        <v>225</v>
      </c>
      <c r="B97" s="122" t="str">
        <f t="shared" ref="B97:D121" si="18">B5</f>
        <v>Chicken - دجاج</v>
      </c>
      <c r="C97" s="122" t="str">
        <f t="shared" si="18"/>
        <v>gm</v>
      </c>
      <c r="D97" s="262">
        <f t="shared" si="18"/>
        <v>5649.8305084745762</v>
      </c>
      <c r="E97" s="280">
        <f>H54</f>
        <v>0.97747275823713942</v>
      </c>
      <c r="F97" s="126">
        <f t="shared" ref="F97:F121" si="19">F5</f>
        <v>1</v>
      </c>
      <c r="G97" s="120">
        <f t="shared" ref="G97:G121" si="20">D97*E97</f>
        <v>5522.555410690984</v>
      </c>
      <c r="H97" s="119">
        <f t="shared" ref="H97:H121" si="21">G97*F97</f>
        <v>5522.555410690984</v>
      </c>
    </row>
    <row r="98" spans="1:8" ht="14.25" customHeight="1" x14ac:dyDescent="0.3">
      <c r="A98" s="127" t="s">
        <v>154</v>
      </c>
      <c r="B98" s="122" t="str">
        <f t="shared" si="18"/>
        <v>Butter - زبدة</v>
      </c>
      <c r="C98" s="122" t="str">
        <f t="shared" si="18"/>
        <v>gm</v>
      </c>
      <c r="D98" s="122">
        <f t="shared" si="18"/>
        <v>40</v>
      </c>
      <c r="E98" s="280">
        <f t="shared" ref="E98:E121" si="22">$C$54</f>
        <v>0.97769230769231896</v>
      </c>
      <c r="F98" s="126">
        <f t="shared" si="19"/>
        <v>1</v>
      </c>
      <c r="G98" s="120">
        <f t="shared" si="20"/>
        <v>39.107692307692759</v>
      </c>
      <c r="H98" s="119">
        <f t="shared" si="21"/>
        <v>39.107692307692759</v>
      </c>
    </row>
    <row r="99" spans="1:8" ht="14.25" customHeight="1" x14ac:dyDescent="0.3">
      <c r="A99" s="127" t="s">
        <v>13</v>
      </c>
      <c r="B99" s="122" t="str">
        <f t="shared" si="18"/>
        <v>Onion - بصل</v>
      </c>
      <c r="C99" s="122" t="str">
        <f t="shared" si="18"/>
        <v>gm</v>
      </c>
      <c r="D99" s="122">
        <f t="shared" si="18"/>
        <v>350</v>
      </c>
      <c r="E99" s="280">
        <f t="shared" si="22"/>
        <v>0.97769230769231896</v>
      </c>
      <c r="F99" s="126">
        <f t="shared" si="19"/>
        <v>0.75</v>
      </c>
      <c r="G99" s="120">
        <f t="shared" si="20"/>
        <v>342.19230769231166</v>
      </c>
      <c r="H99" s="119">
        <f t="shared" si="21"/>
        <v>256.64423076923373</v>
      </c>
    </row>
    <row r="100" spans="1:8" ht="14.25" customHeight="1" x14ac:dyDescent="0.3">
      <c r="A100" s="127" t="s">
        <v>154</v>
      </c>
      <c r="B100" s="122" t="str">
        <f t="shared" si="18"/>
        <v>Yogurt - زبادي</v>
      </c>
      <c r="C100" s="122" t="str">
        <f t="shared" si="18"/>
        <v>gm</v>
      </c>
      <c r="D100" s="122">
        <f t="shared" si="18"/>
        <v>250</v>
      </c>
      <c r="E100" s="280">
        <f t="shared" si="22"/>
        <v>0.97769230769231896</v>
      </c>
      <c r="F100" s="126">
        <f t="shared" si="19"/>
        <v>0.9</v>
      </c>
      <c r="G100" s="120">
        <f t="shared" si="20"/>
        <v>244.42307692307975</v>
      </c>
      <c r="H100" s="119">
        <f t="shared" si="21"/>
        <v>219.98076923077178</v>
      </c>
    </row>
    <row r="101" spans="1:8" ht="14.25" customHeight="1" x14ac:dyDescent="0.3">
      <c r="A101" s="127" t="s">
        <v>13</v>
      </c>
      <c r="B101" s="122" t="str">
        <f t="shared" si="18"/>
        <v>Garlic - ثوم مقشر</v>
      </c>
      <c r="C101" s="122" t="str">
        <f t="shared" si="18"/>
        <v>gm</v>
      </c>
      <c r="D101" s="122">
        <f t="shared" si="18"/>
        <v>20</v>
      </c>
      <c r="E101" s="280">
        <f t="shared" si="22"/>
        <v>0.97769230769231896</v>
      </c>
      <c r="F101" s="126">
        <f t="shared" si="19"/>
        <v>1</v>
      </c>
      <c r="G101" s="120">
        <f t="shared" si="20"/>
        <v>19.553846153846379</v>
      </c>
      <c r="H101" s="119">
        <f t="shared" si="21"/>
        <v>19.553846153846379</v>
      </c>
    </row>
    <row r="102" spans="1:8" ht="14.25" customHeight="1" x14ac:dyDescent="0.3">
      <c r="A102" s="127" t="s">
        <v>56</v>
      </c>
      <c r="B102" s="122" t="str">
        <f t="shared" si="18"/>
        <v>Ginger - زنجبيل</v>
      </c>
      <c r="C102" s="122" t="str">
        <f t="shared" si="18"/>
        <v>gm</v>
      </c>
      <c r="D102" s="122">
        <f t="shared" si="18"/>
        <v>20</v>
      </c>
      <c r="E102" s="280">
        <f t="shared" si="22"/>
        <v>0.97769230769231896</v>
      </c>
      <c r="F102" s="126">
        <f t="shared" si="19"/>
        <v>0.5</v>
      </c>
      <c r="G102" s="120">
        <f t="shared" si="20"/>
        <v>19.553846153846379</v>
      </c>
      <c r="H102" s="119">
        <f t="shared" si="21"/>
        <v>9.7769230769231896</v>
      </c>
    </row>
    <row r="103" spans="1:8" ht="14.25" customHeight="1" x14ac:dyDescent="0.3">
      <c r="A103" s="127" t="s">
        <v>95</v>
      </c>
      <c r="B103" s="122" t="str">
        <f t="shared" si="18"/>
        <v>Coriander Powder - كزبرة مطحونة</v>
      </c>
      <c r="C103" s="122" t="str">
        <f t="shared" si="18"/>
        <v>gm</v>
      </c>
      <c r="D103" s="122">
        <f t="shared" si="18"/>
        <v>10</v>
      </c>
      <c r="E103" s="280">
        <f t="shared" si="22"/>
        <v>0.97769230769231896</v>
      </c>
      <c r="F103" s="126">
        <f t="shared" si="19"/>
        <v>0.95</v>
      </c>
      <c r="G103" s="120">
        <f t="shared" si="20"/>
        <v>9.7769230769231896</v>
      </c>
      <c r="H103" s="119">
        <f t="shared" si="21"/>
        <v>9.2880769230770301</v>
      </c>
    </row>
    <row r="104" spans="1:8" ht="14.25" customHeight="1" x14ac:dyDescent="0.3">
      <c r="A104" s="127" t="s">
        <v>95</v>
      </c>
      <c r="B104" s="122" t="str">
        <f t="shared" si="18"/>
        <v>Cumin Powder - كمون مطحون</v>
      </c>
      <c r="C104" s="122" t="str">
        <f t="shared" si="18"/>
        <v>gm</v>
      </c>
      <c r="D104" s="122">
        <f t="shared" si="18"/>
        <v>5</v>
      </c>
      <c r="E104" s="280">
        <f t="shared" si="22"/>
        <v>0.97769230769231896</v>
      </c>
      <c r="F104" s="126">
        <f t="shared" si="19"/>
        <v>0.95</v>
      </c>
      <c r="G104" s="120">
        <f t="shared" si="20"/>
        <v>4.8884615384615948</v>
      </c>
      <c r="H104" s="119">
        <f t="shared" si="21"/>
        <v>4.6440384615385151</v>
      </c>
    </row>
    <row r="105" spans="1:8" ht="14.25" customHeight="1" x14ac:dyDescent="0.3">
      <c r="A105" s="127" t="s">
        <v>95</v>
      </c>
      <c r="B105" s="122" t="str">
        <f t="shared" si="18"/>
        <v>Red Chilli Powder - شطة حمراء مطحونة</v>
      </c>
      <c r="C105" s="122" t="str">
        <f t="shared" si="18"/>
        <v>gm</v>
      </c>
      <c r="D105" s="122">
        <f t="shared" si="18"/>
        <v>3</v>
      </c>
      <c r="E105" s="280">
        <f t="shared" si="22"/>
        <v>0.97769230769231896</v>
      </c>
      <c r="F105" s="126">
        <f t="shared" si="19"/>
        <v>0.6</v>
      </c>
      <c r="G105" s="120">
        <f t="shared" si="20"/>
        <v>2.9330769230769569</v>
      </c>
      <c r="H105" s="119">
        <f t="shared" si="21"/>
        <v>1.759846153846174</v>
      </c>
    </row>
    <row r="106" spans="1:8" ht="14.25" customHeight="1" x14ac:dyDescent="0.3">
      <c r="A106" s="127" t="s">
        <v>154</v>
      </c>
      <c r="B106" s="122" t="str">
        <f t="shared" si="18"/>
        <v>Cooking Cream - كريمة طبخ</v>
      </c>
      <c r="C106" s="122" t="str">
        <f t="shared" si="18"/>
        <v>ml</v>
      </c>
      <c r="D106" s="122">
        <f t="shared" si="18"/>
        <v>500</v>
      </c>
      <c r="E106" s="280">
        <f t="shared" si="22"/>
        <v>0.97769230769231896</v>
      </c>
      <c r="F106" s="126">
        <f t="shared" si="19"/>
        <v>1</v>
      </c>
      <c r="G106" s="120">
        <f t="shared" si="20"/>
        <v>488.8461538461595</v>
      </c>
      <c r="H106" s="119">
        <f t="shared" si="21"/>
        <v>488.8461538461595</v>
      </c>
    </row>
    <row r="107" spans="1:8" ht="14.25" customHeight="1" x14ac:dyDescent="0.3">
      <c r="A107" s="127" t="s">
        <v>215</v>
      </c>
      <c r="B107" s="122" t="str">
        <f t="shared" si="18"/>
        <v>Saffron yellow color powder - لون صفار زعفران بودر</v>
      </c>
      <c r="C107" s="122" t="str">
        <f t="shared" si="18"/>
        <v>gm</v>
      </c>
      <c r="D107" s="122">
        <f t="shared" si="18"/>
        <v>3</v>
      </c>
      <c r="E107" s="280">
        <f t="shared" si="22"/>
        <v>0.97769230769231896</v>
      </c>
      <c r="F107" s="126">
        <f t="shared" si="19"/>
        <v>1</v>
      </c>
      <c r="G107" s="120">
        <f t="shared" si="20"/>
        <v>2.9330769230769569</v>
      </c>
      <c r="H107" s="119">
        <f t="shared" si="21"/>
        <v>2.9330769230769569</v>
      </c>
    </row>
    <row r="108" spans="1:8" ht="14.25" customHeight="1" x14ac:dyDescent="0.3">
      <c r="A108" s="127" t="s">
        <v>95</v>
      </c>
      <c r="B108" s="122" t="str">
        <f t="shared" si="18"/>
        <v>Salt - ملح</v>
      </c>
      <c r="C108" s="122" t="str">
        <f t="shared" si="18"/>
        <v>gm</v>
      </c>
      <c r="D108" s="122">
        <f t="shared" si="18"/>
        <v>6</v>
      </c>
      <c r="E108" s="280">
        <f t="shared" si="22"/>
        <v>0.97769230769231896</v>
      </c>
      <c r="F108" s="126">
        <f t="shared" si="19"/>
        <v>0.75</v>
      </c>
      <c r="G108" s="120">
        <f t="shared" si="20"/>
        <v>5.8661538461539138</v>
      </c>
      <c r="H108" s="119">
        <f t="shared" si="21"/>
        <v>4.3996153846154353</v>
      </c>
    </row>
    <row r="109" spans="1:8" ht="14.25" customHeight="1" x14ac:dyDescent="0.3">
      <c r="A109" s="127" t="s">
        <v>81</v>
      </c>
      <c r="B109" s="122" t="str">
        <f t="shared" si="18"/>
        <v>Dry Oregano - أوريجانو مجفف</v>
      </c>
      <c r="C109" s="122" t="str">
        <f t="shared" si="18"/>
        <v>gm</v>
      </c>
      <c r="D109" s="122">
        <f t="shared" si="18"/>
        <v>1</v>
      </c>
      <c r="E109" s="280">
        <f t="shared" si="22"/>
        <v>0.97769230769231896</v>
      </c>
      <c r="F109" s="126">
        <f t="shared" si="19"/>
        <v>0.75</v>
      </c>
      <c r="G109" s="120">
        <f t="shared" si="20"/>
        <v>0.97769230769231896</v>
      </c>
      <c r="H109" s="119">
        <f t="shared" si="21"/>
        <v>0.73326923076923922</v>
      </c>
    </row>
    <row r="110" spans="1:8" ht="14.25" customHeight="1" x14ac:dyDescent="0.3">
      <c r="A110" s="127" t="s">
        <v>95</v>
      </c>
      <c r="B110" s="122" t="str">
        <f t="shared" si="18"/>
        <v>Maggi Cubes - مكعبات ماجي</v>
      </c>
      <c r="C110" s="122" t="str">
        <f t="shared" si="18"/>
        <v>gm</v>
      </c>
      <c r="D110" s="122">
        <f t="shared" si="18"/>
        <v>7</v>
      </c>
      <c r="E110" s="280">
        <f t="shared" si="22"/>
        <v>0.97769230769231896</v>
      </c>
      <c r="F110" s="126">
        <f t="shared" si="19"/>
        <v>0.75</v>
      </c>
      <c r="G110" s="120">
        <f t="shared" si="20"/>
        <v>6.8438461538462327</v>
      </c>
      <c r="H110" s="119">
        <f t="shared" si="21"/>
        <v>5.1328846153846746</v>
      </c>
    </row>
    <row r="111" spans="1:8" ht="14.25" customHeight="1" x14ac:dyDescent="0.3">
      <c r="A111" s="127" t="s">
        <v>13</v>
      </c>
      <c r="B111" s="122" t="str">
        <f t="shared" si="18"/>
        <v>Fresh Coconut - جوز هند طازج</v>
      </c>
      <c r="C111" s="122" t="str">
        <f t="shared" si="18"/>
        <v>gm</v>
      </c>
      <c r="D111" s="122">
        <f t="shared" si="18"/>
        <v>50</v>
      </c>
      <c r="E111" s="280">
        <f t="shared" si="22"/>
        <v>0.97769230769231896</v>
      </c>
      <c r="F111" s="126">
        <f t="shared" si="19"/>
        <v>1</v>
      </c>
      <c r="G111" s="120">
        <f t="shared" si="20"/>
        <v>48.884615384615948</v>
      </c>
      <c r="H111" s="119">
        <f t="shared" si="21"/>
        <v>48.884615384615948</v>
      </c>
    </row>
    <row r="112" spans="1:8" ht="14.25" customHeight="1" x14ac:dyDescent="0.3">
      <c r="A112" s="127" t="s">
        <v>95</v>
      </c>
      <c r="B112" s="122" t="str">
        <f t="shared" si="18"/>
        <v>Turmeric - كركم</v>
      </c>
      <c r="C112" s="122" t="str">
        <f t="shared" si="18"/>
        <v>gm</v>
      </c>
      <c r="D112" s="122">
        <f t="shared" si="18"/>
        <v>2</v>
      </c>
      <c r="E112" s="280">
        <f t="shared" si="22"/>
        <v>0.97769230769231896</v>
      </c>
      <c r="F112" s="126">
        <f t="shared" si="19"/>
        <v>1</v>
      </c>
      <c r="G112" s="120">
        <f t="shared" si="20"/>
        <v>1.9553846153846379</v>
      </c>
      <c r="H112" s="119">
        <f t="shared" si="21"/>
        <v>1.9553846153846379</v>
      </c>
    </row>
    <row r="113" spans="1:10" ht="14.25" customHeight="1" x14ac:dyDescent="0.3">
      <c r="A113" s="127" t="s">
        <v>154</v>
      </c>
      <c r="B113" s="122" t="str">
        <f t="shared" si="18"/>
        <v>Milk - حليب</v>
      </c>
      <c r="C113" s="122" t="str">
        <f t="shared" si="18"/>
        <v>ml</v>
      </c>
      <c r="D113" s="122">
        <f t="shared" si="18"/>
        <v>100</v>
      </c>
      <c r="E113" s="280">
        <f t="shared" si="22"/>
        <v>0.97769230769231896</v>
      </c>
      <c r="F113" s="126">
        <f t="shared" si="19"/>
        <v>1</v>
      </c>
      <c r="G113" s="120">
        <f t="shared" si="20"/>
        <v>97.769230769231896</v>
      </c>
      <c r="H113" s="119">
        <f t="shared" si="21"/>
        <v>97.769230769231896</v>
      </c>
    </row>
    <row r="114" spans="1:10" ht="14.25" customHeight="1" x14ac:dyDescent="0.3">
      <c r="A114" s="127" t="s">
        <v>13</v>
      </c>
      <c r="B114" s="122" t="str">
        <f t="shared" si="18"/>
        <v>Green Chilli Pepper - فلفل أخضر حار</v>
      </c>
      <c r="C114" s="122" t="str">
        <f t="shared" si="18"/>
        <v>gm</v>
      </c>
      <c r="D114" s="122">
        <f t="shared" si="18"/>
        <v>2</v>
      </c>
      <c r="E114" s="280">
        <f t="shared" si="22"/>
        <v>0.97769230769231896</v>
      </c>
      <c r="F114" s="126">
        <f t="shared" si="19"/>
        <v>0.75</v>
      </c>
      <c r="G114" s="120">
        <f t="shared" si="20"/>
        <v>1.9553846153846379</v>
      </c>
      <c r="H114" s="119">
        <f t="shared" si="21"/>
        <v>1.4665384615384784</v>
      </c>
    </row>
    <row r="115" spans="1:10" ht="14.25" customHeight="1" x14ac:dyDescent="0.3">
      <c r="A115" s="127" t="s">
        <v>13</v>
      </c>
      <c r="B115" s="122" t="str">
        <f t="shared" si="18"/>
        <v>Green Bell Pepper - فلفل أخضر رومى</v>
      </c>
      <c r="C115" s="122" t="str">
        <f t="shared" si="18"/>
        <v>gm</v>
      </c>
      <c r="D115" s="122">
        <f t="shared" si="18"/>
        <v>50</v>
      </c>
      <c r="E115" s="280">
        <f t="shared" si="22"/>
        <v>0.97769230769231896</v>
      </c>
      <c r="F115" s="126">
        <f t="shared" si="19"/>
        <v>1.75</v>
      </c>
      <c r="G115" s="120">
        <f t="shared" si="20"/>
        <v>48.884615384615948</v>
      </c>
      <c r="H115" s="119">
        <f t="shared" si="21"/>
        <v>85.548076923077915</v>
      </c>
    </row>
    <row r="116" spans="1:10" ht="14.25" customHeight="1" x14ac:dyDescent="0.3">
      <c r="A116" s="127" t="s">
        <v>13</v>
      </c>
      <c r="B116" s="122" t="str">
        <f t="shared" si="18"/>
        <v xml:space="preserve">Red Bell Pepper - فلفل أحمر </v>
      </c>
      <c r="C116" s="122" t="str">
        <f t="shared" si="18"/>
        <v>gm</v>
      </c>
      <c r="D116" s="122">
        <f t="shared" si="18"/>
        <v>50</v>
      </c>
      <c r="E116" s="280">
        <f t="shared" si="22"/>
        <v>0.97769230769231896</v>
      </c>
      <c r="F116" s="126">
        <f t="shared" si="19"/>
        <v>0.75</v>
      </c>
      <c r="G116" s="120">
        <f t="shared" si="20"/>
        <v>48.884615384615948</v>
      </c>
      <c r="H116" s="119">
        <f t="shared" si="21"/>
        <v>36.663461538461959</v>
      </c>
    </row>
    <row r="117" spans="1:10" ht="14.25" customHeight="1" x14ac:dyDescent="0.3">
      <c r="A117" s="127" t="s">
        <v>13</v>
      </c>
      <c r="B117" s="122" t="str">
        <f t="shared" si="18"/>
        <v xml:space="preserve">Yellow Bell Pepper - فلفل أصفر </v>
      </c>
      <c r="C117" s="122" t="str">
        <f t="shared" si="18"/>
        <v>gm</v>
      </c>
      <c r="D117" s="122">
        <f t="shared" si="18"/>
        <v>50</v>
      </c>
      <c r="E117" s="280">
        <f t="shared" si="22"/>
        <v>0.97769230769231896</v>
      </c>
      <c r="F117" s="126">
        <f t="shared" si="19"/>
        <v>1</v>
      </c>
      <c r="G117" s="120">
        <f t="shared" si="20"/>
        <v>48.884615384615948</v>
      </c>
      <c r="H117" s="119">
        <f t="shared" si="21"/>
        <v>48.884615384615948</v>
      </c>
    </row>
    <row r="118" spans="1:10" ht="14.25" customHeight="1" x14ac:dyDescent="0.3">
      <c r="A118" s="127" t="s">
        <v>95</v>
      </c>
      <c r="B118" s="122" t="str">
        <f t="shared" si="18"/>
        <v>Cinnamon Whole - قرفة أعواد</v>
      </c>
      <c r="C118" s="122" t="str">
        <f t="shared" si="18"/>
        <v>gm</v>
      </c>
      <c r="D118" s="122">
        <f t="shared" si="18"/>
        <v>1</v>
      </c>
      <c r="E118" s="280">
        <f t="shared" si="22"/>
        <v>0.97769230769231896</v>
      </c>
      <c r="F118" s="126">
        <f t="shared" si="19"/>
        <v>0.75</v>
      </c>
      <c r="G118" s="120">
        <f t="shared" si="20"/>
        <v>0.97769230769231896</v>
      </c>
      <c r="H118" s="119">
        <f t="shared" si="21"/>
        <v>0.73326923076923922</v>
      </c>
    </row>
    <row r="119" spans="1:10" ht="14.25" customHeight="1" x14ac:dyDescent="0.3">
      <c r="A119" s="127" t="s">
        <v>95</v>
      </c>
      <c r="B119" s="122" t="str">
        <f t="shared" si="18"/>
        <v>Cloves Whole - قرنفل حب</v>
      </c>
      <c r="C119" s="122" t="str">
        <f t="shared" si="18"/>
        <v>gm</v>
      </c>
      <c r="D119" s="122">
        <f t="shared" si="18"/>
        <v>1</v>
      </c>
      <c r="E119" s="280">
        <f t="shared" si="22"/>
        <v>0.97769230769231896</v>
      </c>
      <c r="F119" s="126">
        <f t="shared" si="19"/>
        <v>0.75</v>
      </c>
      <c r="G119" s="120">
        <f t="shared" si="20"/>
        <v>0.97769230769231896</v>
      </c>
      <c r="H119" s="119">
        <f t="shared" si="21"/>
        <v>0.73326923076923922</v>
      </c>
    </row>
    <row r="120" spans="1:10" ht="14.25" customHeight="1" x14ac:dyDescent="0.3">
      <c r="A120" s="127" t="s">
        <v>95</v>
      </c>
      <c r="B120" s="122" t="str">
        <f t="shared" si="18"/>
        <v>Black Pepper Whole - فلفل أسود حب</v>
      </c>
      <c r="C120" s="122" t="str">
        <f t="shared" si="18"/>
        <v>gm</v>
      </c>
      <c r="D120" s="122">
        <f t="shared" si="18"/>
        <v>1</v>
      </c>
      <c r="E120" s="280">
        <f t="shared" si="22"/>
        <v>0.97769230769231896</v>
      </c>
      <c r="F120" s="126">
        <f t="shared" si="19"/>
        <v>0.75</v>
      </c>
      <c r="G120" s="120">
        <f t="shared" si="20"/>
        <v>0.97769230769231896</v>
      </c>
      <c r="H120" s="119">
        <f t="shared" si="21"/>
        <v>0.73326923076923922</v>
      </c>
    </row>
    <row r="121" spans="1:10" ht="14.25" customHeight="1" x14ac:dyDescent="0.3">
      <c r="A121" s="127" t="s">
        <v>95</v>
      </c>
      <c r="B121" s="122" t="str">
        <f t="shared" si="18"/>
        <v>Cardamom Whole - هيل حب</v>
      </c>
      <c r="C121" s="122" t="str">
        <f t="shared" si="18"/>
        <v>gm</v>
      </c>
      <c r="D121" s="122">
        <f t="shared" si="18"/>
        <v>1</v>
      </c>
      <c r="E121" s="280">
        <f t="shared" si="22"/>
        <v>0.97769230769231896</v>
      </c>
      <c r="F121" s="126">
        <f t="shared" si="19"/>
        <v>0.75</v>
      </c>
      <c r="G121" s="120">
        <f t="shared" si="20"/>
        <v>0.97769230769231896</v>
      </c>
      <c r="H121" s="119">
        <f t="shared" si="21"/>
        <v>0.73326923076923922</v>
      </c>
    </row>
    <row r="122" spans="1:10" ht="20.25" customHeight="1" x14ac:dyDescent="0.4">
      <c r="A122" s="210"/>
      <c r="B122" s="197" t="s">
        <v>291</v>
      </c>
      <c r="C122" s="199" t="s">
        <v>277</v>
      </c>
      <c r="E122" s="199" t="s">
        <v>292</v>
      </c>
      <c r="G122" s="878" t="s">
        <v>268</v>
      </c>
      <c r="H122" s="878" t="s">
        <v>703</v>
      </c>
      <c r="I122" s="203"/>
      <c r="J122" s="202"/>
    </row>
    <row r="123" spans="1:10" ht="25.25" customHeight="1" x14ac:dyDescent="0.4">
      <c r="A123" s="210"/>
      <c r="B123" s="198">
        <f>$J$54</f>
        <v>3258.3076923076806</v>
      </c>
      <c r="C123" s="198">
        <f>E123+G123</f>
        <v>977.69230769231899</v>
      </c>
      <c r="D123" s="915"/>
      <c r="E123" s="198">
        <f>$D$54*$S$44</f>
        <v>977.69230769231899</v>
      </c>
      <c r="F123" s="919"/>
      <c r="G123" s="198">
        <f>$D$54*$T$44</f>
        <v>0</v>
      </c>
      <c r="H123" s="198">
        <f>B123+E123</f>
        <v>4236</v>
      </c>
    </row>
  </sheetData>
  <mergeCells count="12">
    <mergeCell ref="AK2:AM2"/>
    <mergeCell ref="AE2:AG3"/>
    <mergeCell ref="B94:H94"/>
    <mergeCell ref="R26:U26"/>
    <mergeCell ref="R25:U25"/>
    <mergeCell ref="B62:H62"/>
    <mergeCell ref="B95:H95"/>
    <mergeCell ref="K2:K3"/>
    <mergeCell ref="B63:H63"/>
    <mergeCell ref="L2:L3"/>
    <mergeCell ref="B2:J3"/>
    <mergeCell ref="B35:F35"/>
  </mergeCells>
  <printOptions horizontalCentered="1"/>
  <pageMargins left="0.4" right="0.4" top="1" bottom="0.5" header="0.3" footer="0.511811023622047"/>
  <pageSetup paperSize="9" scale="47" orientation="landscape"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8" tint="-0.249977111117893"/>
    <pageSetUpPr fitToPage="1"/>
  </sheetPr>
  <dimension ref="A1:AE144"/>
  <sheetViews>
    <sheetView topLeftCell="A5" zoomScale="81" zoomScaleNormal="55" workbookViewId="0">
      <selection activeCell="AC25" sqref="AC25"/>
    </sheetView>
  </sheetViews>
  <sheetFormatPr defaultColWidth="12.5" defaultRowHeight="14" x14ac:dyDescent="0.3"/>
  <cols>
    <col min="1" max="1" width="12.5" style="78" customWidth="1"/>
    <col min="2" max="2" width="37" style="14" customWidth="1"/>
    <col min="3" max="3" width="17.25" style="14" customWidth="1"/>
    <col min="4" max="4" width="18" style="14" customWidth="1"/>
    <col min="5" max="5" width="15.1640625" style="296" customWidth="1"/>
    <col min="6" max="6" width="13.83203125" style="14" customWidth="1"/>
    <col min="7" max="7" width="16.9140625" style="14" customWidth="1"/>
    <col min="8" max="8" width="29.75" style="14" customWidth="1"/>
    <col min="9" max="10" width="12.4140625" style="14" customWidth="1"/>
    <col min="11" max="11" width="11.5" style="14" customWidth="1"/>
    <col min="12" max="12" width="8.33203125" style="14" customWidth="1"/>
    <col min="13" max="13" width="30.4140625" style="14" customWidth="1"/>
    <col min="14" max="14" width="12.5" style="14" customWidth="1"/>
    <col min="15" max="15" width="8.25" style="14" customWidth="1"/>
    <col min="16" max="16" width="7.5" style="14" customWidth="1"/>
    <col min="17" max="17" width="12.5" style="14" customWidth="1"/>
    <col min="18" max="18" width="23.5" style="14" customWidth="1"/>
    <col min="19" max="19" width="12.5" style="14" customWidth="1"/>
    <col min="20" max="26" width="12.5" style="14"/>
    <col min="27" max="27" width="29.25" style="14" bestFit="1" customWidth="1"/>
    <col min="28" max="28" width="11.33203125" style="14" bestFit="1" customWidth="1"/>
    <col min="29" max="30" width="12.5" style="776"/>
    <col min="31" max="16384" width="12.5" style="14"/>
  </cols>
  <sheetData>
    <row r="1" spans="1:31" s="249" customFormat="1" ht="35.25" customHeight="1" x14ac:dyDescent="0.25">
      <c r="A1" s="247"/>
      <c r="B1" s="79" t="s">
        <v>235</v>
      </c>
      <c r="C1" s="80">
        <v>1000</v>
      </c>
      <c r="D1" s="81" t="s">
        <v>236</v>
      </c>
      <c r="E1" s="82">
        <f>$T$32</f>
        <v>16628</v>
      </c>
      <c r="F1" s="385" t="s">
        <v>237</v>
      </c>
      <c r="G1" s="83">
        <f>E1/C1</f>
        <v>16.628</v>
      </c>
      <c r="H1" s="79" t="s">
        <v>238</v>
      </c>
      <c r="I1" s="84">
        <f>(G1/K1)</f>
        <v>17.503157894736844</v>
      </c>
      <c r="J1" s="85" t="s">
        <v>239</v>
      </c>
      <c r="K1" s="84">
        <v>0.95</v>
      </c>
      <c r="L1" s="386"/>
      <c r="M1" s="88"/>
      <c r="N1" s="89"/>
      <c r="O1" s="90" t="s">
        <v>240</v>
      </c>
      <c r="P1" s="91"/>
      <c r="Q1" s="92" t="s">
        <v>533</v>
      </c>
      <c r="R1" s="14">
        <v>3</v>
      </c>
      <c r="Y1" s="90" t="s">
        <v>463</v>
      </c>
      <c r="Z1" s="835">
        <v>41570</v>
      </c>
      <c r="AA1" s="90" t="s">
        <v>578</v>
      </c>
      <c r="AB1" s="835">
        <v>0</v>
      </c>
      <c r="AC1" s="90" t="s">
        <v>567</v>
      </c>
      <c r="AD1" s="835">
        <v>285</v>
      </c>
    </row>
    <row r="2" spans="1:31" ht="15.75" customHeight="1" x14ac:dyDescent="0.3">
      <c r="A2" s="96"/>
      <c r="B2" s="1450" t="s">
        <v>44</v>
      </c>
      <c r="C2" s="1460"/>
      <c r="D2" s="1460"/>
      <c r="E2" s="1485"/>
      <c r="F2" s="1460"/>
      <c r="G2" s="1460"/>
      <c r="H2" s="1460"/>
      <c r="I2" s="97"/>
      <c r="J2" s="97"/>
      <c r="K2" s="97"/>
      <c r="L2" s="97"/>
      <c r="M2" s="99"/>
      <c r="N2" s="99"/>
      <c r="O2" s="99"/>
      <c r="P2" s="99"/>
      <c r="Q2" s="99"/>
      <c r="R2" s="99"/>
      <c r="AC2" s="773"/>
      <c r="AD2" s="773"/>
      <c r="AE2" s="1457"/>
    </row>
    <row r="3" spans="1:31" ht="15.75" customHeight="1" x14ac:dyDescent="0.3">
      <c r="A3" s="96"/>
      <c r="B3" s="1444"/>
      <c r="C3" s="1444"/>
      <c r="D3" s="1444"/>
      <c r="E3" s="1444"/>
      <c r="F3" s="1444"/>
      <c r="G3" s="1444"/>
      <c r="H3" s="1444"/>
      <c r="I3" s="102"/>
      <c r="J3" s="102"/>
      <c r="K3" s="102"/>
      <c r="L3" s="102"/>
      <c r="P3" s="99"/>
      <c r="Q3" s="99"/>
      <c r="R3" s="99"/>
      <c r="AC3" s="773"/>
      <c r="AD3" s="773"/>
      <c r="AE3" s="1460"/>
    </row>
    <row r="4" spans="1:31" ht="36.75" customHeight="1" x14ac:dyDescent="0.25">
      <c r="A4" s="90" t="s">
        <v>1</v>
      </c>
      <c r="B4" s="90" t="s">
        <v>245</v>
      </c>
      <c r="C4" s="106" t="s">
        <v>246</v>
      </c>
      <c r="D4" s="90" t="s">
        <v>235</v>
      </c>
      <c r="E4" s="107" t="s">
        <v>238</v>
      </c>
      <c r="F4" s="107" t="s">
        <v>247</v>
      </c>
      <c r="G4" s="90" t="s">
        <v>248</v>
      </c>
      <c r="H4" s="108" t="s">
        <v>249</v>
      </c>
      <c r="I4" s="90" t="s">
        <v>250</v>
      </c>
      <c r="J4" s="90" t="s">
        <v>251</v>
      </c>
      <c r="K4" s="90" t="s">
        <v>252</v>
      </c>
      <c r="L4" s="90" t="s">
        <v>253</v>
      </c>
      <c r="M4" s="99"/>
      <c r="N4" s="99"/>
      <c r="O4" s="99"/>
      <c r="P4" s="14">
        <f>450*26</f>
        <v>11700</v>
      </c>
      <c r="Q4" s="14">
        <v>30600</v>
      </c>
      <c r="AA4" s="250"/>
      <c r="AB4" s="252"/>
      <c r="AC4" s="772"/>
      <c r="AD4" s="772"/>
      <c r="AE4" s="250"/>
    </row>
    <row r="5" spans="1:31" ht="14.25" customHeight="1" x14ac:dyDescent="0.25">
      <c r="A5" s="387" t="s">
        <v>225</v>
      </c>
      <c r="B5" s="308" t="s">
        <v>529</v>
      </c>
      <c r="C5" s="114" t="s">
        <v>14</v>
      </c>
      <c r="D5" s="120">
        <f>I51/H51</f>
        <v>500</v>
      </c>
      <c r="E5" s="196">
        <f t="shared" ref="E5:E14" si="0">$I$1</f>
        <v>17.503157894736844</v>
      </c>
      <c r="F5" s="117">
        <v>1</v>
      </c>
      <c r="G5" s="118">
        <f t="shared" ref="G5:G14" si="1">D5*E5</f>
        <v>8751.5789473684217</v>
      </c>
      <c r="H5" s="119">
        <f t="shared" ref="H5:H14" si="2">G5*F5</f>
        <v>8751.5789473684217</v>
      </c>
      <c r="I5" s="80">
        <f>VLOOKUP(B5,All_Ingredients!$A$1:$F$149,6,FALSE())</f>
        <v>1</v>
      </c>
      <c r="J5" s="118">
        <f>VLOOKUP(B5,All_Ingredients!$A$1:$J$149,10,FALSE())</f>
        <v>10.208333333333334</v>
      </c>
      <c r="K5" s="121">
        <f>(H5/I5)/1000</f>
        <v>8.7515789473684222</v>
      </c>
      <c r="L5" s="121">
        <f t="shared" ref="L5:L18" si="3">K5*J5</f>
        <v>89.33903508771931</v>
      </c>
      <c r="M5" s="99"/>
      <c r="N5" s="99"/>
      <c r="O5" s="99"/>
      <c r="P5" s="14">
        <v>36900</v>
      </c>
      <c r="Q5" s="14">
        <f>30*450</f>
        <v>13500</v>
      </c>
      <c r="AA5" s="91"/>
      <c r="AB5" s="132"/>
      <c r="AC5" s="774"/>
      <c r="AD5" s="775"/>
      <c r="AE5" s="135"/>
    </row>
    <row r="6" spans="1:31" ht="14.25" customHeight="1" x14ac:dyDescent="0.3">
      <c r="A6" s="127" t="s">
        <v>154</v>
      </c>
      <c r="B6" s="266" t="s">
        <v>167</v>
      </c>
      <c r="C6" s="123" t="s">
        <v>161</v>
      </c>
      <c r="D6" s="124">
        <v>600</v>
      </c>
      <c r="E6" s="196">
        <f t="shared" si="0"/>
        <v>17.503157894736844</v>
      </c>
      <c r="F6" s="126">
        <v>1</v>
      </c>
      <c r="G6" s="118">
        <f t="shared" si="1"/>
        <v>10501.894736842107</v>
      </c>
      <c r="H6" s="119">
        <f t="shared" si="2"/>
        <v>10501.894736842107</v>
      </c>
      <c r="I6" s="80">
        <f>VLOOKUP(B6,All_Ingredients!$A$1:$F$149,6,FALSE())</f>
        <v>1</v>
      </c>
      <c r="J6" s="118">
        <f>VLOOKUP(B6,All_Ingredients!$A$1:$J$149,10,FALSE())</f>
        <v>12.666666666666666</v>
      </c>
      <c r="K6" s="121">
        <f>(H6/I6)/1000</f>
        <v>10.501894736842107</v>
      </c>
      <c r="L6" s="121">
        <f t="shared" si="3"/>
        <v>133.02400000000003</v>
      </c>
      <c r="P6" s="14">
        <f>P5/P4</f>
        <v>3.1538461538461537</v>
      </c>
      <c r="Q6" s="14">
        <f>Q4/Q5</f>
        <v>2.2666666666666666</v>
      </c>
    </row>
    <row r="7" spans="1:31" ht="14.25" customHeight="1" x14ac:dyDescent="0.3">
      <c r="A7" s="127" t="s">
        <v>154</v>
      </c>
      <c r="B7" s="266" t="s">
        <v>160</v>
      </c>
      <c r="C7" s="123" t="s">
        <v>161</v>
      </c>
      <c r="D7" s="124">
        <v>600</v>
      </c>
      <c r="E7" s="196">
        <f t="shared" si="0"/>
        <v>17.503157894736844</v>
      </c>
      <c r="F7" s="126">
        <v>1</v>
      </c>
      <c r="G7" s="118">
        <f t="shared" si="1"/>
        <v>10501.894736842107</v>
      </c>
      <c r="H7" s="119">
        <f t="shared" si="2"/>
        <v>10501.894736842107</v>
      </c>
      <c r="I7" s="80">
        <f>VLOOKUP(B7,All_Ingredients!$A$1:$F$149,6,FALSE())</f>
        <v>1</v>
      </c>
      <c r="J7" s="118">
        <f>VLOOKUP(B7,All_Ingredients!$A$1:$J$149,10,FALSE())</f>
        <v>4.2033333333333331</v>
      </c>
      <c r="K7" s="121">
        <f t="shared" ref="K7:K18" si="4">(H7/I7)/1000</f>
        <v>10.501894736842107</v>
      </c>
      <c r="L7" s="121">
        <f t="shared" si="3"/>
        <v>44.142964210526323</v>
      </c>
    </row>
    <row r="8" spans="1:31" ht="14.25" customHeight="1" x14ac:dyDescent="0.3">
      <c r="A8" s="127" t="s">
        <v>13</v>
      </c>
      <c r="B8" s="266" t="s">
        <v>12</v>
      </c>
      <c r="C8" s="123" t="s">
        <v>14</v>
      </c>
      <c r="D8" s="124">
        <v>20</v>
      </c>
      <c r="E8" s="196">
        <f t="shared" si="0"/>
        <v>17.503157894736844</v>
      </c>
      <c r="F8" s="126">
        <v>1</v>
      </c>
      <c r="G8" s="118">
        <f t="shared" si="1"/>
        <v>350.06315789473689</v>
      </c>
      <c r="H8" s="119">
        <f t="shared" si="2"/>
        <v>350.06315789473689</v>
      </c>
      <c r="I8" s="80">
        <f>VLOOKUP(B8,All_Ingredients!$A$1:$F$149,6,FALSE())</f>
        <v>0.9</v>
      </c>
      <c r="J8" s="118">
        <f>VLOOKUP(B8,All_Ingredients!$A$1:$J$149,10,FALSE())</f>
        <v>3</v>
      </c>
      <c r="K8" s="121">
        <f t="shared" si="4"/>
        <v>0.38895906432748539</v>
      </c>
      <c r="L8" s="121">
        <f t="shared" si="3"/>
        <v>1.1668771929824562</v>
      </c>
      <c r="S8" s="14" t="s">
        <v>357</v>
      </c>
      <c r="T8" s="14" t="s">
        <v>358</v>
      </c>
    </row>
    <row r="9" spans="1:31" ht="14.25" customHeight="1" x14ac:dyDescent="0.3">
      <c r="A9" s="127" t="s">
        <v>95</v>
      </c>
      <c r="B9" s="266" t="s">
        <v>140</v>
      </c>
      <c r="C9" s="123" t="s">
        <v>14</v>
      </c>
      <c r="D9" s="124">
        <v>10</v>
      </c>
      <c r="E9" s="196">
        <f t="shared" si="0"/>
        <v>17.503157894736844</v>
      </c>
      <c r="F9" s="126">
        <v>1</v>
      </c>
      <c r="G9" s="118">
        <f t="shared" si="1"/>
        <v>175.03157894736844</v>
      </c>
      <c r="H9" s="119">
        <f t="shared" si="2"/>
        <v>175.03157894736844</v>
      </c>
      <c r="I9" s="80">
        <f>VLOOKUP(B9,All_Ingredients!$A$1:$F$149,6,FALSE())</f>
        <v>1</v>
      </c>
      <c r="J9" s="118">
        <f>VLOOKUP(B9,All_Ingredients!$A$1:$J$149,10,FALSE())</f>
        <v>15.277777777777779</v>
      </c>
      <c r="K9" s="121">
        <f t="shared" si="4"/>
        <v>0.17503157894736845</v>
      </c>
      <c r="L9" s="121">
        <f t="shared" si="3"/>
        <v>2.6740935672514627</v>
      </c>
    </row>
    <row r="10" spans="1:31" ht="14.25" customHeight="1" x14ac:dyDescent="0.3">
      <c r="A10" s="127" t="s">
        <v>95</v>
      </c>
      <c r="B10" s="266" t="s">
        <v>102</v>
      </c>
      <c r="C10" s="123" t="s">
        <v>14</v>
      </c>
      <c r="D10" s="124">
        <v>2</v>
      </c>
      <c r="E10" s="196">
        <f t="shared" si="0"/>
        <v>17.503157894736844</v>
      </c>
      <c r="F10" s="126">
        <v>1</v>
      </c>
      <c r="G10" s="118">
        <f t="shared" si="1"/>
        <v>35.006315789473689</v>
      </c>
      <c r="H10" s="119">
        <f t="shared" si="2"/>
        <v>35.006315789473689</v>
      </c>
      <c r="I10" s="80">
        <f>VLOOKUP(B10,All_Ingredients!$A$1:$F$149,6,FALSE())</f>
        <v>1</v>
      </c>
      <c r="J10" s="118">
        <f>VLOOKUP(B10,All_Ingredients!$A$1:$J$149,10,FALSE())</f>
        <v>47</v>
      </c>
      <c r="K10" s="121">
        <f t="shared" si="4"/>
        <v>3.5006315789473691E-2</v>
      </c>
      <c r="L10" s="121">
        <f t="shared" si="3"/>
        <v>1.6452968421052634</v>
      </c>
    </row>
    <row r="11" spans="1:31" ht="14.25" customHeight="1" x14ac:dyDescent="0.3">
      <c r="A11" s="127" t="s">
        <v>95</v>
      </c>
      <c r="B11" s="266" t="s">
        <v>94</v>
      </c>
      <c r="C11" s="123" t="s">
        <v>161</v>
      </c>
      <c r="D11" s="124">
        <v>2</v>
      </c>
      <c r="E11" s="196">
        <f t="shared" si="0"/>
        <v>17.503157894736844</v>
      </c>
      <c r="F11" s="126">
        <v>1</v>
      </c>
      <c r="G11" s="118">
        <f t="shared" si="1"/>
        <v>35.006315789473689</v>
      </c>
      <c r="H11" s="119">
        <f t="shared" si="2"/>
        <v>35.006315789473689</v>
      </c>
      <c r="I11" s="80">
        <f>VLOOKUP(B11,All_Ingredients!$A$1:$F$149,6,FALSE())</f>
        <v>1</v>
      </c>
      <c r="J11" s="118">
        <f>VLOOKUP(B11,All_Ingredients!$A$1:$J$149,10,FALSE())</f>
        <v>0.74</v>
      </c>
      <c r="K11" s="121">
        <f t="shared" si="4"/>
        <v>3.5006315789473691E-2</v>
      </c>
      <c r="L11" s="121">
        <f t="shared" si="3"/>
        <v>2.5904673684210532E-2</v>
      </c>
    </row>
    <row r="12" spans="1:31" ht="14.25" customHeight="1" x14ac:dyDescent="0.3">
      <c r="A12" s="127" t="s">
        <v>154</v>
      </c>
      <c r="B12" s="266" t="s">
        <v>153</v>
      </c>
      <c r="C12" s="123" t="s">
        <v>14</v>
      </c>
      <c r="D12" s="124">
        <v>20</v>
      </c>
      <c r="E12" s="196">
        <f t="shared" si="0"/>
        <v>17.503157894736844</v>
      </c>
      <c r="F12" s="126">
        <v>1</v>
      </c>
      <c r="G12" s="118">
        <f t="shared" si="1"/>
        <v>350.06315789473689</v>
      </c>
      <c r="H12" s="119">
        <f t="shared" si="2"/>
        <v>350.06315789473689</v>
      </c>
      <c r="I12" s="80">
        <f>VLOOKUP(B12,All_Ingredients!$A$1:$F$149,6,FALSE())</f>
        <v>1</v>
      </c>
      <c r="J12" s="118">
        <f>VLOOKUP(B12,All_Ingredients!$A$1:$J$149,10,FALSE())</f>
        <v>30</v>
      </c>
      <c r="K12" s="121">
        <f t="shared" si="4"/>
        <v>0.35006315789473691</v>
      </c>
      <c r="L12" s="121">
        <f t="shared" si="3"/>
        <v>10.501894736842107</v>
      </c>
    </row>
    <row r="13" spans="1:31" ht="14.25" customHeight="1" x14ac:dyDescent="0.3">
      <c r="A13" s="127" t="s">
        <v>188</v>
      </c>
      <c r="B13" s="266" t="s">
        <v>187</v>
      </c>
      <c r="C13" s="123" t="s">
        <v>14</v>
      </c>
      <c r="D13" s="124">
        <v>15</v>
      </c>
      <c r="E13" s="196">
        <f t="shared" si="0"/>
        <v>17.503157894736844</v>
      </c>
      <c r="F13" s="126">
        <v>1</v>
      </c>
      <c r="G13" s="118">
        <f t="shared" si="1"/>
        <v>262.54736842105268</v>
      </c>
      <c r="H13" s="119">
        <f t="shared" si="2"/>
        <v>262.54736842105268</v>
      </c>
      <c r="I13" s="80">
        <f>VLOOKUP(B13,All_Ingredients!$A$1:$F$149,6,FALSE())</f>
        <v>1</v>
      </c>
      <c r="J13" s="118">
        <f>VLOOKUP(B13,All_Ingredients!$A$1:$J$149,10,FALSE())</f>
        <v>1.7</v>
      </c>
      <c r="K13" s="121">
        <f t="shared" si="4"/>
        <v>0.2625473684210527</v>
      </c>
      <c r="L13" s="121">
        <f t="shared" si="3"/>
        <v>0.44633052631578957</v>
      </c>
      <c r="S13" s="14" t="s">
        <v>356</v>
      </c>
      <c r="T13" s="14" t="s">
        <v>260</v>
      </c>
      <c r="U13" s="14" t="s">
        <v>359</v>
      </c>
      <c r="V13" s="14" t="s">
        <v>356</v>
      </c>
    </row>
    <row r="14" spans="1:31" ht="14.75" customHeight="1" x14ac:dyDescent="0.3">
      <c r="A14" s="127"/>
      <c r="B14" s="266" t="s">
        <v>762</v>
      </c>
      <c r="C14" s="123" t="s">
        <v>14</v>
      </c>
      <c r="D14" s="124">
        <v>20</v>
      </c>
      <c r="E14" s="196">
        <f t="shared" si="0"/>
        <v>17.503157894736844</v>
      </c>
      <c r="F14" s="126">
        <v>1</v>
      </c>
      <c r="G14" s="118">
        <f t="shared" si="1"/>
        <v>350.06315789473689</v>
      </c>
      <c r="H14" s="119">
        <f t="shared" si="2"/>
        <v>350.06315789473689</v>
      </c>
      <c r="I14" s="80">
        <f>VLOOKUP(B14,All_Ingredients!$A$1:$F$149,6,FALSE())</f>
        <v>1</v>
      </c>
      <c r="J14" s="118">
        <f>VLOOKUP(B14,All_Ingredients!$A$1:$J$149,10,FALSE())</f>
        <v>10.5</v>
      </c>
      <c r="K14" s="121">
        <f t="shared" si="4"/>
        <v>0.35006315789473691</v>
      </c>
      <c r="L14" s="121">
        <f t="shared" si="3"/>
        <v>3.6756631578947374</v>
      </c>
      <c r="S14" s="14">
        <v>28</v>
      </c>
      <c r="T14" s="249">
        <v>17862</v>
      </c>
      <c r="U14" s="149">
        <v>59540</v>
      </c>
      <c r="V14" s="337">
        <v>53690</v>
      </c>
    </row>
    <row r="15" spans="1:31" ht="14.25" customHeight="1" x14ac:dyDescent="0.3">
      <c r="B15" s="266" t="s">
        <v>705</v>
      </c>
      <c r="C15" s="170"/>
      <c r="D15" s="170"/>
      <c r="E15" s="345"/>
      <c r="F15" s="135"/>
      <c r="G15" s="170"/>
      <c r="I15" s="80"/>
      <c r="J15" s="118"/>
      <c r="K15" s="121"/>
      <c r="L15" s="121">
        <f t="shared" si="3"/>
        <v>0</v>
      </c>
      <c r="S15" s="14" t="s">
        <v>360</v>
      </c>
    </row>
    <row r="16" spans="1:31" ht="14.25" customHeight="1" x14ac:dyDescent="0.3">
      <c r="B16" s="852" t="s">
        <v>205</v>
      </c>
      <c r="C16" s="853" t="s">
        <v>161</v>
      </c>
      <c r="D16" s="854">
        <v>16000</v>
      </c>
      <c r="E16" s="854">
        <f>$I$1</f>
        <v>17.503157894736844</v>
      </c>
      <c r="F16" s="855">
        <v>1</v>
      </c>
      <c r="G16" s="856">
        <f>D16*E16</f>
        <v>280050.5263157895</v>
      </c>
      <c r="H16" s="857">
        <f>G16*F16</f>
        <v>280050.5263157895</v>
      </c>
      <c r="I16" s="80">
        <f>VLOOKUP(B16,All_Ingredients!$A$1:$F$149,6,FALSE())</f>
        <v>1</v>
      </c>
      <c r="J16" s="118">
        <f>VLOOKUP(B16,All_Ingredients!$A$1:$J$149,10,FALSE())</f>
        <v>0</v>
      </c>
      <c r="K16" s="121">
        <f>(H16/I16)/1000</f>
        <v>280.05052631578951</v>
      </c>
      <c r="L16" s="121">
        <f>K16*J16</f>
        <v>0</v>
      </c>
      <c r="S16" s="14">
        <f>28*450</f>
        <v>12600</v>
      </c>
    </row>
    <row r="17" spans="2:29" ht="14.25" customHeight="1" x14ac:dyDescent="0.3">
      <c r="B17" s="852" t="s">
        <v>94</v>
      </c>
      <c r="C17" s="853" t="s">
        <v>14</v>
      </c>
      <c r="D17" s="854">
        <v>19.725373134328358</v>
      </c>
      <c r="E17" s="854">
        <f>$I$1</f>
        <v>17.503157894736844</v>
      </c>
      <c r="F17" s="855">
        <v>1</v>
      </c>
      <c r="G17" s="856">
        <f>D17*E17</f>
        <v>345.25632050274947</v>
      </c>
      <c r="H17" s="857">
        <f>G17*F17</f>
        <v>345.25632050274947</v>
      </c>
      <c r="I17" s="80">
        <f>VLOOKUP(B17,All_Ingredients!$A$1:$F$149,6,FALSE())</f>
        <v>1</v>
      </c>
      <c r="J17" s="118">
        <f>VLOOKUP(B17,All_Ingredients!$A$1:$J$149,10,FALSE())</f>
        <v>0.74</v>
      </c>
      <c r="K17" s="121">
        <f t="shared" si="4"/>
        <v>0.34525632050274946</v>
      </c>
      <c r="L17" s="121">
        <f t="shared" si="3"/>
        <v>0.25548967717203458</v>
      </c>
    </row>
    <row r="18" spans="2:29" ht="14.25" customHeight="1" x14ac:dyDescent="0.3">
      <c r="B18" s="852" t="s">
        <v>213</v>
      </c>
      <c r="C18" s="853" t="s">
        <v>14</v>
      </c>
      <c r="D18" s="854">
        <v>9.8626865671641788</v>
      </c>
      <c r="E18" s="854">
        <f>$I$1</f>
        <v>17.503157894736844</v>
      </c>
      <c r="F18" s="855">
        <v>1</v>
      </c>
      <c r="G18" s="856">
        <f>D18*E18</f>
        <v>172.62816025137474</v>
      </c>
      <c r="H18" s="857">
        <f>G18*F18</f>
        <v>172.62816025137474</v>
      </c>
      <c r="I18" s="80">
        <f>VLOOKUP(B18,All_Ingredients!$A$1:$F$149,6,FALSE())</f>
        <v>1</v>
      </c>
      <c r="J18" s="118">
        <f>VLOOKUP(B18,All_Ingredients!$A$1:$J$149,10,FALSE())</f>
        <v>15.5</v>
      </c>
      <c r="K18" s="121">
        <f t="shared" si="4"/>
        <v>0.17262816025137473</v>
      </c>
      <c r="L18" s="121">
        <f t="shared" si="3"/>
        <v>2.6757364838963085</v>
      </c>
    </row>
    <row r="19" spans="2:29" ht="14.25" customHeight="1" x14ac:dyDescent="0.3">
      <c r="L19" s="296"/>
    </row>
    <row r="20" spans="2:29" ht="14.25" customHeight="1" x14ac:dyDescent="0.3">
      <c r="L20" s="296"/>
      <c r="N20" s="529" t="s">
        <v>704</v>
      </c>
    </row>
    <row r="21" spans="2:29" ht="14.25" customHeight="1" x14ac:dyDescent="0.3"/>
    <row r="22" spans="2:29" ht="14.25" customHeight="1" x14ac:dyDescent="0.3">
      <c r="B22" s="99"/>
      <c r="D22" s="388"/>
      <c r="E22" s="345"/>
      <c r="F22" s="879"/>
    </row>
    <row r="23" spans="2:29" ht="14.25" customHeight="1" x14ac:dyDescent="0.3">
      <c r="B23" s="99"/>
      <c r="D23" s="388"/>
      <c r="E23" s="345"/>
      <c r="F23" s="879"/>
      <c r="R23"/>
    </row>
    <row r="24" spans="2:29" ht="14.25" customHeight="1" x14ac:dyDescent="0.3">
      <c r="B24" s="99"/>
      <c r="D24" s="388"/>
      <c r="E24" s="345"/>
      <c r="F24" s="879"/>
      <c r="Z24" s="1208"/>
    </row>
    <row r="25" spans="2:29" ht="14.25" customHeight="1" x14ac:dyDescent="0.35">
      <c r="B25" s="99"/>
      <c r="D25" s="388"/>
      <c r="E25" s="345"/>
      <c r="F25" s="99"/>
      <c r="N25" s="302"/>
      <c r="R25" s="1440" t="s">
        <v>361</v>
      </c>
      <c r="S25" s="1444"/>
      <c r="T25" s="1444"/>
      <c r="U25" s="1444"/>
      <c r="Z25" s="140" t="s">
        <v>256</v>
      </c>
      <c r="AA25" s="141">
        <v>1</v>
      </c>
      <c r="AB25" s="140" t="s">
        <v>253</v>
      </c>
      <c r="AC25" s="142">
        <f>(AA25*AC30)</f>
        <v>6.9659198016932908E-3</v>
      </c>
    </row>
    <row r="26" spans="2:29" ht="14.25" customHeight="1" x14ac:dyDescent="0.3">
      <c r="N26" s="302"/>
      <c r="R26" s="1459" t="s">
        <v>257</v>
      </c>
      <c r="S26" s="1444"/>
      <c r="T26" s="1444"/>
      <c r="U26" s="1444"/>
      <c r="AC26" s="14"/>
    </row>
    <row r="27" spans="2:29" ht="14.25" customHeight="1" thickBot="1" x14ac:dyDescent="0.35">
      <c r="N27" s="302"/>
      <c r="R27" s="144" t="s">
        <v>258</v>
      </c>
      <c r="S27" s="145" t="s">
        <v>356</v>
      </c>
      <c r="T27" s="145" t="s">
        <v>260</v>
      </c>
      <c r="U27" s="145" t="s">
        <v>266</v>
      </c>
      <c r="Z27" s="140" t="s">
        <v>262</v>
      </c>
      <c r="AA27" s="146" t="s">
        <v>356</v>
      </c>
      <c r="AB27" s="146" t="s">
        <v>264</v>
      </c>
      <c r="AC27" s="146" t="s">
        <v>266</v>
      </c>
    </row>
    <row r="28" spans="2:29" ht="14.25" customHeight="1" thickBot="1" x14ac:dyDescent="0.35">
      <c r="R28" s="147" t="s">
        <v>267</v>
      </c>
      <c r="S28" s="1371">
        <f>U28*S40</f>
        <v>24942</v>
      </c>
      <c r="T28" s="1371">
        <f>U28*U40</f>
        <v>16628</v>
      </c>
      <c r="U28" s="1342">
        <f>$Z$1</f>
        <v>41570</v>
      </c>
      <c r="Z28" s="150"/>
      <c r="AA28" s="1181">
        <f>AA25*$S$40</f>
        <v>0.6</v>
      </c>
      <c r="AB28" s="1181">
        <f>AA25*$U$40</f>
        <v>0.4</v>
      </c>
      <c r="AC28" s="153">
        <f>SUM(AA28:AB28)</f>
        <v>1</v>
      </c>
    </row>
    <row r="29" spans="2:29" ht="21" customHeight="1" thickBot="1" x14ac:dyDescent="0.35">
      <c r="R29" s="147" t="s">
        <v>268</v>
      </c>
      <c r="S29" s="1374"/>
      <c r="T29" s="148"/>
      <c r="U29" s="1371">
        <f>T29</f>
        <v>0</v>
      </c>
      <c r="Z29" s="150"/>
      <c r="AA29" s="1203">
        <f>AA28/$AC$28</f>
        <v>0.6</v>
      </c>
      <c r="AB29" s="1203">
        <f>AB28/$AC$28</f>
        <v>0.4</v>
      </c>
      <c r="AC29" s="1201">
        <f>SUM(AA29:AB29)</f>
        <v>1</v>
      </c>
    </row>
    <row r="30" spans="2:29" ht="26.75" customHeight="1" thickBot="1" x14ac:dyDescent="0.35">
      <c r="R30" s="147" t="s">
        <v>269</v>
      </c>
      <c r="S30" s="1371">
        <f>U30*S40</f>
        <v>0</v>
      </c>
      <c r="T30" s="1371">
        <f>U30*U40</f>
        <v>0</v>
      </c>
      <c r="U30" s="1342">
        <f>$AB$1</f>
        <v>0</v>
      </c>
      <c r="Z30" s="140" t="s">
        <v>270</v>
      </c>
      <c r="AA30" s="156">
        <f>S35/(S32)</f>
        <v>3.5818713450292403E-3</v>
      </c>
      <c r="AB30" s="157">
        <f>T35/T32</f>
        <v>1.2041992486689364E-2</v>
      </c>
      <c r="AC30" s="1182">
        <f>SUMPRODUCT(AA29:AB29,AA30:AB30)</f>
        <v>6.9659198016932908E-3</v>
      </c>
    </row>
    <row r="31" spans="2:29" ht="14.25" customHeight="1" thickBot="1" x14ac:dyDescent="0.35">
      <c r="R31" s="147" t="s">
        <v>271</v>
      </c>
      <c r="S31" s="154"/>
      <c r="T31" s="148"/>
      <c r="U31" s="148"/>
      <c r="AC31" s="14"/>
    </row>
    <row r="32" spans="2:29" ht="14.25" customHeight="1" thickBot="1" x14ac:dyDescent="0.35">
      <c r="B32" s="99"/>
      <c r="E32" s="14"/>
      <c r="O32" s="302"/>
      <c r="R32" s="159" t="s">
        <v>261</v>
      </c>
      <c r="S32" s="148">
        <f>SUM(S28:S30)</f>
        <v>24942</v>
      </c>
      <c r="T32" s="148">
        <f>SUM(T28:T30)</f>
        <v>16628</v>
      </c>
      <c r="U32" s="148">
        <f>SUM(U28:U30)</f>
        <v>41570</v>
      </c>
      <c r="AC32" s="14"/>
    </row>
    <row r="33" spans="2:29" ht="14.25" customHeight="1" thickBot="1" x14ac:dyDescent="0.35">
      <c r="B33" s="99"/>
      <c r="E33" s="14"/>
      <c r="O33" s="302"/>
      <c r="R33" s="160" t="s">
        <v>272</v>
      </c>
      <c r="S33" s="154"/>
      <c r="T33" s="154"/>
      <c r="U33" s="154"/>
      <c r="AC33" s="14"/>
    </row>
    <row r="34" spans="2:29" ht="14.25" customHeight="1" thickBot="1" x14ac:dyDescent="0.35">
      <c r="E34" s="14"/>
      <c r="O34" s="302"/>
      <c r="R34" s="161" t="s">
        <v>273</v>
      </c>
      <c r="S34" s="154"/>
      <c r="T34" s="148"/>
      <c r="U34" s="154"/>
      <c r="AA34" s="1162"/>
      <c r="AB34" s="1162"/>
      <c r="AC34" s="14"/>
    </row>
    <row r="35" spans="2:29" ht="14.25" customHeight="1" thickBot="1" x14ac:dyDescent="0.35">
      <c r="E35" s="14"/>
      <c r="R35" s="162" t="s">
        <v>253</v>
      </c>
      <c r="S35" s="1125">
        <f>$L$5</f>
        <v>89.33903508771931</v>
      </c>
      <c r="T35" s="1125">
        <f>SUM(L6:L18)</f>
        <v>200.23425106867074</v>
      </c>
      <c r="U35" s="1213">
        <f>S35+T35</f>
        <v>289.57328615639005</v>
      </c>
    </row>
    <row r="36" spans="2:29" x14ac:dyDescent="0.3">
      <c r="E36" s="14"/>
    </row>
    <row r="37" spans="2:29" x14ac:dyDescent="0.3">
      <c r="E37" s="14"/>
    </row>
    <row r="40" spans="2:29" ht="20.75" customHeight="1" x14ac:dyDescent="0.3">
      <c r="R40" s="164" t="s">
        <v>274</v>
      </c>
      <c r="S40" s="165">
        <v>0.6</v>
      </c>
      <c r="T40" s="164" t="s">
        <v>275</v>
      </c>
      <c r="U40" s="166">
        <v>0.4</v>
      </c>
      <c r="V40" s="167">
        <f>S40+U40</f>
        <v>1</v>
      </c>
    </row>
    <row r="41" spans="2:29" ht="14.25" customHeight="1" x14ac:dyDescent="0.3">
      <c r="U41" s="168"/>
    </row>
    <row r="43" spans="2:29" ht="14.25" customHeight="1" x14ac:dyDescent="0.3">
      <c r="Q43" s="169" t="s">
        <v>276</v>
      </c>
      <c r="R43" s="169" t="s">
        <v>277</v>
      </c>
      <c r="S43" s="169" t="s">
        <v>278</v>
      </c>
      <c r="T43" s="169" t="s">
        <v>279</v>
      </c>
      <c r="U43" s="169" t="s">
        <v>280</v>
      </c>
      <c r="V43" s="169" t="s">
        <v>281</v>
      </c>
      <c r="W43" s="257" t="s">
        <v>527</v>
      </c>
    </row>
    <row r="44" spans="2:29" ht="14.25" customHeight="1" x14ac:dyDescent="0.3">
      <c r="Q44" s="548">
        <v>25000</v>
      </c>
      <c r="R44" s="172">
        <f>D51</f>
        <v>10000</v>
      </c>
      <c r="S44" s="173">
        <v>1</v>
      </c>
      <c r="T44" s="173">
        <v>0</v>
      </c>
      <c r="U44" s="241">
        <f>R44*S44</f>
        <v>10000</v>
      </c>
      <c r="V44" s="175">
        <f>R44*T44</f>
        <v>0</v>
      </c>
      <c r="W44" s="1131">
        <f>Q44-U44</f>
        <v>15000</v>
      </c>
    </row>
    <row r="50" spans="1:18" ht="20.25" customHeight="1" x14ac:dyDescent="0.3">
      <c r="B50" s="144"/>
      <c r="C50" s="144" t="s">
        <v>237</v>
      </c>
      <c r="D50" s="144" t="s">
        <v>283</v>
      </c>
      <c r="E50" s="99"/>
      <c r="F50" s="99"/>
      <c r="G50" s="144" t="s">
        <v>284</v>
      </c>
      <c r="H50" s="144" t="s">
        <v>237</v>
      </c>
      <c r="I50" s="144" t="s">
        <v>526</v>
      </c>
      <c r="J50" s="144" t="s">
        <v>525</v>
      </c>
    </row>
    <row r="51" spans="1:18" ht="20.25" customHeight="1" x14ac:dyDescent="0.3">
      <c r="B51" s="179" t="s">
        <v>287</v>
      </c>
      <c r="C51" s="180">
        <f>10/$K$1</f>
        <v>10.526315789473685</v>
      </c>
      <c r="D51" s="181">
        <f>$C$1*10</f>
        <v>10000</v>
      </c>
      <c r="E51" s="99"/>
      <c r="F51" s="99"/>
      <c r="G51" s="179" t="s">
        <v>287</v>
      </c>
      <c r="H51" s="276">
        <v>10</v>
      </c>
      <c r="I51" s="180">
        <f>J51/$R$1</f>
        <v>5000</v>
      </c>
      <c r="J51" s="180">
        <f>$W$44</f>
        <v>15000</v>
      </c>
    </row>
    <row r="52" spans="1:18" x14ac:dyDescent="0.3">
      <c r="B52" s="144" t="s">
        <v>266</v>
      </c>
      <c r="C52" s="183">
        <f>$I$1</f>
        <v>17.503157894736844</v>
      </c>
      <c r="D52" s="184">
        <f>$E$1</f>
        <v>16628</v>
      </c>
      <c r="E52" s="99"/>
      <c r="F52" s="99"/>
      <c r="G52" s="147" t="s">
        <v>266</v>
      </c>
      <c r="H52" s="566">
        <f>I52/$D$5</f>
        <v>16.628</v>
      </c>
      <c r="I52" s="175">
        <f>J52/$R$1</f>
        <v>8314</v>
      </c>
      <c r="J52" s="183">
        <f>$S$32</f>
        <v>24942</v>
      </c>
    </row>
    <row r="53" spans="1:18" x14ac:dyDescent="0.3">
      <c r="B53" s="144" t="s">
        <v>288</v>
      </c>
      <c r="C53" s="424">
        <f>MIN($C$52, C51)</f>
        <v>10.526315789473685</v>
      </c>
      <c r="D53" s="184">
        <f>(C53*$K$1)*$C$1</f>
        <v>10000</v>
      </c>
      <c r="E53" s="99"/>
      <c r="F53" s="99"/>
      <c r="G53" s="147" t="s">
        <v>288</v>
      </c>
      <c r="H53" s="186">
        <f>MIN(H52,H51)</f>
        <v>10</v>
      </c>
      <c r="I53" s="175">
        <f>J53/$R$1</f>
        <v>5000</v>
      </c>
      <c r="J53" s="175">
        <f>MIN(J52,J51)</f>
        <v>15000</v>
      </c>
    </row>
    <row r="54" spans="1:18" x14ac:dyDescent="0.3">
      <c r="B54" s="144" t="s">
        <v>289</v>
      </c>
      <c r="C54" s="186">
        <f>MIN(MAX(C52-C53),C51)</f>
        <v>6.9768421052631595</v>
      </c>
      <c r="D54" s="184">
        <f>(C54*$K$1)*$C$1</f>
        <v>6628.0000000000009</v>
      </c>
      <c r="E54" s="99"/>
      <c r="F54" s="99"/>
      <c r="G54" s="147" t="s">
        <v>289</v>
      </c>
      <c r="H54" s="186">
        <f>MIN(MAX(H52-H53),H51)</f>
        <v>6.6280000000000001</v>
      </c>
      <c r="I54" s="175">
        <f>J54/$R$1</f>
        <v>3314</v>
      </c>
      <c r="J54" s="175">
        <f>MIN(MAX(J52-J53),J51)</f>
        <v>9942</v>
      </c>
    </row>
    <row r="55" spans="1:18" x14ac:dyDescent="0.3">
      <c r="B55" s="144"/>
      <c r="C55" s="186">
        <f>MIN(MAX(C52-C53-C54),C51)</f>
        <v>0</v>
      </c>
      <c r="D55" s="184">
        <f>(C55*$K$1)*$C$1</f>
        <v>0</v>
      </c>
      <c r="E55" s="99"/>
      <c r="F55" s="99"/>
      <c r="G55" s="144" t="s">
        <v>290</v>
      </c>
      <c r="H55" s="186">
        <f>MIN(MAX(H52-H53-H54),H51)</f>
        <v>0</v>
      </c>
      <c r="I55" s="175">
        <f>J55/$R$1</f>
        <v>0</v>
      </c>
      <c r="J55" s="175">
        <f>MIN(MAX(J52-J53-J54),J51)</f>
        <v>0</v>
      </c>
      <c r="R55" s="14" t="s">
        <v>706</v>
      </c>
    </row>
    <row r="56" spans="1:18" x14ac:dyDescent="0.3">
      <c r="R56" s="14" t="s">
        <v>707</v>
      </c>
    </row>
    <row r="58" spans="1:18" x14ac:dyDescent="0.3">
      <c r="R58" s="14" t="s">
        <v>708</v>
      </c>
    </row>
    <row r="59" spans="1:18" x14ac:dyDescent="0.3">
      <c r="R59" s="14" t="s">
        <v>709</v>
      </c>
    </row>
    <row r="61" spans="1:18" x14ac:dyDescent="0.3">
      <c r="R61" s="14" t="s">
        <v>710</v>
      </c>
    </row>
    <row r="63" spans="1:18" ht="17.75" customHeight="1" x14ac:dyDescent="0.3">
      <c r="A63" s="922"/>
      <c r="B63" s="1447" t="str">
        <f>"صوص الفيتوتشيني 1 / " &amp; COUNTIF($C$53:$C$55, "&gt;0")</f>
        <v>صوص الفيتوتشيني 1 / 2</v>
      </c>
      <c r="C63" s="1461"/>
      <c r="D63" s="1461"/>
      <c r="E63" s="1486"/>
      <c r="F63" s="1461"/>
      <c r="G63" s="1461"/>
      <c r="H63" s="1461"/>
      <c r="R63" s="14" t="s">
        <v>711</v>
      </c>
    </row>
    <row r="64" spans="1:18" ht="17.75" customHeight="1" x14ac:dyDescent="0.3">
      <c r="A64" s="922"/>
      <c r="B64" s="1438" t="str">
        <f>"Fettuccine Pasta Sauce  1 / " &amp; COUNTIF(C$53:$C$55, "&gt;0")</f>
        <v>Fettuccine Pasta Sauce  1 / 2</v>
      </c>
      <c r="C64" s="1439"/>
      <c r="D64" s="1439"/>
      <c r="E64" s="1439"/>
      <c r="F64" s="1439"/>
      <c r="G64" s="1439"/>
      <c r="H64" s="1439"/>
    </row>
    <row r="65" spans="1:18" ht="48.5" customHeight="1" x14ac:dyDescent="0.25">
      <c r="A65" s="90"/>
      <c r="B65" s="90" t="s">
        <v>245</v>
      </c>
      <c r="C65" s="106" t="s">
        <v>246</v>
      </c>
      <c r="D65" s="90" t="s">
        <v>235</v>
      </c>
      <c r="E65" s="107" t="s">
        <v>238</v>
      </c>
      <c r="F65" s="107" t="s">
        <v>247</v>
      </c>
      <c r="G65" s="90" t="s">
        <v>248</v>
      </c>
      <c r="H65" s="108" t="s">
        <v>249</v>
      </c>
    </row>
    <row r="66" spans="1:18" ht="14.25" customHeight="1" x14ac:dyDescent="0.3">
      <c r="A66" s="127" t="s">
        <v>225</v>
      </c>
      <c r="B66" s="122" t="str">
        <f t="shared" ref="B66:D74" si="5">B5</f>
        <v>Fettuccine Pasta - مكرونة فيتوتشيني</v>
      </c>
      <c r="C66" s="122" t="str">
        <f t="shared" si="5"/>
        <v>gm</v>
      </c>
      <c r="D66" s="278">
        <f t="shared" si="5"/>
        <v>500</v>
      </c>
      <c r="E66" s="115">
        <f>H53</f>
        <v>10</v>
      </c>
      <c r="F66" s="126">
        <f t="shared" ref="F66:F79" si="6">F5</f>
        <v>1</v>
      </c>
      <c r="G66" s="118">
        <f t="shared" ref="G66:G74" si="7">D66*E66</f>
        <v>5000</v>
      </c>
      <c r="H66" s="119">
        <f t="shared" ref="H66:H74" si="8">G66*F66</f>
        <v>5000</v>
      </c>
    </row>
    <row r="67" spans="1:18" ht="14.25" customHeight="1" x14ac:dyDescent="0.3">
      <c r="A67" s="127" t="s">
        <v>154</v>
      </c>
      <c r="B67" s="122" t="str">
        <f t="shared" si="5"/>
        <v>Cooking Cream - كريمة طبخ</v>
      </c>
      <c r="C67" s="122" t="str">
        <f t="shared" si="5"/>
        <v>ml</v>
      </c>
      <c r="D67" s="122">
        <f t="shared" si="5"/>
        <v>600</v>
      </c>
      <c r="E67" s="115">
        <f t="shared" ref="E67:E79" si="9">$C$53</f>
        <v>10.526315789473685</v>
      </c>
      <c r="F67" s="126">
        <f t="shared" si="6"/>
        <v>1</v>
      </c>
      <c r="G67" s="118">
        <f t="shared" si="7"/>
        <v>6315.7894736842109</v>
      </c>
      <c r="H67" s="119">
        <f t="shared" si="8"/>
        <v>6315.7894736842109</v>
      </c>
      <c r="R67" s="14" t="s">
        <v>712</v>
      </c>
    </row>
    <row r="68" spans="1:18" ht="14.25" customHeight="1" x14ac:dyDescent="0.3">
      <c r="A68" s="127" t="s">
        <v>154</v>
      </c>
      <c r="B68" s="122" t="str">
        <f t="shared" si="5"/>
        <v>Milk - حليب</v>
      </c>
      <c r="C68" s="122" t="str">
        <f t="shared" si="5"/>
        <v>ml</v>
      </c>
      <c r="D68" s="122">
        <f t="shared" si="5"/>
        <v>600</v>
      </c>
      <c r="E68" s="115">
        <f t="shared" si="9"/>
        <v>10.526315789473685</v>
      </c>
      <c r="F68" s="126">
        <f t="shared" si="6"/>
        <v>1</v>
      </c>
      <c r="G68" s="118">
        <f t="shared" si="7"/>
        <v>6315.7894736842109</v>
      </c>
      <c r="H68" s="119">
        <f t="shared" si="8"/>
        <v>6315.7894736842109</v>
      </c>
      <c r="R68" s="14" t="s">
        <v>713</v>
      </c>
    </row>
    <row r="69" spans="1:18" ht="14.25" customHeight="1" x14ac:dyDescent="0.3">
      <c r="A69" s="127" t="s">
        <v>13</v>
      </c>
      <c r="B69" s="122" t="str">
        <f t="shared" si="5"/>
        <v>Onion - بصل</v>
      </c>
      <c r="C69" s="122" t="str">
        <f t="shared" si="5"/>
        <v>gm</v>
      </c>
      <c r="D69" s="122">
        <f t="shared" si="5"/>
        <v>20</v>
      </c>
      <c r="E69" s="115">
        <f t="shared" si="9"/>
        <v>10.526315789473685</v>
      </c>
      <c r="F69" s="126">
        <f t="shared" si="6"/>
        <v>1</v>
      </c>
      <c r="G69" s="118">
        <f t="shared" si="7"/>
        <v>210.5263157894737</v>
      </c>
      <c r="H69" s="119">
        <f t="shared" si="8"/>
        <v>210.5263157894737</v>
      </c>
    </row>
    <row r="70" spans="1:18" ht="14.25" customHeight="1" x14ac:dyDescent="0.3">
      <c r="A70" s="127" t="s">
        <v>95</v>
      </c>
      <c r="B70" s="122" t="str">
        <f t="shared" si="5"/>
        <v>Maggi Cubes - مكعبات ماجي</v>
      </c>
      <c r="C70" s="122" t="str">
        <f t="shared" si="5"/>
        <v>gm</v>
      </c>
      <c r="D70" s="122">
        <f t="shared" si="5"/>
        <v>10</v>
      </c>
      <c r="E70" s="115">
        <f t="shared" si="9"/>
        <v>10.526315789473685</v>
      </c>
      <c r="F70" s="126">
        <f t="shared" si="6"/>
        <v>1</v>
      </c>
      <c r="G70" s="118">
        <f t="shared" si="7"/>
        <v>105.26315789473685</v>
      </c>
      <c r="H70" s="119">
        <f t="shared" si="8"/>
        <v>105.26315789473685</v>
      </c>
    </row>
    <row r="71" spans="1:18" ht="14.25" customHeight="1" x14ac:dyDescent="0.3">
      <c r="A71" s="127" t="s">
        <v>95</v>
      </c>
      <c r="B71" s="122" t="str">
        <f t="shared" si="5"/>
        <v>White Pepper - فلفل أبيض</v>
      </c>
      <c r="C71" s="122" t="str">
        <f t="shared" si="5"/>
        <v>gm</v>
      </c>
      <c r="D71" s="122">
        <f t="shared" si="5"/>
        <v>2</v>
      </c>
      <c r="E71" s="115">
        <f t="shared" si="9"/>
        <v>10.526315789473685</v>
      </c>
      <c r="F71" s="126">
        <f t="shared" si="6"/>
        <v>1</v>
      </c>
      <c r="G71" s="118">
        <f t="shared" si="7"/>
        <v>21.05263157894737</v>
      </c>
      <c r="H71" s="119">
        <f t="shared" si="8"/>
        <v>21.05263157894737</v>
      </c>
    </row>
    <row r="72" spans="1:18" ht="14.25" customHeight="1" x14ac:dyDescent="0.3">
      <c r="A72" s="127" t="s">
        <v>95</v>
      </c>
      <c r="B72" s="122" t="str">
        <f t="shared" si="5"/>
        <v>Salt - ملح</v>
      </c>
      <c r="C72" s="122" t="str">
        <f t="shared" si="5"/>
        <v>ml</v>
      </c>
      <c r="D72" s="122">
        <f t="shared" si="5"/>
        <v>2</v>
      </c>
      <c r="E72" s="115">
        <f t="shared" si="9"/>
        <v>10.526315789473685</v>
      </c>
      <c r="F72" s="126">
        <f t="shared" si="6"/>
        <v>1</v>
      </c>
      <c r="G72" s="118">
        <f t="shared" si="7"/>
        <v>21.05263157894737</v>
      </c>
      <c r="H72" s="119">
        <f t="shared" si="8"/>
        <v>21.05263157894737</v>
      </c>
    </row>
    <row r="73" spans="1:18" ht="14.25" customHeight="1" x14ac:dyDescent="0.3">
      <c r="A73" s="127" t="s">
        <v>154</v>
      </c>
      <c r="B73" s="122" t="str">
        <f t="shared" si="5"/>
        <v>Butter - زبدة</v>
      </c>
      <c r="C73" s="122" t="str">
        <f t="shared" si="5"/>
        <v>gm</v>
      </c>
      <c r="D73" s="122">
        <f t="shared" si="5"/>
        <v>20</v>
      </c>
      <c r="E73" s="115">
        <f t="shared" si="9"/>
        <v>10.526315789473685</v>
      </c>
      <c r="F73" s="126">
        <f t="shared" si="6"/>
        <v>1</v>
      </c>
      <c r="G73" s="118">
        <f t="shared" si="7"/>
        <v>210.5263157894737</v>
      </c>
      <c r="H73" s="119">
        <f t="shared" si="8"/>
        <v>210.5263157894737</v>
      </c>
    </row>
    <row r="74" spans="1:18" ht="14.25" customHeight="1" x14ac:dyDescent="0.3">
      <c r="A74" s="127" t="s">
        <v>188</v>
      </c>
      <c r="B74" s="122" t="str">
        <f t="shared" si="5"/>
        <v>Flour - دقيق</v>
      </c>
      <c r="C74" s="122" t="str">
        <f t="shared" si="5"/>
        <v>gm</v>
      </c>
      <c r="D74" s="122">
        <f t="shared" si="5"/>
        <v>15</v>
      </c>
      <c r="E74" s="115">
        <f t="shared" si="9"/>
        <v>10.526315789473685</v>
      </c>
      <c r="F74" s="126">
        <f t="shared" si="6"/>
        <v>1</v>
      </c>
      <c r="G74" s="118">
        <f t="shared" si="7"/>
        <v>157.89473684210526</v>
      </c>
      <c r="H74" s="119">
        <f t="shared" si="8"/>
        <v>157.89473684210526</v>
      </c>
    </row>
    <row r="75" spans="1:18" ht="20.25" customHeight="1" x14ac:dyDescent="0.3">
      <c r="B75" s="122" t="str">
        <f t="shared" ref="B75:D79" si="10">B14</f>
        <v>Garlic - ثوم مقشر</v>
      </c>
      <c r="C75" s="122" t="str">
        <f t="shared" si="10"/>
        <v>gm</v>
      </c>
      <c r="D75" s="122">
        <f t="shared" si="10"/>
        <v>20</v>
      </c>
      <c r="E75" s="115">
        <f t="shared" si="9"/>
        <v>10.526315789473685</v>
      </c>
      <c r="F75" s="126">
        <f t="shared" si="6"/>
        <v>1</v>
      </c>
      <c r="G75" s="118">
        <f>D75*E75</f>
        <v>210.5263157894737</v>
      </c>
      <c r="H75" s="119">
        <f>G75*F75</f>
        <v>210.5263157894737</v>
      </c>
    </row>
    <row r="76" spans="1:18" ht="14.25" customHeight="1" x14ac:dyDescent="0.3">
      <c r="B76" s="122" t="str">
        <f t="shared" si="10"/>
        <v>Boiling</v>
      </c>
      <c r="C76" s="122">
        <f t="shared" si="10"/>
        <v>0</v>
      </c>
      <c r="D76" s="122">
        <f t="shared" si="10"/>
        <v>0</v>
      </c>
      <c r="E76" s="115">
        <f t="shared" si="9"/>
        <v>10.526315789473685</v>
      </c>
      <c r="F76" s="126">
        <f t="shared" si="6"/>
        <v>0</v>
      </c>
      <c r="G76" s="118">
        <f>D76*E76</f>
        <v>0</v>
      </c>
      <c r="H76" s="119">
        <f>G76*F76</f>
        <v>0</v>
      </c>
    </row>
    <row r="77" spans="1:18" ht="14.25" customHeight="1" x14ac:dyDescent="0.3">
      <c r="B77" s="122" t="str">
        <f t="shared" si="10"/>
        <v>Water - ماء</v>
      </c>
      <c r="C77" s="122" t="str">
        <f t="shared" si="10"/>
        <v>ml</v>
      </c>
      <c r="D77" s="278">
        <f t="shared" si="10"/>
        <v>16000</v>
      </c>
      <c r="E77" s="115">
        <f t="shared" si="9"/>
        <v>10.526315789473685</v>
      </c>
      <c r="F77" s="126">
        <f t="shared" si="6"/>
        <v>1</v>
      </c>
      <c r="G77" s="118">
        <f>D77*E77</f>
        <v>168421.05263157896</v>
      </c>
      <c r="H77" s="119">
        <f>G77*F77</f>
        <v>168421.05263157896</v>
      </c>
    </row>
    <row r="78" spans="1:18" ht="17.75" customHeight="1" x14ac:dyDescent="0.3">
      <c r="B78" s="122" t="str">
        <f t="shared" si="10"/>
        <v>Salt - ملح</v>
      </c>
      <c r="C78" s="122" t="str">
        <f t="shared" si="10"/>
        <v>gm</v>
      </c>
      <c r="D78" s="278">
        <f t="shared" si="10"/>
        <v>19.725373134328358</v>
      </c>
      <c r="E78" s="115">
        <f t="shared" si="9"/>
        <v>10.526315789473685</v>
      </c>
      <c r="F78" s="126">
        <f t="shared" si="6"/>
        <v>1</v>
      </c>
      <c r="G78" s="118">
        <f>D78*E78</f>
        <v>207.63550667714063</v>
      </c>
      <c r="H78" s="119">
        <f>G78*F78</f>
        <v>207.63550667714063</v>
      </c>
    </row>
    <row r="79" spans="1:18" ht="17.75" customHeight="1" x14ac:dyDescent="0.3">
      <c r="B79" s="122" t="str">
        <f t="shared" si="10"/>
        <v>Olive Oil - زيت زيتون</v>
      </c>
      <c r="C79" s="122" t="str">
        <f t="shared" si="10"/>
        <v>gm</v>
      </c>
      <c r="D79" s="278">
        <f t="shared" si="10"/>
        <v>9.8626865671641788</v>
      </c>
      <c r="E79" s="115">
        <f t="shared" si="9"/>
        <v>10.526315789473685</v>
      </c>
      <c r="F79" s="126">
        <f t="shared" si="6"/>
        <v>1</v>
      </c>
      <c r="G79" s="118">
        <f>D79*E79</f>
        <v>103.81775333857031</v>
      </c>
      <c r="H79" s="119">
        <f>G79*F79</f>
        <v>103.81775333857031</v>
      </c>
    </row>
    <row r="80" spans="1:18" ht="24" customHeight="1" x14ac:dyDescent="0.3">
      <c r="A80" s="210"/>
      <c r="B80" s="197" t="s">
        <v>736</v>
      </c>
      <c r="C80" s="199" t="s">
        <v>277</v>
      </c>
      <c r="E80" s="199" t="s">
        <v>292</v>
      </c>
      <c r="G80" s="878" t="s">
        <v>268</v>
      </c>
      <c r="H80" s="878" t="s">
        <v>714</v>
      </c>
    </row>
    <row r="81" spans="1:8" ht="21" customHeight="1" x14ac:dyDescent="0.4">
      <c r="A81" s="210"/>
      <c r="B81" s="198">
        <f>$J$53</f>
        <v>15000</v>
      </c>
      <c r="C81" s="198">
        <f>E81+G81</f>
        <v>10000</v>
      </c>
      <c r="D81" s="915"/>
      <c r="E81" s="198">
        <f>$D$53*$S$44</f>
        <v>10000</v>
      </c>
      <c r="F81" s="919"/>
      <c r="G81" s="198">
        <f>$D$53*$T$44</f>
        <v>0</v>
      </c>
      <c r="H81" s="198">
        <f>B81+E81</f>
        <v>25000</v>
      </c>
    </row>
    <row r="82" spans="1:8" ht="14.25" customHeight="1" x14ac:dyDescent="0.3">
      <c r="B82" s="99"/>
      <c r="E82" s="345"/>
      <c r="F82" s="99"/>
    </row>
    <row r="83" spans="1:8" ht="14.25" customHeight="1" x14ac:dyDescent="0.3">
      <c r="A83" s="922"/>
      <c r="B83" s="1447" t="str">
        <f>"صوص الفيتوتشيني  2 / " &amp; COUNTIF($C$53:$C$55, "&gt;0")</f>
        <v>صوص الفيتوتشيني  2 / 2</v>
      </c>
      <c r="C83" s="1461"/>
      <c r="D83" s="1461"/>
      <c r="E83" s="1486"/>
      <c r="F83" s="1461"/>
      <c r="G83" s="1461"/>
      <c r="H83" s="1461"/>
    </row>
    <row r="84" spans="1:8" ht="14.25" customHeight="1" x14ac:dyDescent="0.3">
      <c r="A84" s="922"/>
      <c r="B84" s="1438" t="str">
        <f>"Fettuccine Pasta Sauce  2 / " &amp; COUNTIF(C$53:$C$55, "&gt;0")</f>
        <v>Fettuccine Pasta Sauce  2 / 2</v>
      </c>
      <c r="C84" s="1439"/>
      <c r="D84" s="1439"/>
      <c r="E84" s="1439"/>
      <c r="F84" s="1439"/>
      <c r="G84" s="1439"/>
      <c r="H84" s="1439"/>
    </row>
    <row r="85" spans="1:8" ht="38.75" customHeight="1" x14ac:dyDescent="0.25">
      <c r="A85" s="90"/>
      <c r="B85" s="90" t="s">
        <v>245</v>
      </c>
      <c r="C85" s="106" t="s">
        <v>246</v>
      </c>
      <c r="D85" s="90" t="s">
        <v>235</v>
      </c>
      <c r="E85" s="107" t="s">
        <v>238</v>
      </c>
      <c r="F85" s="107" t="s">
        <v>247</v>
      </c>
      <c r="G85" s="90" t="s">
        <v>248</v>
      </c>
      <c r="H85" s="108" t="s">
        <v>249</v>
      </c>
    </row>
    <row r="86" spans="1:8" ht="14.25" customHeight="1" x14ac:dyDescent="0.3">
      <c r="A86" s="127" t="s">
        <v>225</v>
      </c>
      <c r="B86" s="122" t="str">
        <f t="shared" ref="B86:D96" si="11">B5</f>
        <v>Fettuccine Pasta - مكرونة فيتوتشيني</v>
      </c>
      <c r="C86" s="122" t="str">
        <f t="shared" si="11"/>
        <v>gm</v>
      </c>
      <c r="D86" s="278">
        <f t="shared" si="11"/>
        <v>500</v>
      </c>
      <c r="E86" s="196">
        <f>H54</f>
        <v>6.6280000000000001</v>
      </c>
      <c r="F86" s="126">
        <f t="shared" ref="F86:F99" si="12">F5</f>
        <v>1</v>
      </c>
      <c r="G86" s="120">
        <f>D86*E86</f>
        <v>3314</v>
      </c>
      <c r="H86" s="119">
        <f t="shared" ref="H86:H94" si="13">G86*F86</f>
        <v>3314</v>
      </c>
    </row>
    <row r="87" spans="1:8" ht="14.25" customHeight="1" x14ac:dyDescent="0.3">
      <c r="A87" s="127" t="s">
        <v>154</v>
      </c>
      <c r="B87" s="122" t="str">
        <f t="shared" si="11"/>
        <v>Cooking Cream - كريمة طبخ</v>
      </c>
      <c r="C87" s="122" t="str">
        <f t="shared" si="11"/>
        <v>ml</v>
      </c>
      <c r="D87" s="122">
        <f t="shared" si="11"/>
        <v>600</v>
      </c>
      <c r="E87" s="196">
        <f t="shared" ref="E87:E99" si="14">$C$54</f>
        <v>6.9768421052631595</v>
      </c>
      <c r="F87" s="126">
        <f t="shared" si="12"/>
        <v>1</v>
      </c>
      <c r="G87" s="120">
        <f t="shared" ref="G87:G94" si="15">D87*E87</f>
        <v>4186.1052631578959</v>
      </c>
      <c r="H87" s="119">
        <f t="shared" si="13"/>
        <v>4186.1052631578959</v>
      </c>
    </row>
    <row r="88" spans="1:8" ht="14.25" customHeight="1" x14ac:dyDescent="0.3">
      <c r="A88" s="127" t="s">
        <v>154</v>
      </c>
      <c r="B88" s="122" t="str">
        <f t="shared" si="11"/>
        <v>Milk - حليب</v>
      </c>
      <c r="C88" s="122" t="str">
        <f t="shared" si="11"/>
        <v>ml</v>
      </c>
      <c r="D88" s="122">
        <f t="shared" si="11"/>
        <v>600</v>
      </c>
      <c r="E88" s="196">
        <f t="shared" si="14"/>
        <v>6.9768421052631595</v>
      </c>
      <c r="F88" s="126">
        <f t="shared" si="12"/>
        <v>1</v>
      </c>
      <c r="G88" s="120">
        <f t="shared" si="15"/>
        <v>4186.1052631578959</v>
      </c>
      <c r="H88" s="119">
        <f t="shared" si="13"/>
        <v>4186.1052631578959</v>
      </c>
    </row>
    <row r="89" spans="1:8" ht="14.25" customHeight="1" x14ac:dyDescent="0.3">
      <c r="A89" s="127" t="s">
        <v>13</v>
      </c>
      <c r="B89" s="122" t="str">
        <f t="shared" si="11"/>
        <v>Onion - بصل</v>
      </c>
      <c r="C89" s="122" t="str">
        <f t="shared" si="11"/>
        <v>gm</v>
      </c>
      <c r="D89" s="122">
        <f t="shared" si="11"/>
        <v>20</v>
      </c>
      <c r="E89" s="196">
        <f t="shared" si="14"/>
        <v>6.9768421052631595</v>
      </c>
      <c r="F89" s="126">
        <f t="shared" si="12"/>
        <v>1</v>
      </c>
      <c r="G89" s="120">
        <f t="shared" si="15"/>
        <v>139.53684210526319</v>
      </c>
      <c r="H89" s="119">
        <f t="shared" si="13"/>
        <v>139.53684210526319</v>
      </c>
    </row>
    <row r="90" spans="1:8" ht="20.25" customHeight="1" x14ac:dyDescent="0.3">
      <c r="A90" s="127" t="s">
        <v>95</v>
      </c>
      <c r="B90" s="122" t="str">
        <f t="shared" si="11"/>
        <v>Maggi Cubes - مكعبات ماجي</v>
      </c>
      <c r="C90" s="122" t="str">
        <f t="shared" si="11"/>
        <v>gm</v>
      </c>
      <c r="D90" s="122">
        <f t="shared" si="11"/>
        <v>10</v>
      </c>
      <c r="E90" s="196">
        <f t="shared" si="14"/>
        <v>6.9768421052631595</v>
      </c>
      <c r="F90" s="126">
        <f t="shared" si="12"/>
        <v>1</v>
      </c>
      <c r="G90" s="120">
        <f t="shared" si="15"/>
        <v>69.768421052631595</v>
      </c>
      <c r="H90" s="119">
        <f t="shared" si="13"/>
        <v>69.768421052631595</v>
      </c>
    </row>
    <row r="91" spans="1:8" ht="14.25" customHeight="1" x14ac:dyDescent="0.3">
      <c r="A91" s="127" t="s">
        <v>95</v>
      </c>
      <c r="B91" s="122" t="str">
        <f t="shared" si="11"/>
        <v>White Pepper - فلفل أبيض</v>
      </c>
      <c r="C91" s="122" t="str">
        <f t="shared" si="11"/>
        <v>gm</v>
      </c>
      <c r="D91" s="122">
        <f t="shared" si="11"/>
        <v>2</v>
      </c>
      <c r="E91" s="196">
        <f t="shared" si="14"/>
        <v>6.9768421052631595</v>
      </c>
      <c r="F91" s="126">
        <f t="shared" si="12"/>
        <v>1</v>
      </c>
      <c r="G91" s="120">
        <f t="shared" si="15"/>
        <v>13.953684210526319</v>
      </c>
      <c r="H91" s="119">
        <f t="shared" si="13"/>
        <v>13.953684210526319</v>
      </c>
    </row>
    <row r="92" spans="1:8" x14ac:dyDescent="0.3">
      <c r="A92" s="127" t="s">
        <v>95</v>
      </c>
      <c r="B92" s="122" t="str">
        <f t="shared" si="11"/>
        <v>Salt - ملح</v>
      </c>
      <c r="C92" s="122" t="str">
        <f t="shared" si="11"/>
        <v>ml</v>
      </c>
      <c r="D92" s="122">
        <f t="shared" si="11"/>
        <v>2</v>
      </c>
      <c r="E92" s="196">
        <f t="shared" si="14"/>
        <v>6.9768421052631595</v>
      </c>
      <c r="F92" s="126">
        <f t="shared" si="12"/>
        <v>1</v>
      </c>
      <c r="G92" s="120">
        <f t="shared" si="15"/>
        <v>13.953684210526319</v>
      </c>
      <c r="H92" s="119">
        <f t="shared" si="13"/>
        <v>13.953684210526319</v>
      </c>
    </row>
    <row r="93" spans="1:8" x14ac:dyDescent="0.3">
      <c r="A93" s="127" t="s">
        <v>154</v>
      </c>
      <c r="B93" s="122" t="str">
        <f t="shared" si="11"/>
        <v>Butter - زبدة</v>
      </c>
      <c r="C93" s="122" t="str">
        <f t="shared" si="11"/>
        <v>gm</v>
      </c>
      <c r="D93" s="122">
        <f t="shared" si="11"/>
        <v>20</v>
      </c>
      <c r="E93" s="196">
        <f t="shared" si="14"/>
        <v>6.9768421052631595</v>
      </c>
      <c r="F93" s="126">
        <f t="shared" si="12"/>
        <v>1</v>
      </c>
      <c r="G93" s="120">
        <f t="shared" si="15"/>
        <v>139.53684210526319</v>
      </c>
      <c r="H93" s="119">
        <f t="shared" si="13"/>
        <v>139.53684210526319</v>
      </c>
    </row>
    <row r="94" spans="1:8" x14ac:dyDescent="0.3">
      <c r="A94" s="127" t="s">
        <v>188</v>
      </c>
      <c r="B94" s="122" t="str">
        <f t="shared" si="11"/>
        <v>Flour - دقيق</v>
      </c>
      <c r="C94" s="122" t="str">
        <f t="shared" si="11"/>
        <v>gm</v>
      </c>
      <c r="D94" s="122">
        <f t="shared" si="11"/>
        <v>15</v>
      </c>
      <c r="E94" s="196">
        <f t="shared" si="14"/>
        <v>6.9768421052631595</v>
      </c>
      <c r="F94" s="126">
        <f t="shared" si="12"/>
        <v>1</v>
      </c>
      <c r="G94" s="120">
        <f t="shared" si="15"/>
        <v>104.65263157894739</v>
      </c>
      <c r="H94" s="119">
        <f t="shared" si="13"/>
        <v>104.65263157894739</v>
      </c>
    </row>
    <row r="95" spans="1:8" ht="17.75" customHeight="1" x14ac:dyDescent="0.3">
      <c r="B95" s="122" t="str">
        <f t="shared" si="11"/>
        <v>Garlic - ثوم مقشر</v>
      </c>
      <c r="C95" s="122" t="str">
        <f t="shared" si="11"/>
        <v>gm</v>
      </c>
      <c r="D95" s="122">
        <f t="shared" si="11"/>
        <v>20</v>
      </c>
      <c r="E95" s="196">
        <f t="shared" si="14"/>
        <v>6.9768421052631595</v>
      </c>
      <c r="F95" s="126">
        <f t="shared" si="12"/>
        <v>1</v>
      </c>
      <c r="G95" s="120">
        <f>D95*E95</f>
        <v>139.53684210526319</v>
      </c>
      <c r="H95" s="119">
        <f>G95*F95</f>
        <v>139.53684210526319</v>
      </c>
    </row>
    <row r="96" spans="1:8" ht="17.75" customHeight="1" x14ac:dyDescent="0.3">
      <c r="B96" s="122" t="str">
        <f t="shared" si="11"/>
        <v>Boiling</v>
      </c>
      <c r="C96" s="122">
        <f t="shared" si="11"/>
        <v>0</v>
      </c>
      <c r="D96" s="122">
        <f t="shared" si="11"/>
        <v>0</v>
      </c>
      <c r="E96" s="196">
        <f t="shared" si="14"/>
        <v>6.9768421052631595</v>
      </c>
      <c r="F96" s="126">
        <f t="shared" si="12"/>
        <v>0</v>
      </c>
      <c r="G96" s="120">
        <f>D96*E96</f>
        <v>0</v>
      </c>
      <c r="H96" s="119">
        <f>G96*F96</f>
        <v>0</v>
      </c>
    </row>
    <row r="97" spans="1:8" x14ac:dyDescent="0.3">
      <c r="B97" s="122" t="str">
        <f t="shared" ref="B97:D99" si="16">B16</f>
        <v>Water - ماء</v>
      </c>
      <c r="C97" s="122" t="str">
        <f t="shared" si="16"/>
        <v>ml</v>
      </c>
      <c r="D97" s="262">
        <f t="shared" si="16"/>
        <v>16000</v>
      </c>
      <c r="E97" s="196">
        <f t="shared" si="14"/>
        <v>6.9768421052631595</v>
      </c>
      <c r="F97" s="126">
        <f t="shared" si="12"/>
        <v>1</v>
      </c>
      <c r="G97" s="120">
        <f>D97*E97</f>
        <v>111629.47368421055</v>
      </c>
      <c r="H97" s="119">
        <f>G97*F97</f>
        <v>111629.47368421055</v>
      </c>
    </row>
    <row r="98" spans="1:8" ht="14.25" customHeight="1" x14ac:dyDescent="0.3">
      <c r="B98" s="122" t="str">
        <f>B17</f>
        <v>Salt - ملح</v>
      </c>
      <c r="C98" s="122" t="str">
        <f>C17</f>
        <v>gm</v>
      </c>
      <c r="D98" s="262">
        <f>D17</f>
        <v>19.725373134328358</v>
      </c>
      <c r="E98" s="196">
        <f t="shared" si="14"/>
        <v>6.9768421052631595</v>
      </c>
      <c r="F98" s="126">
        <f t="shared" si="12"/>
        <v>1</v>
      </c>
      <c r="G98" s="120">
        <f>D98*E98</f>
        <v>137.62081382560882</v>
      </c>
      <c r="H98" s="119">
        <f>G98*F98</f>
        <v>137.62081382560882</v>
      </c>
    </row>
    <row r="99" spans="1:8" ht="14.25" customHeight="1" x14ac:dyDescent="0.3">
      <c r="B99" s="122" t="str">
        <f t="shared" si="16"/>
        <v>Olive Oil - زيت زيتون</v>
      </c>
      <c r="C99" s="122" t="str">
        <f t="shared" si="16"/>
        <v>gm</v>
      </c>
      <c r="D99" s="262">
        <f t="shared" si="16"/>
        <v>9.8626865671641788</v>
      </c>
      <c r="E99" s="196">
        <f t="shared" si="14"/>
        <v>6.9768421052631595</v>
      </c>
      <c r="F99" s="126">
        <f t="shared" si="12"/>
        <v>1</v>
      </c>
      <c r="G99" s="120">
        <f>D99*E99</f>
        <v>68.81040691280441</v>
      </c>
      <c r="H99" s="119">
        <f>G99*F99</f>
        <v>68.81040691280441</v>
      </c>
    </row>
    <row r="100" spans="1:8" ht="29.75" customHeight="1" x14ac:dyDescent="0.3">
      <c r="A100" s="210"/>
      <c r="B100" s="197" t="s">
        <v>736</v>
      </c>
      <c r="C100" s="199" t="s">
        <v>277</v>
      </c>
      <c r="E100" s="199" t="s">
        <v>292</v>
      </c>
      <c r="G100" s="878" t="s">
        <v>268</v>
      </c>
      <c r="H100" s="878" t="s">
        <v>714</v>
      </c>
    </row>
    <row r="101" spans="1:8" ht="19.5" customHeight="1" x14ac:dyDescent="0.4">
      <c r="A101" s="210"/>
      <c r="B101" s="198">
        <f>$J$54</f>
        <v>9942</v>
      </c>
      <c r="C101" s="198">
        <f>E101+G101</f>
        <v>6628.0000000000009</v>
      </c>
      <c r="D101" s="915"/>
      <c r="E101" s="198">
        <f>$D$54*$S$44</f>
        <v>6628.0000000000009</v>
      </c>
      <c r="F101" s="919"/>
      <c r="G101" s="198">
        <f>$D$54*$T$44</f>
        <v>0</v>
      </c>
      <c r="H101" s="198">
        <f>B101+E101</f>
        <v>16570</v>
      </c>
    </row>
    <row r="102" spans="1:8" ht="14.25" customHeight="1" x14ac:dyDescent="0.3"/>
    <row r="103" spans="1:8" ht="14.25" customHeight="1" x14ac:dyDescent="0.3"/>
    <row r="104" spans="1:8" ht="14.25" customHeight="1" x14ac:dyDescent="0.3"/>
    <row r="105" spans="1:8" ht="14.25" customHeight="1" x14ac:dyDescent="0.3">
      <c r="A105" s="96"/>
      <c r="B105" s="1447" t="str">
        <f>"صوص الفيتوتشيني  3 / " &amp; COUNTIF($C$53:$C$55, "&gt;0")</f>
        <v>صوص الفيتوتشيني  3 / 2</v>
      </c>
      <c r="C105" s="1460"/>
      <c r="D105" s="1460"/>
      <c r="E105" s="1485"/>
      <c r="F105" s="1460"/>
      <c r="G105" s="1460"/>
      <c r="H105" s="1460"/>
    </row>
    <row r="106" spans="1:8" ht="14.25" customHeight="1" x14ac:dyDescent="0.3">
      <c r="A106" s="96"/>
      <c r="B106" s="1438" t="str">
        <f>"Fettuccine Pasta Sauce  3 / " &amp; COUNTIF(C$53:$C$55, "&gt;0")</f>
        <v>Fettuccine Pasta Sauce  3 / 2</v>
      </c>
      <c r="C106" s="1444"/>
      <c r="D106" s="1444"/>
      <c r="E106" s="1444"/>
      <c r="F106" s="1444"/>
      <c r="G106" s="1444"/>
      <c r="H106" s="1444"/>
    </row>
    <row r="107" spans="1:8" ht="43.25" customHeight="1" x14ac:dyDescent="0.25">
      <c r="A107" s="90"/>
      <c r="B107" s="90" t="s">
        <v>245</v>
      </c>
      <c r="C107" s="106" t="s">
        <v>246</v>
      </c>
      <c r="D107" s="90" t="s">
        <v>235</v>
      </c>
      <c r="E107" s="107" t="s">
        <v>238</v>
      </c>
      <c r="F107" s="107" t="s">
        <v>247</v>
      </c>
      <c r="G107" s="90" t="s">
        <v>248</v>
      </c>
      <c r="H107" s="108" t="s">
        <v>249</v>
      </c>
    </row>
    <row r="108" spans="1:8" ht="14.25" customHeight="1" x14ac:dyDescent="0.3">
      <c r="A108" s="127" t="s">
        <v>225</v>
      </c>
      <c r="B108" s="122" t="str">
        <f t="shared" ref="B108:D121" si="17">B5</f>
        <v>Fettuccine Pasta - مكرونة فيتوتشيني</v>
      </c>
      <c r="C108" s="122" t="str">
        <f t="shared" si="17"/>
        <v>gm</v>
      </c>
      <c r="D108" s="262">
        <f t="shared" si="17"/>
        <v>500</v>
      </c>
      <c r="E108" s="196">
        <f>H55</f>
        <v>0</v>
      </c>
      <c r="F108" s="126">
        <f t="shared" ref="F108:F121" si="18">F5</f>
        <v>1</v>
      </c>
      <c r="G108" s="120">
        <f t="shared" ref="G108:G113" si="19">D108*E108</f>
        <v>0</v>
      </c>
      <c r="H108" s="119">
        <f t="shared" ref="H108:H113" si="20">G108*F108</f>
        <v>0</v>
      </c>
    </row>
    <row r="109" spans="1:8" x14ac:dyDescent="0.3">
      <c r="A109" s="127" t="s">
        <v>154</v>
      </c>
      <c r="B109" s="122" t="str">
        <f t="shared" si="17"/>
        <v>Cooking Cream - كريمة طبخ</v>
      </c>
      <c r="C109" s="122" t="str">
        <f t="shared" si="17"/>
        <v>ml</v>
      </c>
      <c r="D109" s="262">
        <f t="shared" si="17"/>
        <v>600</v>
      </c>
      <c r="E109" s="196">
        <f t="shared" ref="E109:E121" si="21">$C$55</f>
        <v>0</v>
      </c>
      <c r="F109" s="126">
        <f t="shared" si="18"/>
        <v>1</v>
      </c>
      <c r="G109" s="120">
        <f t="shared" si="19"/>
        <v>0</v>
      </c>
      <c r="H109" s="119">
        <f t="shared" si="20"/>
        <v>0</v>
      </c>
    </row>
    <row r="110" spans="1:8" x14ac:dyDescent="0.3">
      <c r="A110" s="127" t="s">
        <v>154</v>
      </c>
      <c r="B110" s="122" t="str">
        <f t="shared" si="17"/>
        <v>Milk - حليب</v>
      </c>
      <c r="C110" s="122" t="str">
        <f t="shared" si="17"/>
        <v>ml</v>
      </c>
      <c r="D110" s="262">
        <f t="shared" si="17"/>
        <v>600</v>
      </c>
      <c r="E110" s="196">
        <f t="shared" si="21"/>
        <v>0</v>
      </c>
      <c r="F110" s="126">
        <f t="shared" si="18"/>
        <v>1</v>
      </c>
      <c r="G110" s="120">
        <f t="shared" si="19"/>
        <v>0</v>
      </c>
      <c r="H110" s="119">
        <f t="shared" si="20"/>
        <v>0</v>
      </c>
    </row>
    <row r="111" spans="1:8" ht="17.75" customHeight="1" x14ac:dyDescent="0.3">
      <c r="A111" s="127" t="s">
        <v>13</v>
      </c>
      <c r="B111" s="122" t="str">
        <f t="shared" si="17"/>
        <v>Onion - بصل</v>
      </c>
      <c r="C111" s="122" t="str">
        <f t="shared" si="17"/>
        <v>gm</v>
      </c>
      <c r="D111" s="262">
        <f t="shared" si="17"/>
        <v>20</v>
      </c>
      <c r="E111" s="196">
        <f t="shared" si="21"/>
        <v>0</v>
      </c>
      <c r="F111" s="126">
        <f t="shared" si="18"/>
        <v>1</v>
      </c>
      <c r="G111" s="120">
        <f t="shared" si="19"/>
        <v>0</v>
      </c>
      <c r="H111" s="119">
        <f t="shared" si="20"/>
        <v>0</v>
      </c>
    </row>
    <row r="112" spans="1:8" ht="17.75" customHeight="1" x14ac:dyDescent="0.3">
      <c r="A112" s="127" t="s">
        <v>95</v>
      </c>
      <c r="B112" s="122" t="str">
        <f t="shared" si="17"/>
        <v>Maggi Cubes - مكعبات ماجي</v>
      </c>
      <c r="C112" s="122" t="str">
        <f t="shared" si="17"/>
        <v>gm</v>
      </c>
      <c r="D112" s="262">
        <f t="shared" si="17"/>
        <v>10</v>
      </c>
      <c r="E112" s="196">
        <f t="shared" si="21"/>
        <v>0</v>
      </c>
      <c r="F112" s="126">
        <f t="shared" si="18"/>
        <v>1</v>
      </c>
      <c r="G112" s="120">
        <f t="shared" si="19"/>
        <v>0</v>
      </c>
      <c r="H112" s="119">
        <f t="shared" si="20"/>
        <v>0</v>
      </c>
    </row>
    <row r="113" spans="1:8" x14ac:dyDescent="0.3">
      <c r="A113" s="127" t="s">
        <v>95</v>
      </c>
      <c r="B113" s="122" t="str">
        <f t="shared" si="17"/>
        <v>White Pepper - فلفل أبيض</v>
      </c>
      <c r="C113" s="122" t="str">
        <f t="shared" si="17"/>
        <v>gm</v>
      </c>
      <c r="D113" s="262">
        <f t="shared" si="17"/>
        <v>2</v>
      </c>
      <c r="E113" s="196">
        <f t="shared" si="21"/>
        <v>0</v>
      </c>
      <c r="F113" s="126">
        <f t="shared" si="18"/>
        <v>1</v>
      </c>
      <c r="G113" s="120">
        <f t="shared" si="19"/>
        <v>0</v>
      </c>
      <c r="H113" s="119">
        <f t="shared" si="20"/>
        <v>0</v>
      </c>
    </row>
    <row r="114" spans="1:8" ht="14.25" customHeight="1" x14ac:dyDescent="0.3">
      <c r="A114" s="127" t="s">
        <v>95</v>
      </c>
      <c r="B114" s="122" t="str">
        <f t="shared" si="17"/>
        <v>Salt - ملح</v>
      </c>
      <c r="C114" s="122" t="str">
        <f t="shared" si="17"/>
        <v>ml</v>
      </c>
      <c r="D114" s="262">
        <f t="shared" si="17"/>
        <v>2</v>
      </c>
      <c r="E114" s="196">
        <f t="shared" si="21"/>
        <v>0</v>
      </c>
      <c r="F114" s="126">
        <f t="shared" si="18"/>
        <v>1</v>
      </c>
      <c r="G114" s="120">
        <f t="shared" ref="G114:G121" si="22">D114*E114</f>
        <v>0</v>
      </c>
      <c r="H114" s="119">
        <f t="shared" ref="H114:H121" si="23">G114*F114</f>
        <v>0</v>
      </c>
    </row>
    <row r="115" spans="1:8" ht="14.25" customHeight="1" x14ac:dyDescent="0.3">
      <c r="A115" s="127"/>
      <c r="B115" s="122" t="str">
        <f t="shared" si="17"/>
        <v>Butter - زبدة</v>
      </c>
      <c r="C115" s="122" t="str">
        <f t="shared" si="17"/>
        <v>gm</v>
      </c>
      <c r="D115" s="262">
        <f t="shared" si="17"/>
        <v>20</v>
      </c>
      <c r="E115" s="196">
        <f t="shared" si="21"/>
        <v>0</v>
      </c>
      <c r="F115" s="126">
        <f t="shared" si="18"/>
        <v>1</v>
      </c>
      <c r="G115" s="120">
        <f t="shared" si="22"/>
        <v>0</v>
      </c>
      <c r="H115" s="119">
        <f t="shared" si="23"/>
        <v>0</v>
      </c>
    </row>
    <row r="116" spans="1:8" ht="14.25" customHeight="1" x14ac:dyDescent="0.3">
      <c r="A116" s="127"/>
      <c r="B116" s="122" t="str">
        <f t="shared" si="17"/>
        <v>Flour - دقيق</v>
      </c>
      <c r="C116" s="122" t="str">
        <f t="shared" si="17"/>
        <v>gm</v>
      </c>
      <c r="D116" s="262">
        <f t="shared" si="17"/>
        <v>15</v>
      </c>
      <c r="E116" s="196">
        <f t="shared" si="21"/>
        <v>0</v>
      </c>
      <c r="F116" s="126">
        <f t="shared" si="18"/>
        <v>1</v>
      </c>
      <c r="G116" s="120">
        <f t="shared" si="22"/>
        <v>0</v>
      </c>
      <c r="H116" s="119">
        <f t="shared" si="23"/>
        <v>0</v>
      </c>
    </row>
    <row r="117" spans="1:8" ht="14.25" customHeight="1" x14ac:dyDescent="0.3">
      <c r="A117" s="127"/>
      <c r="B117" s="122" t="str">
        <f t="shared" si="17"/>
        <v>Garlic - ثوم مقشر</v>
      </c>
      <c r="C117" s="122" t="str">
        <f t="shared" si="17"/>
        <v>gm</v>
      </c>
      <c r="D117" s="262">
        <f t="shared" si="17"/>
        <v>20</v>
      </c>
      <c r="E117" s="196">
        <f t="shared" si="21"/>
        <v>0</v>
      </c>
      <c r="F117" s="126">
        <f t="shared" si="18"/>
        <v>1</v>
      </c>
      <c r="G117" s="120">
        <f t="shared" si="22"/>
        <v>0</v>
      </c>
      <c r="H117" s="119">
        <f t="shared" si="23"/>
        <v>0</v>
      </c>
    </row>
    <row r="118" spans="1:8" ht="14.25" customHeight="1" x14ac:dyDescent="0.3">
      <c r="A118" s="127"/>
      <c r="B118" s="122" t="str">
        <f t="shared" si="17"/>
        <v>Boiling</v>
      </c>
      <c r="C118" s="122">
        <f t="shared" si="17"/>
        <v>0</v>
      </c>
      <c r="D118" s="262">
        <f t="shared" si="17"/>
        <v>0</v>
      </c>
      <c r="E118" s="196">
        <f t="shared" si="21"/>
        <v>0</v>
      </c>
      <c r="F118" s="126">
        <f t="shared" si="18"/>
        <v>0</v>
      </c>
      <c r="G118" s="120">
        <f t="shared" si="22"/>
        <v>0</v>
      </c>
      <c r="H118" s="119">
        <f t="shared" si="23"/>
        <v>0</v>
      </c>
    </row>
    <row r="119" spans="1:8" ht="14.25" customHeight="1" x14ac:dyDescent="0.3">
      <c r="A119" s="127"/>
      <c r="B119" s="122" t="str">
        <f t="shared" si="17"/>
        <v>Water - ماء</v>
      </c>
      <c r="C119" s="122" t="str">
        <f t="shared" si="17"/>
        <v>ml</v>
      </c>
      <c r="D119" s="262">
        <f t="shared" si="17"/>
        <v>16000</v>
      </c>
      <c r="E119" s="196">
        <f t="shared" si="21"/>
        <v>0</v>
      </c>
      <c r="F119" s="126">
        <f t="shared" si="18"/>
        <v>1</v>
      </c>
      <c r="G119" s="120">
        <f t="shared" si="22"/>
        <v>0</v>
      </c>
      <c r="H119" s="119">
        <f t="shared" si="23"/>
        <v>0</v>
      </c>
    </row>
    <row r="120" spans="1:8" ht="14.25" customHeight="1" x14ac:dyDescent="0.3">
      <c r="A120" s="127"/>
      <c r="B120" s="122" t="str">
        <f t="shared" si="17"/>
        <v>Salt - ملح</v>
      </c>
      <c r="C120" s="122" t="str">
        <f t="shared" si="17"/>
        <v>gm</v>
      </c>
      <c r="D120" s="262">
        <f t="shared" si="17"/>
        <v>19.725373134328358</v>
      </c>
      <c r="E120" s="196">
        <f t="shared" si="21"/>
        <v>0</v>
      </c>
      <c r="F120" s="126">
        <f t="shared" si="18"/>
        <v>1</v>
      </c>
      <c r="G120" s="120">
        <f t="shared" si="22"/>
        <v>0</v>
      </c>
      <c r="H120" s="119">
        <f t="shared" si="23"/>
        <v>0</v>
      </c>
    </row>
    <row r="121" spans="1:8" ht="14.25" customHeight="1" x14ac:dyDescent="0.3">
      <c r="A121" s="127" t="s">
        <v>154</v>
      </c>
      <c r="B121" s="122" t="str">
        <f t="shared" si="17"/>
        <v>Olive Oil - زيت زيتون</v>
      </c>
      <c r="C121" s="122" t="str">
        <f t="shared" si="17"/>
        <v>gm</v>
      </c>
      <c r="D121" s="262">
        <f t="shared" si="17"/>
        <v>9.8626865671641788</v>
      </c>
      <c r="E121" s="196">
        <f t="shared" si="21"/>
        <v>0</v>
      </c>
      <c r="F121" s="126">
        <f t="shared" si="18"/>
        <v>1</v>
      </c>
      <c r="G121" s="120">
        <f t="shared" si="22"/>
        <v>0</v>
      </c>
      <c r="H121" s="119">
        <f t="shared" si="23"/>
        <v>0</v>
      </c>
    </row>
    <row r="122" spans="1:8" ht="14.25" customHeight="1" x14ac:dyDescent="0.3">
      <c r="B122" s="197" t="s">
        <v>736</v>
      </c>
      <c r="C122" s="199" t="s">
        <v>277</v>
      </c>
      <c r="E122" s="199" t="s">
        <v>292</v>
      </c>
      <c r="G122" s="878" t="s">
        <v>268</v>
      </c>
      <c r="H122" s="878" t="s">
        <v>703</v>
      </c>
    </row>
    <row r="123" spans="1:8" ht="20.25" customHeight="1" x14ac:dyDescent="0.4">
      <c r="B123" s="198">
        <f>$J$55</f>
        <v>0</v>
      </c>
      <c r="C123" s="200">
        <f>E123+G123</f>
        <v>0</v>
      </c>
      <c r="E123" s="200">
        <f>$D$55*$S$44</f>
        <v>0</v>
      </c>
      <c r="G123" s="201">
        <f>$D$55*$T$44</f>
        <v>0</v>
      </c>
      <c r="H123" s="201">
        <f>B123+E123</f>
        <v>0</v>
      </c>
    </row>
    <row r="126" spans="1:8" x14ac:dyDescent="0.3">
      <c r="A126" s="96"/>
      <c r="B126" s="1447" t="str">
        <f>"صوص الفيتوتشيني  4 / " &amp; COUNTIF($C$19:$C$22, "&gt;0")</f>
        <v>صوص الفيتوتشيني  4 / 0</v>
      </c>
      <c r="C126" s="1460"/>
      <c r="D126" s="1460"/>
      <c r="E126" s="1485"/>
      <c r="F126" s="1460"/>
      <c r="G126" s="1460"/>
      <c r="H126" s="1460"/>
    </row>
    <row r="127" spans="1:8" x14ac:dyDescent="0.3">
      <c r="A127" s="96"/>
      <c r="B127" s="1438" t="str">
        <f>"Fettuccine Pasta Sauce  4 / " &amp; COUNTIF(C$19:$C$22, "&gt;0")</f>
        <v>Fettuccine Pasta Sauce  4 / 0</v>
      </c>
      <c r="C127" s="1444"/>
      <c r="D127" s="1444"/>
      <c r="E127" s="1444"/>
      <c r="F127" s="1444"/>
      <c r="G127" s="1444"/>
      <c r="H127" s="1444"/>
    </row>
    <row r="128" spans="1:8" ht="39" x14ac:dyDescent="0.25">
      <c r="A128" s="90"/>
      <c r="B128" s="90" t="s">
        <v>245</v>
      </c>
      <c r="C128" s="106" t="s">
        <v>246</v>
      </c>
      <c r="D128" s="90" t="s">
        <v>235</v>
      </c>
      <c r="E128" s="107" t="s">
        <v>238</v>
      </c>
      <c r="F128" s="107" t="s">
        <v>247</v>
      </c>
      <c r="G128" s="90" t="s">
        <v>248</v>
      </c>
      <c r="H128" s="108" t="s">
        <v>249</v>
      </c>
    </row>
    <row r="129" spans="1:8" x14ac:dyDescent="0.3">
      <c r="A129" s="127" t="s">
        <v>225</v>
      </c>
      <c r="B129" s="122" t="str">
        <f t="shared" ref="B129:D142" si="24">B5</f>
        <v>Fettuccine Pasta - مكرونة فيتوتشيني</v>
      </c>
      <c r="C129" s="122" t="str">
        <f t="shared" si="24"/>
        <v>gm</v>
      </c>
      <c r="D129" s="262">
        <f t="shared" si="24"/>
        <v>500</v>
      </c>
      <c r="E129" s="196">
        <f>H56</f>
        <v>0</v>
      </c>
      <c r="F129" s="126">
        <f t="shared" ref="F129:F142" si="25">F5</f>
        <v>1</v>
      </c>
      <c r="G129" s="120">
        <f>D129*E129</f>
        <v>0</v>
      </c>
      <c r="H129" s="119">
        <f>G129*F129</f>
        <v>0</v>
      </c>
    </row>
    <row r="130" spans="1:8" x14ac:dyDescent="0.3">
      <c r="A130" s="127" t="s">
        <v>154</v>
      </c>
      <c r="B130" s="122" t="str">
        <f t="shared" si="24"/>
        <v>Cooking Cream - كريمة طبخ</v>
      </c>
      <c r="C130" s="122" t="str">
        <f t="shared" si="24"/>
        <v>ml</v>
      </c>
      <c r="D130" s="262">
        <f t="shared" si="24"/>
        <v>600</v>
      </c>
      <c r="E130" s="196">
        <f>$C$56</f>
        <v>0</v>
      </c>
      <c r="F130" s="126">
        <f t="shared" si="25"/>
        <v>1</v>
      </c>
      <c r="G130" s="120">
        <f>D130*E130</f>
        <v>0</v>
      </c>
      <c r="H130" s="119">
        <f>G130*F130</f>
        <v>0</v>
      </c>
    </row>
    <row r="131" spans="1:8" x14ac:dyDescent="0.3">
      <c r="A131" s="127" t="s">
        <v>154</v>
      </c>
      <c r="B131" s="122" t="str">
        <f t="shared" si="24"/>
        <v>Milk - حليب</v>
      </c>
      <c r="C131" s="122" t="str">
        <f t="shared" si="24"/>
        <v>ml</v>
      </c>
      <c r="D131" s="262">
        <f t="shared" si="24"/>
        <v>600</v>
      </c>
      <c r="E131" s="196">
        <f t="shared" ref="E131:E142" si="26">$C$56</f>
        <v>0</v>
      </c>
      <c r="F131" s="126">
        <f t="shared" si="25"/>
        <v>1</v>
      </c>
      <c r="G131" s="120">
        <f>D131*E131</f>
        <v>0</v>
      </c>
      <c r="H131" s="119">
        <f>G131*F131</f>
        <v>0</v>
      </c>
    </row>
    <row r="132" spans="1:8" x14ac:dyDescent="0.3">
      <c r="A132" s="127" t="s">
        <v>225</v>
      </c>
      <c r="B132" s="122" t="str">
        <f t="shared" si="24"/>
        <v>Onion - بصل</v>
      </c>
      <c r="C132" s="122" t="str">
        <f t="shared" si="24"/>
        <v>gm</v>
      </c>
      <c r="D132" s="262">
        <f t="shared" si="24"/>
        <v>20</v>
      </c>
      <c r="E132" s="196">
        <f t="shared" si="26"/>
        <v>0</v>
      </c>
      <c r="F132" s="126">
        <f t="shared" si="25"/>
        <v>1</v>
      </c>
      <c r="G132" s="120">
        <f>F25</f>
        <v>0</v>
      </c>
      <c r="H132" s="119">
        <f t="shared" ref="H132:H142" si="27">G132*F132</f>
        <v>0</v>
      </c>
    </row>
    <row r="133" spans="1:8" x14ac:dyDescent="0.3">
      <c r="A133" s="127" t="s">
        <v>154</v>
      </c>
      <c r="B133" s="122" t="str">
        <f t="shared" si="24"/>
        <v>Maggi Cubes - مكعبات ماجي</v>
      </c>
      <c r="C133" s="122" t="str">
        <f t="shared" si="24"/>
        <v>gm</v>
      </c>
      <c r="D133" s="262">
        <f t="shared" si="24"/>
        <v>10</v>
      </c>
      <c r="E133" s="196">
        <f t="shared" si="26"/>
        <v>0</v>
      </c>
      <c r="F133" s="126">
        <f t="shared" si="25"/>
        <v>1</v>
      </c>
      <c r="G133" s="120">
        <f>D133*E133</f>
        <v>0</v>
      </c>
      <c r="H133" s="119">
        <f t="shared" si="27"/>
        <v>0</v>
      </c>
    </row>
    <row r="134" spans="1:8" x14ac:dyDescent="0.3">
      <c r="A134" s="127" t="s">
        <v>154</v>
      </c>
      <c r="B134" s="122" t="str">
        <f t="shared" si="24"/>
        <v>White Pepper - فلفل أبيض</v>
      </c>
      <c r="C134" s="122" t="str">
        <f t="shared" si="24"/>
        <v>gm</v>
      </c>
      <c r="D134" s="262">
        <f t="shared" si="24"/>
        <v>2</v>
      </c>
      <c r="E134" s="196">
        <f t="shared" si="26"/>
        <v>0</v>
      </c>
      <c r="F134" s="126">
        <f t="shared" si="25"/>
        <v>1</v>
      </c>
      <c r="G134" s="120">
        <f>D134*E134</f>
        <v>0</v>
      </c>
      <c r="H134" s="119">
        <f t="shared" si="27"/>
        <v>0</v>
      </c>
    </row>
    <row r="135" spans="1:8" x14ac:dyDescent="0.3">
      <c r="A135" s="127" t="s">
        <v>225</v>
      </c>
      <c r="B135" s="122" t="str">
        <f t="shared" si="24"/>
        <v>Salt - ملح</v>
      </c>
      <c r="C135" s="122" t="str">
        <f t="shared" si="24"/>
        <v>ml</v>
      </c>
      <c r="D135" s="262">
        <f t="shared" si="24"/>
        <v>2</v>
      </c>
      <c r="E135" s="196">
        <f t="shared" si="26"/>
        <v>0</v>
      </c>
      <c r="F135" s="126">
        <f t="shared" si="25"/>
        <v>1</v>
      </c>
      <c r="G135" s="120">
        <f>F52</f>
        <v>0</v>
      </c>
      <c r="H135" s="119">
        <f t="shared" si="27"/>
        <v>0</v>
      </c>
    </row>
    <row r="136" spans="1:8" x14ac:dyDescent="0.3">
      <c r="A136" s="127" t="s">
        <v>154</v>
      </c>
      <c r="B136" s="122" t="str">
        <f t="shared" si="24"/>
        <v>Butter - زبدة</v>
      </c>
      <c r="C136" s="122" t="str">
        <f t="shared" si="24"/>
        <v>gm</v>
      </c>
      <c r="D136" s="262">
        <f t="shared" si="24"/>
        <v>20</v>
      </c>
      <c r="E136" s="196">
        <f t="shared" si="26"/>
        <v>0</v>
      </c>
      <c r="F136" s="126">
        <f t="shared" si="25"/>
        <v>1</v>
      </c>
      <c r="G136" s="120">
        <f>D136*E136</f>
        <v>0</v>
      </c>
      <c r="H136" s="119">
        <f t="shared" si="27"/>
        <v>0</v>
      </c>
    </row>
    <row r="137" spans="1:8" x14ac:dyDescent="0.3">
      <c r="A137" s="127" t="s">
        <v>154</v>
      </c>
      <c r="B137" s="122" t="str">
        <f t="shared" si="24"/>
        <v>Flour - دقيق</v>
      </c>
      <c r="C137" s="122" t="str">
        <f t="shared" si="24"/>
        <v>gm</v>
      </c>
      <c r="D137" s="262">
        <f t="shared" si="24"/>
        <v>15</v>
      </c>
      <c r="E137" s="196">
        <f t="shared" si="26"/>
        <v>0</v>
      </c>
      <c r="F137" s="126">
        <f t="shared" si="25"/>
        <v>1</v>
      </c>
      <c r="G137" s="120">
        <f>D137*E137</f>
        <v>0</v>
      </c>
      <c r="H137" s="119">
        <f t="shared" si="27"/>
        <v>0</v>
      </c>
    </row>
    <row r="138" spans="1:8" x14ac:dyDescent="0.3">
      <c r="A138" s="127" t="s">
        <v>225</v>
      </c>
      <c r="B138" s="122" t="str">
        <f t="shared" si="24"/>
        <v>Garlic - ثوم مقشر</v>
      </c>
      <c r="C138" s="122" t="str">
        <f t="shared" si="24"/>
        <v>gm</v>
      </c>
      <c r="D138" s="262">
        <f t="shared" si="24"/>
        <v>20</v>
      </c>
      <c r="E138" s="196">
        <f t="shared" si="26"/>
        <v>0</v>
      </c>
      <c r="F138" s="126">
        <f t="shared" si="25"/>
        <v>1</v>
      </c>
      <c r="G138" s="120">
        <f>F55</f>
        <v>0</v>
      </c>
      <c r="H138" s="119">
        <f t="shared" si="27"/>
        <v>0</v>
      </c>
    </row>
    <row r="139" spans="1:8" x14ac:dyDescent="0.3">
      <c r="A139" s="127" t="s">
        <v>154</v>
      </c>
      <c r="B139" s="122" t="str">
        <f t="shared" si="24"/>
        <v>Boiling</v>
      </c>
      <c r="C139" s="122">
        <f t="shared" si="24"/>
        <v>0</v>
      </c>
      <c r="D139" s="262">
        <f t="shared" si="24"/>
        <v>0</v>
      </c>
      <c r="E139" s="196">
        <f t="shared" si="26"/>
        <v>0</v>
      </c>
      <c r="F139" s="126">
        <f t="shared" si="25"/>
        <v>0</v>
      </c>
      <c r="G139" s="120">
        <f>D139*E139</f>
        <v>0</v>
      </c>
      <c r="H139" s="119">
        <f t="shared" si="27"/>
        <v>0</v>
      </c>
    </row>
    <row r="140" spans="1:8" x14ac:dyDescent="0.3">
      <c r="A140" s="127" t="s">
        <v>154</v>
      </c>
      <c r="B140" s="122" t="str">
        <f t="shared" si="24"/>
        <v>Water - ماء</v>
      </c>
      <c r="C140" s="122" t="str">
        <f t="shared" si="24"/>
        <v>ml</v>
      </c>
      <c r="D140" s="262">
        <f t="shared" si="24"/>
        <v>16000</v>
      </c>
      <c r="E140" s="196">
        <f t="shared" si="26"/>
        <v>0</v>
      </c>
      <c r="F140" s="126">
        <f t="shared" si="25"/>
        <v>1</v>
      </c>
      <c r="G140" s="120">
        <f>D140*E140</f>
        <v>0</v>
      </c>
      <c r="H140" s="119">
        <f t="shared" si="27"/>
        <v>0</v>
      </c>
    </row>
    <row r="141" spans="1:8" x14ac:dyDescent="0.3">
      <c r="A141" s="127" t="s">
        <v>225</v>
      </c>
      <c r="B141" s="122" t="str">
        <f t="shared" si="24"/>
        <v>Salt - ملح</v>
      </c>
      <c r="C141" s="122" t="str">
        <f t="shared" si="24"/>
        <v>gm</v>
      </c>
      <c r="D141" s="262">
        <f t="shared" si="24"/>
        <v>19.725373134328358</v>
      </c>
      <c r="E141" s="196">
        <f t="shared" si="26"/>
        <v>0</v>
      </c>
      <c r="F141" s="126">
        <f t="shared" si="25"/>
        <v>1</v>
      </c>
      <c r="G141" s="120">
        <f>F34</f>
        <v>0</v>
      </c>
      <c r="H141" s="119">
        <f t="shared" si="27"/>
        <v>0</v>
      </c>
    </row>
    <row r="142" spans="1:8" x14ac:dyDescent="0.3">
      <c r="A142" s="127" t="s">
        <v>154</v>
      </c>
      <c r="B142" s="122" t="str">
        <f t="shared" si="24"/>
        <v>Olive Oil - زيت زيتون</v>
      </c>
      <c r="C142" s="122" t="str">
        <f t="shared" si="24"/>
        <v>gm</v>
      </c>
      <c r="D142" s="262">
        <f t="shared" si="24"/>
        <v>9.8626865671641788</v>
      </c>
      <c r="E142" s="196">
        <f t="shared" si="26"/>
        <v>0</v>
      </c>
      <c r="F142" s="126">
        <f t="shared" si="25"/>
        <v>1</v>
      </c>
      <c r="G142" s="120">
        <f>D142*E142</f>
        <v>0</v>
      </c>
      <c r="H142" s="119">
        <f t="shared" si="27"/>
        <v>0</v>
      </c>
    </row>
    <row r="143" spans="1:8" ht="18" x14ac:dyDescent="0.3">
      <c r="B143" s="197" t="s">
        <v>736</v>
      </c>
      <c r="C143" s="199" t="s">
        <v>277</v>
      </c>
      <c r="E143" s="199" t="s">
        <v>292</v>
      </c>
      <c r="G143" s="878" t="s">
        <v>268</v>
      </c>
      <c r="H143" s="878" t="s">
        <v>703</v>
      </c>
    </row>
    <row r="144" spans="1:8" ht="20" x14ac:dyDescent="0.4">
      <c r="B144" s="198">
        <f>$J$56</f>
        <v>0</v>
      </c>
      <c r="C144" s="198">
        <f>E144+G144</f>
        <v>0</v>
      </c>
      <c r="D144" s="930"/>
      <c r="E144" s="198">
        <f>$D$56*$S$44</f>
        <v>0</v>
      </c>
      <c r="F144" s="930"/>
      <c r="G144" s="198">
        <f>$D$56*$T$44</f>
        <v>0</v>
      </c>
      <c r="H144" s="198">
        <f>B144+E144</f>
        <v>0</v>
      </c>
    </row>
  </sheetData>
  <mergeCells count="12">
    <mergeCell ref="B126:H126"/>
    <mergeCell ref="B127:H127"/>
    <mergeCell ref="B63:H63"/>
    <mergeCell ref="AE2:AE3"/>
    <mergeCell ref="B106:H106"/>
    <mergeCell ref="B84:H84"/>
    <mergeCell ref="R26:U26"/>
    <mergeCell ref="R25:U25"/>
    <mergeCell ref="B64:H64"/>
    <mergeCell ref="B83:H83"/>
    <mergeCell ref="B2:H3"/>
    <mergeCell ref="B105:H105"/>
  </mergeCells>
  <phoneticPr fontId="67" type="noConversion"/>
  <printOptions horizontalCentered="1"/>
  <pageMargins left="0.5" right="0.5" top="1" bottom="0.5" header="0.3" footer="0.511811023622047"/>
  <pageSetup paperSize="9" scale="32" orientation="portrait"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2E75B6"/>
    <pageSetUpPr fitToPage="1"/>
  </sheetPr>
  <dimension ref="A1:AT101"/>
  <sheetViews>
    <sheetView topLeftCell="P18" zoomScale="87" zoomScaleNormal="70" workbookViewId="0">
      <selection activeCell="R26" sqref="R26:U26"/>
    </sheetView>
  </sheetViews>
  <sheetFormatPr defaultColWidth="12.5" defaultRowHeight="14" x14ac:dyDescent="0.3"/>
  <cols>
    <col min="1" max="1" width="12.5" style="78" customWidth="1"/>
    <col min="2" max="2" width="32.3320312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5.58203125" style="14" customWidth="1"/>
    <col min="15" max="15" width="14.5" style="14" customWidth="1"/>
    <col min="16" max="17" width="12.5" style="14" customWidth="1"/>
    <col min="18" max="18" width="32.58203125" style="14" bestFit="1" customWidth="1"/>
    <col min="19" max="19" width="12.5" style="14" customWidth="1"/>
    <col min="20" max="27" width="12.5" style="14"/>
    <col min="28" max="28" width="13.33203125" style="14" bestFit="1" customWidth="1"/>
    <col min="29" max="30" width="12.5" style="776"/>
    <col min="31" max="35" width="3.33203125" style="14" customWidth="1"/>
    <col min="36" max="36" width="29.6640625" style="14" customWidth="1"/>
    <col min="37" max="16384" width="12.5" style="14"/>
  </cols>
  <sheetData>
    <row r="1" spans="1:46" ht="32.75" customHeight="1" x14ac:dyDescent="0.3">
      <c r="B1" s="79" t="s">
        <v>235</v>
      </c>
      <c r="C1" s="80">
        <v>1000</v>
      </c>
      <c r="D1" s="81" t="s">
        <v>236</v>
      </c>
      <c r="E1" s="116">
        <f>T32</f>
        <v>14515</v>
      </c>
      <c r="F1" s="79" t="s">
        <v>237</v>
      </c>
      <c r="G1" s="80">
        <f>E1/C1</f>
        <v>14.515000000000001</v>
      </c>
      <c r="H1" s="79" t="s">
        <v>238</v>
      </c>
      <c r="I1" s="282">
        <f>(G1/K1)</f>
        <v>14.515000000000001</v>
      </c>
      <c r="J1" s="85" t="s">
        <v>239</v>
      </c>
      <c r="K1" s="395">
        <v>1</v>
      </c>
      <c r="L1" s="99"/>
      <c r="M1" s="88"/>
      <c r="N1" s="89"/>
      <c r="O1" s="90" t="s">
        <v>240</v>
      </c>
      <c r="P1" s="91" t="s">
        <v>293</v>
      </c>
      <c r="Q1" s="92" t="s">
        <v>242</v>
      </c>
      <c r="R1" s="91">
        <v>0.54</v>
      </c>
      <c r="Y1" s="90" t="s">
        <v>463</v>
      </c>
      <c r="Z1" s="835">
        <v>45050</v>
      </c>
      <c r="AA1" s="90" t="s">
        <v>578</v>
      </c>
      <c r="AB1" s="835">
        <v>3000</v>
      </c>
      <c r="AC1" s="90" t="s">
        <v>567</v>
      </c>
      <c r="AD1" s="835">
        <v>301</v>
      </c>
      <c r="AI1" s="1"/>
      <c r="AJ1" s="93" t="s">
        <v>254</v>
      </c>
      <c r="AK1" s="93">
        <v>10000</v>
      </c>
      <c r="AL1" s="623" t="s">
        <v>523</v>
      </c>
      <c r="AM1" s="624">
        <f>$S$32</f>
        <v>48050</v>
      </c>
      <c r="AN1" s="93" t="s">
        <v>243</v>
      </c>
      <c r="AO1" s="328">
        <f>(($S$32)/$R$1)/$AK$1</f>
        <v>8.898148148148147</v>
      </c>
      <c r="AP1" s="94"/>
      <c r="AQ1" s="132"/>
      <c r="AR1" s="132"/>
      <c r="AS1" s="132"/>
      <c r="AT1" s="132"/>
    </row>
    <row r="2" spans="1:46" ht="12.75" customHeight="1" x14ac:dyDescent="0.3">
      <c r="A2" s="96"/>
      <c r="B2" s="1450" t="s">
        <v>860</v>
      </c>
      <c r="C2" s="1460"/>
      <c r="D2" s="1460"/>
      <c r="E2" s="1460"/>
      <c r="F2" s="1460"/>
      <c r="G2" s="1460"/>
      <c r="H2" s="1460"/>
      <c r="I2" s="1460"/>
      <c r="J2" s="1460"/>
      <c r="K2" s="396"/>
      <c r="L2" s="396"/>
      <c r="M2" s="99"/>
      <c r="N2" s="99"/>
      <c r="O2" s="99"/>
      <c r="P2" s="99"/>
      <c r="Q2" s="99"/>
      <c r="R2" s="99"/>
      <c r="AC2" s="14"/>
      <c r="AD2" s="14"/>
      <c r="AI2" s="1"/>
      <c r="AJ2" s="100"/>
      <c r="AK2" s="1442" t="s">
        <v>861</v>
      </c>
      <c r="AL2" s="1442"/>
      <c r="AM2" s="1442"/>
      <c r="AN2" s="101"/>
      <c r="AO2" s="100"/>
      <c r="AP2" s="100"/>
      <c r="AQ2"/>
      <c r="AR2"/>
      <c r="AS2"/>
      <c r="AT2"/>
    </row>
    <row r="3" spans="1:46" ht="12.75" customHeight="1" x14ac:dyDescent="0.3">
      <c r="A3" s="96"/>
      <c r="B3" s="1444"/>
      <c r="C3" s="1444"/>
      <c r="D3" s="1444"/>
      <c r="E3" s="1444"/>
      <c r="F3" s="1444"/>
      <c r="G3" s="1444"/>
      <c r="H3" s="1444"/>
      <c r="I3" s="1444"/>
      <c r="J3" s="1444"/>
      <c r="K3" s="396"/>
      <c r="L3" s="396"/>
      <c r="M3" s="99"/>
      <c r="N3" s="99"/>
      <c r="O3" s="99"/>
      <c r="P3" s="99"/>
      <c r="Q3" s="99"/>
      <c r="R3" s="99"/>
      <c r="AC3" s="14"/>
      <c r="AD3" s="14"/>
      <c r="AI3" s="1"/>
      <c r="AJ3" s="103"/>
      <c r="AK3" s="103"/>
      <c r="AL3" s="104"/>
      <c r="AM3" s="104"/>
      <c r="AN3" s="104"/>
      <c r="AO3" s="103"/>
      <c r="AP3" s="103"/>
      <c r="AQ3"/>
      <c r="AR3"/>
      <c r="AS3"/>
      <c r="AT3"/>
    </row>
    <row r="4" spans="1:46" ht="35.25" customHeight="1" x14ac:dyDescent="0.3">
      <c r="A4" s="90" t="s">
        <v>1</v>
      </c>
      <c r="B4" s="90" t="s">
        <v>245</v>
      </c>
      <c r="C4" s="106" t="s">
        <v>246</v>
      </c>
      <c r="D4" s="90" t="s">
        <v>235</v>
      </c>
      <c r="E4" s="107" t="s">
        <v>238</v>
      </c>
      <c r="F4" s="107" t="s">
        <v>247</v>
      </c>
      <c r="G4" s="90" t="s">
        <v>248</v>
      </c>
      <c r="H4" s="108" t="s">
        <v>249</v>
      </c>
      <c r="I4" s="90" t="s">
        <v>250</v>
      </c>
      <c r="J4" s="90" t="s">
        <v>251</v>
      </c>
      <c r="K4" s="90" t="s">
        <v>252</v>
      </c>
      <c r="L4" s="90" t="s">
        <v>253</v>
      </c>
      <c r="O4" s="99"/>
      <c r="P4" s="99"/>
      <c r="AA4" s="250"/>
      <c r="AC4" s="250"/>
      <c r="AD4" s="252"/>
      <c r="AE4" s="250"/>
      <c r="AF4" s="252"/>
      <c r="AI4" s="1"/>
      <c r="AJ4" s="109" t="s">
        <v>245</v>
      </c>
      <c r="AK4" s="110" t="s">
        <v>246</v>
      </c>
      <c r="AL4" s="109" t="s">
        <v>254</v>
      </c>
      <c r="AM4" s="109" t="s">
        <v>238</v>
      </c>
      <c r="AN4" s="109" t="s">
        <v>247</v>
      </c>
      <c r="AO4" s="109" t="s">
        <v>248</v>
      </c>
      <c r="AP4" s="111" t="s">
        <v>249</v>
      </c>
      <c r="AQ4" s="90" t="s">
        <v>250</v>
      </c>
      <c r="AR4" s="90" t="s">
        <v>251</v>
      </c>
      <c r="AS4" s="90" t="s">
        <v>252</v>
      </c>
      <c r="AT4" s="90" t="s">
        <v>253</v>
      </c>
    </row>
    <row r="5" spans="1:46" ht="14.25" customHeight="1" x14ac:dyDescent="0.3">
      <c r="A5" s="265" t="s">
        <v>225</v>
      </c>
      <c r="B5" s="221" t="s">
        <v>229</v>
      </c>
      <c r="C5" s="114" t="s">
        <v>14</v>
      </c>
      <c r="D5" s="120">
        <f>I51/10</f>
        <v>12345.740740740741</v>
      </c>
      <c r="E5" s="365">
        <f>H52</f>
        <v>7.207463962680186</v>
      </c>
      <c r="F5" s="126">
        <v>1</v>
      </c>
      <c r="G5" s="118">
        <f t="shared" ref="G5:G17" si="0">D5*E5</f>
        <v>88981.481481481474</v>
      </c>
      <c r="H5" s="119">
        <f>G5*F5</f>
        <v>88981.481481481474</v>
      </c>
      <c r="I5" s="80">
        <f>VLOOKUP(B5,All_Ingredients!$A$1:$F$149,6,FALSE())</f>
        <v>0.47</v>
      </c>
      <c r="J5" s="118">
        <f>VLOOKUP(B5,All_Ingredients!$A$1:$J$149,10,FALSE())</f>
        <v>12</v>
      </c>
      <c r="K5" s="121">
        <f>(H5/I5)/1000</f>
        <v>189.3223010244287</v>
      </c>
      <c r="L5" s="121">
        <f>K5*J5</f>
        <v>2271.8676122931442</v>
      </c>
      <c r="O5" s="99"/>
      <c r="P5" s="99"/>
      <c r="AA5" s="91"/>
      <c r="AC5" s="91"/>
      <c r="AD5" s="132"/>
      <c r="AE5" s="91"/>
      <c r="AF5" s="132"/>
      <c r="AI5" s="1"/>
      <c r="AJ5" s="268" t="s">
        <v>229</v>
      </c>
      <c r="AK5" s="123" t="s">
        <v>231</v>
      </c>
      <c r="AL5" s="123">
        <v>10</v>
      </c>
      <c r="AM5" s="84">
        <f>$AO$1</f>
        <v>8.898148148148147</v>
      </c>
      <c r="AN5" s="126">
        <v>1</v>
      </c>
      <c r="AO5" s="118">
        <f>AL5*AM5</f>
        <v>88.981481481481467</v>
      </c>
      <c r="AP5" s="119">
        <f>AN5*AO5</f>
        <v>88.981481481481467</v>
      </c>
      <c r="AQ5" s="294"/>
      <c r="AR5" s="1152"/>
      <c r="AS5" s="174"/>
      <c r="AT5" s="1153"/>
    </row>
    <row r="6" spans="1:46" ht="14.25" customHeight="1" x14ac:dyDescent="0.3">
      <c r="A6" s="127" t="s">
        <v>13</v>
      </c>
      <c r="B6" s="221" t="s">
        <v>12</v>
      </c>
      <c r="C6" s="123" t="s">
        <v>14</v>
      </c>
      <c r="D6" s="124">
        <v>500</v>
      </c>
      <c r="E6" s="196">
        <f t="shared" ref="E6:E17" si="1">$I$1</f>
        <v>14.515000000000001</v>
      </c>
      <c r="F6" s="126">
        <v>0.95</v>
      </c>
      <c r="G6" s="118">
        <f t="shared" si="0"/>
        <v>7257.5</v>
      </c>
      <c r="H6" s="119">
        <f t="shared" ref="H6:H17" si="2">G6*F6</f>
        <v>6894.625</v>
      </c>
      <c r="I6" s="80">
        <f>VLOOKUP(B6,All_Ingredients!$A$1:$F$149,6,FALSE())</f>
        <v>0.9</v>
      </c>
      <c r="J6" s="118">
        <f>VLOOKUP(B6,All_Ingredients!$A$1:$J$149,10,FALSE())</f>
        <v>3</v>
      </c>
      <c r="K6" s="121">
        <f t="shared" ref="K6:K17" si="3">(H6/I6)/1000</f>
        <v>7.6606944444444443</v>
      </c>
      <c r="L6" s="121">
        <f t="shared" ref="L6:L17" si="4">K6*J6</f>
        <v>22.982083333333332</v>
      </c>
      <c r="AC6" s="14"/>
      <c r="AD6" s="14"/>
      <c r="AI6" s="1" t="s">
        <v>56</v>
      </c>
      <c r="AJ6" s="268" t="s">
        <v>55</v>
      </c>
      <c r="AK6" s="123" t="s">
        <v>14</v>
      </c>
      <c r="AL6" s="123">
        <v>200</v>
      </c>
      <c r="AM6" s="84">
        <f t="shared" ref="AM6:AM13" si="5">$AO$1</f>
        <v>8.898148148148147</v>
      </c>
      <c r="AN6" s="126">
        <v>1</v>
      </c>
      <c r="AO6" s="118">
        <f t="shared" ref="AO6:AO13" si="6">AL6*AM6</f>
        <v>1779.6296296296293</v>
      </c>
      <c r="AP6" s="119">
        <f t="shared" ref="AP6:AP13" si="7">AN6*AO6</f>
        <v>1779.6296296296293</v>
      </c>
      <c r="AQ6" s="1153">
        <f>VLOOKUP(AJ6,Marination_Ordering!$A:$J,6,FALSE)</f>
        <v>0.87</v>
      </c>
      <c r="AR6" s="1153">
        <f>VLOOKUP(AJ6,Marination_Ordering!$A:$J,10,FALSE)</f>
        <v>3.2</v>
      </c>
      <c r="AS6" s="174">
        <f>AP6/AQ6</f>
        <v>2045.5512984248612</v>
      </c>
      <c r="AT6" s="1153">
        <f>AR6*(AS6/1000)</f>
        <v>6.5457641549595564</v>
      </c>
    </row>
    <row r="7" spans="1:46" ht="14.25" customHeight="1" x14ac:dyDescent="0.3">
      <c r="A7" s="127" t="s">
        <v>13</v>
      </c>
      <c r="B7" s="221" t="s">
        <v>762</v>
      </c>
      <c r="C7" s="123" t="s">
        <v>14</v>
      </c>
      <c r="D7" s="124">
        <v>40</v>
      </c>
      <c r="E7" s="196">
        <f t="shared" si="1"/>
        <v>14.515000000000001</v>
      </c>
      <c r="F7" s="126">
        <v>1</v>
      </c>
      <c r="G7" s="118">
        <f t="shared" si="0"/>
        <v>580.6</v>
      </c>
      <c r="H7" s="119">
        <f t="shared" si="2"/>
        <v>580.6</v>
      </c>
      <c r="I7" s="80">
        <f>VLOOKUP(B7,All_Ingredients!$A$1:$F$149,6,FALSE())</f>
        <v>1</v>
      </c>
      <c r="J7" s="118">
        <f>VLOOKUP(B7,All_Ingredients!$A$1:$J$149,10,FALSE())</f>
        <v>10.5</v>
      </c>
      <c r="K7" s="121">
        <f t="shared" si="3"/>
        <v>0.5806</v>
      </c>
      <c r="L7" s="121">
        <f t="shared" si="4"/>
        <v>6.0963000000000003</v>
      </c>
      <c r="AC7" s="14"/>
      <c r="AD7" s="14"/>
      <c r="AI7" s="1" t="s">
        <v>13</v>
      </c>
      <c r="AJ7" s="271" t="s">
        <v>762</v>
      </c>
      <c r="AK7" s="123" t="s">
        <v>14</v>
      </c>
      <c r="AL7" s="123">
        <v>150</v>
      </c>
      <c r="AM7" s="84">
        <f t="shared" si="5"/>
        <v>8.898148148148147</v>
      </c>
      <c r="AN7" s="126">
        <v>1</v>
      </c>
      <c r="AO7" s="118">
        <f t="shared" si="6"/>
        <v>1334.7222222222219</v>
      </c>
      <c r="AP7" s="119">
        <f t="shared" si="7"/>
        <v>1334.7222222222219</v>
      </c>
      <c r="AQ7" s="1153">
        <f>VLOOKUP(AJ7,Marination_Ordering!$A:$J,6,FALSE)</f>
        <v>1</v>
      </c>
      <c r="AR7" s="1153">
        <f>VLOOKUP(AJ7,Marination_Ordering!$A:$J,10,FALSE)</f>
        <v>10.5</v>
      </c>
      <c r="AS7" s="174">
        <f t="shared" ref="AS7:AS13" si="8">AP7/AQ7</f>
        <v>1334.7222222222219</v>
      </c>
      <c r="AT7" s="1153">
        <f t="shared" ref="AT7:AT13" si="9">AR7*(AS7/1000)</f>
        <v>14.014583333333331</v>
      </c>
    </row>
    <row r="8" spans="1:46" ht="14.25" customHeight="1" x14ac:dyDescent="0.3">
      <c r="A8" s="127" t="s">
        <v>95</v>
      </c>
      <c r="B8" s="221" t="s">
        <v>111</v>
      </c>
      <c r="C8" s="123" t="s">
        <v>14</v>
      </c>
      <c r="D8" s="124">
        <v>11</v>
      </c>
      <c r="E8" s="196">
        <f t="shared" si="1"/>
        <v>14.515000000000001</v>
      </c>
      <c r="F8" s="126">
        <v>0.75</v>
      </c>
      <c r="G8" s="118">
        <f t="shared" si="0"/>
        <v>159.66500000000002</v>
      </c>
      <c r="H8" s="119">
        <f t="shared" si="2"/>
        <v>119.74875000000002</v>
      </c>
      <c r="I8" s="80">
        <f>VLOOKUP(B8,All_Ingredients!$A$1:$F$149,6,FALSE())</f>
        <v>1</v>
      </c>
      <c r="J8" s="118">
        <f>VLOOKUP(B8,All_Ingredients!$A$1:$J$149,10,FALSE())</f>
        <v>64.243759177679877</v>
      </c>
      <c r="K8" s="121">
        <f t="shared" si="3"/>
        <v>0.11974875000000001</v>
      </c>
      <c r="L8" s="121">
        <f t="shared" si="4"/>
        <v>7.6931098568281939</v>
      </c>
      <c r="AC8" s="14"/>
      <c r="AD8" s="14"/>
      <c r="AI8" s="1" t="s">
        <v>206</v>
      </c>
      <c r="AJ8" s="268" t="s">
        <v>214</v>
      </c>
      <c r="AK8" s="123" t="s">
        <v>161</v>
      </c>
      <c r="AL8" s="123">
        <v>450</v>
      </c>
      <c r="AM8" s="84">
        <f t="shared" si="5"/>
        <v>8.898148148148147</v>
      </c>
      <c r="AN8" s="126">
        <v>1</v>
      </c>
      <c r="AO8" s="118">
        <f t="shared" si="6"/>
        <v>4004.1666666666661</v>
      </c>
      <c r="AP8" s="119">
        <f t="shared" si="7"/>
        <v>4004.1666666666661</v>
      </c>
      <c r="AQ8" s="1153">
        <f>VLOOKUP(AJ8,Marination_Ordering!$A:$J,6,FALSE)</f>
        <v>1</v>
      </c>
      <c r="AR8" s="1153">
        <f>VLOOKUP(AJ8,Marination_Ordering!$A:$J,10,FALSE)</f>
        <v>5</v>
      </c>
      <c r="AS8" s="174">
        <f t="shared" si="8"/>
        <v>4004.1666666666661</v>
      </c>
      <c r="AT8" s="1153">
        <f t="shared" si="9"/>
        <v>20.020833333333332</v>
      </c>
    </row>
    <row r="9" spans="1:46" ht="14.25" customHeight="1" x14ac:dyDescent="0.3">
      <c r="A9" s="127" t="s">
        <v>192</v>
      </c>
      <c r="B9" s="221" t="s">
        <v>731</v>
      </c>
      <c r="C9" s="123" t="s">
        <v>14</v>
      </c>
      <c r="D9" s="124">
        <v>100</v>
      </c>
      <c r="E9" s="196">
        <f t="shared" si="1"/>
        <v>14.515000000000001</v>
      </c>
      <c r="F9" s="126">
        <v>1</v>
      </c>
      <c r="G9" s="118">
        <f t="shared" si="0"/>
        <v>1451.5</v>
      </c>
      <c r="H9" s="119">
        <f t="shared" si="2"/>
        <v>1451.5</v>
      </c>
      <c r="I9" s="80">
        <f>VLOOKUP(B9,All_Ingredients!$A$1:$F$149,6,FALSE())</f>
        <v>1</v>
      </c>
      <c r="J9" s="118">
        <f>VLOOKUP(B9,All_Ingredients!$A$1:$J$149,10,FALSE())</f>
        <v>8.1520833333333336</v>
      </c>
      <c r="K9" s="121">
        <f t="shared" si="3"/>
        <v>1.4515</v>
      </c>
      <c r="L9" s="121">
        <f t="shared" si="4"/>
        <v>11.832748958333333</v>
      </c>
      <c r="AC9" s="14"/>
      <c r="AD9" s="14"/>
      <c r="AI9" s="1" t="s">
        <v>206</v>
      </c>
      <c r="AJ9" s="268" t="s">
        <v>210</v>
      </c>
      <c r="AK9" s="123" t="s">
        <v>161</v>
      </c>
      <c r="AL9" s="123">
        <v>100</v>
      </c>
      <c r="AM9" s="84">
        <f t="shared" si="5"/>
        <v>8.898148148148147</v>
      </c>
      <c r="AN9" s="126">
        <v>1</v>
      </c>
      <c r="AO9" s="118">
        <f t="shared" si="6"/>
        <v>889.81481481481467</v>
      </c>
      <c r="AP9" s="119">
        <f t="shared" si="7"/>
        <v>889.81481481481467</v>
      </c>
      <c r="AQ9" s="1153">
        <f>VLOOKUP(AJ9,Marination_Ordering!$A:$J,6,FALSE)</f>
        <v>1</v>
      </c>
      <c r="AR9" s="1153">
        <f>VLOOKUP(AJ9,Marination_Ordering!$A:$J,10,FALSE)</f>
        <v>2.1621621621621623</v>
      </c>
      <c r="AS9" s="174">
        <f t="shared" si="8"/>
        <v>889.81481481481467</v>
      </c>
      <c r="AT9" s="1153">
        <f t="shared" si="9"/>
        <v>1.9239239239239236</v>
      </c>
    </row>
    <row r="10" spans="1:46" ht="14.25" customHeight="1" x14ac:dyDescent="0.3">
      <c r="A10" s="127" t="s">
        <v>95</v>
      </c>
      <c r="B10" s="221" t="s">
        <v>140</v>
      </c>
      <c r="C10" s="123" t="s">
        <v>14</v>
      </c>
      <c r="D10" s="124">
        <v>15</v>
      </c>
      <c r="E10" s="196">
        <f t="shared" si="1"/>
        <v>14.515000000000001</v>
      </c>
      <c r="F10" s="126">
        <v>1</v>
      </c>
      <c r="G10" s="118">
        <f t="shared" si="0"/>
        <v>217.72500000000002</v>
      </c>
      <c r="H10" s="119">
        <f t="shared" si="2"/>
        <v>217.72500000000002</v>
      </c>
      <c r="I10" s="80">
        <f>VLOOKUP(B10,All_Ingredients!$A$1:$F$149,6,FALSE())</f>
        <v>1</v>
      </c>
      <c r="J10" s="118">
        <f>VLOOKUP(B10,All_Ingredients!$A$1:$J$149,10,FALSE())</f>
        <v>15.277777777777779</v>
      </c>
      <c r="K10" s="121">
        <f t="shared" si="3"/>
        <v>0.21772500000000003</v>
      </c>
      <c r="L10" s="121">
        <f t="shared" si="4"/>
        <v>3.3263541666666674</v>
      </c>
      <c r="AC10" s="14"/>
      <c r="AD10" s="14"/>
      <c r="AI10" s="1" t="s">
        <v>95</v>
      </c>
      <c r="AJ10" s="268" t="s">
        <v>94</v>
      </c>
      <c r="AK10" s="123" t="s">
        <v>14</v>
      </c>
      <c r="AL10" s="123">
        <v>2</v>
      </c>
      <c r="AM10" s="84">
        <f t="shared" si="5"/>
        <v>8.898148148148147</v>
      </c>
      <c r="AN10" s="126">
        <v>1</v>
      </c>
      <c r="AO10" s="118">
        <f t="shared" si="6"/>
        <v>17.796296296296294</v>
      </c>
      <c r="AP10" s="119">
        <f t="shared" si="7"/>
        <v>17.796296296296294</v>
      </c>
      <c r="AQ10" s="1153">
        <f>VLOOKUP(AJ10,Marination_Ordering!$A:$J,6,FALSE)</f>
        <v>1</v>
      </c>
      <c r="AR10" s="1153">
        <f>VLOOKUP(AJ10,Marination_Ordering!$A:$J,10,FALSE)</f>
        <v>0.74</v>
      </c>
      <c r="AS10" s="174">
        <f t="shared" si="8"/>
        <v>17.796296296296294</v>
      </c>
      <c r="AT10" s="1153">
        <f t="shared" si="9"/>
        <v>1.3169259259259257E-2</v>
      </c>
    </row>
    <row r="11" spans="1:46" ht="14.25" customHeight="1" x14ac:dyDescent="0.3">
      <c r="A11" s="127" t="s">
        <v>182</v>
      </c>
      <c r="B11" s="221" t="s">
        <v>185</v>
      </c>
      <c r="C11" s="123" t="s">
        <v>14</v>
      </c>
      <c r="D11" s="124">
        <v>50</v>
      </c>
      <c r="E11" s="196">
        <f t="shared" si="1"/>
        <v>14.515000000000001</v>
      </c>
      <c r="F11" s="126">
        <v>1</v>
      </c>
      <c r="G11" s="118">
        <f t="shared" si="0"/>
        <v>725.75</v>
      </c>
      <c r="H11" s="119">
        <f t="shared" si="2"/>
        <v>725.75</v>
      </c>
      <c r="I11" s="80">
        <f>VLOOKUP(B11,All_Ingredients!$A$1:$F$149,6,FALSE())</f>
        <v>1</v>
      </c>
      <c r="J11" s="118">
        <f>VLOOKUP(B11,All_Ingredients!$A$1:$J$149,10,FALSE())</f>
        <v>17</v>
      </c>
      <c r="K11" s="121">
        <f t="shared" si="3"/>
        <v>0.72575000000000001</v>
      </c>
      <c r="L11" s="121">
        <f t="shared" si="4"/>
        <v>12.33775</v>
      </c>
      <c r="AC11" s="14"/>
      <c r="AD11" s="14"/>
      <c r="AI11" s="1" t="s">
        <v>95</v>
      </c>
      <c r="AJ11" s="268" t="s">
        <v>100</v>
      </c>
      <c r="AK11" s="123" t="s">
        <v>14</v>
      </c>
      <c r="AL11" s="123">
        <v>4</v>
      </c>
      <c r="AM11" s="84">
        <f t="shared" si="5"/>
        <v>8.898148148148147</v>
      </c>
      <c r="AN11" s="126">
        <v>1</v>
      </c>
      <c r="AO11" s="118">
        <f t="shared" si="6"/>
        <v>35.592592592592588</v>
      </c>
      <c r="AP11" s="119">
        <f t="shared" si="7"/>
        <v>35.592592592592588</v>
      </c>
      <c r="AQ11" s="1153">
        <f>VLOOKUP(AJ11,Marination_Ordering!$A:$J,6,FALSE)</f>
        <v>1</v>
      </c>
      <c r="AR11" s="1153">
        <f>VLOOKUP(AJ11,Marination_Ordering!$A:$J,10,FALSE)</f>
        <v>31</v>
      </c>
      <c r="AS11" s="174">
        <f t="shared" si="8"/>
        <v>35.592592592592588</v>
      </c>
      <c r="AT11" s="1153">
        <f t="shared" si="9"/>
        <v>1.1033703703703701</v>
      </c>
    </row>
    <row r="12" spans="1:46" ht="14.25" customHeight="1" x14ac:dyDescent="0.3">
      <c r="A12" s="127" t="s">
        <v>154</v>
      </c>
      <c r="B12" s="221" t="s">
        <v>167</v>
      </c>
      <c r="C12" s="123" t="s">
        <v>161</v>
      </c>
      <c r="D12" s="124">
        <v>600</v>
      </c>
      <c r="E12" s="196">
        <f t="shared" si="1"/>
        <v>14.515000000000001</v>
      </c>
      <c r="F12" s="126">
        <v>1</v>
      </c>
      <c r="G12" s="118">
        <f t="shared" si="0"/>
        <v>8709</v>
      </c>
      <c r="H12" s="119">
        <f t="shared" si="2"/>
        <v>8709</v>
      </c>
      <c r="I12" s="80">
        <f>VLOOKUP(B12,All_Ingredients!$A$1:$F$149,6,FALSE())</f>
        <v>1</v>
      </c>
      <c r="J12" s="118">
        <f>VLOOKUP(B12,All_Ingredients!$A$1:$J$149,10,FALSE())</f>
        <v>12.666666666666666</v>
      </c>
      <c r="K12" s="121">
        <f t="shared" si="3"/>
        <v>8.7089999999999996</v>
      </c>
      <c r="L12" s="121">
        <f t="shared" si="4"/>
        <v>110.31399999999999</v>
      </c>
      <c r="AC12" s="14"/>
      <c r="AD12" s="14"/>
      <c r="AI12" s="1" t="s">
        <v>95</v>
      </c>
      <c r="AJ12" s="268" t="s">
        <v>106</v>
      </c>
      <c r="AK12" s="123" t="s">
        <v>14</v>
      </c>
      <c r="AL12" s="123">
        <v>35</v>
      </c>
      <c r="AM12" s="84">
        <f t="shared" si="5"/>
        <v>8.898148148148147</v>
      </c>
      <c r="AN12" s="126">
        <v>1</v>
      </c>
      <c r="AO12" s="118">
        <f t="shared" si="6"/>
        <v>311.43518518518516</v>
      </c>
      <c r="AP12" s="119">
        <f t="shared" si="7"/>
        <v>311.43518518518516</v>
      </c>
      <c r="AQ12" s="1153">
        <f>VLOOKUP(AJ12,Marination_Ordering!$A:$J,6,FALSE)</f>
        <v>1</v>
      </c>
      <c r="AR12" s="1153">
        <f>VLOOKUP(AJ12,Marination_Ordering!$A:$J,10,FALSE)</f>
        <v>15</v>
      </c>
      <c r="AS12" s="174">
        <f t="shared" si="8"/>
        <v>311.43518518518516</v>
      </c>
      <c r="AT12" s="1153">
        <f t="shared" si="9"/>
        <v>4.6715277777777775</v>
      </c>
    </row>
    <row r="13" spans="1:46" ht="14.25" customHeight="1" x14ac:dyDescent="0.3">
      <c r="A13" s="127" t="s">
        <v>95</v>
      </c>
      <c r="B13" s="221" t="s">
        <v>94</v>
      </c>
      <c r="C13" s="123" t="s">
        <v>14</v>
      </c>
      <c r="D13" s="124">
        <v>6</v>
      </c>
      <c r="E13" s="196">
        <f t="shared" si="1"/>
        <v>14.515000000000001</v>
      </c>
      <c r="F13" s="126">
        <v>0.75</v>
      </c>
      <c r="G13" s="118">
        <f t="shared" si="0"/>
        <v>87.09</v>
      </c>
      <c r="H13" s="119">
        <f t="shared" si="2"/>
        <v>65.317499999999995</v>
      </c>
      <c r="I13" s="80">
        <f>VLOOKUP(B13,All_Ingredients!$A$1:$F$149,6,FALSE())</f>
        <v>1</v>
      </c>
      <c r="J13" s="118">
        <f>VLOOKUP(B13,All_Ingredients!$A$1:$J$149,10,FALSE())</f>
        <v>0.74</v>
      </c>
      <c r="K13" s="121">
        <f t="shared" si="3"/>
        <v>6.5317500000000001E-2</v>
      </c>
      <c r="L13" s="121">
        <f t="shared" si="4"/>
        <v>4.8334950000000002E-2</v>
      </c>
      <c r="AC13" s="14"/>
      <c r="AD13" s="14"/>
      <c r="AI13" s="1" t="s">
        <v>192</v>
      </c>
      <c r="AJ13" s="268" t="s">
        <v>204</v>
      </c>
      <c r="AK13" s="123" t="s">
        <v>14</v>
      </c>
      <c r="AL13" s="123">
        <v>250</v>
      </c>
      <c r="AM13" s="84">
        <f t="shared" si="5"/>
        <v>8.898148148148147</v>
      </c>
      <c r="AN13" s="126">
        <v>1</v>
      </c>
      <c r="AO13" s="118">
        <f t="shared" si="6"/>
        <v>2224.537037037037</v>
      </c>
      <c r="AP13" s="119">
        <f t="shared" si="7"/>
        <v>2224.537037037037</v>
      </c>
      <c r="AQ13" s="1153">
        <f>VLOOKUP(AJ13,Marination_Ordering!$A:$J,6,FALSE)</f>
        <v>1</v>
      </c>
      <c r="AR13" s="1153">
        <f>VLOOKUP(AJ13,Marination_Ordering!$A:$J,10,FALSE)</f>
        <v>11.243386243386244</v>
      </c>
      <c r="AS13" s="174">
        <f t="shared" si="8"/>
        <v>2224.537037037037</v>
      </c>
      <c r="AT13" s="1153">
        <f t="shared" si="9"/>
        <v>25.011329120125414</v>
      </c>
    </row>
    <row r="14" spans="1:46" ht="14.25" customHeight="1" x14ac:dyDescent="0.3">
      <c r="A14" s="127" t="s">
        <v>95</v>
      </c>
      <c r="B14" s="221" t="s">
        <v>100</v>
      </c>
      <c r="C14" s="123" t="s">
        <v>14</v>
      </c>
      <c r="D14" s="124">
        <v>8</v>
      </c>
      <c r="E14" s="196">
        <f t="shared" si="1"/>
        <v>14.515000000000001</v>
      </c>
      <c r="F14" s="126">
        <v>0.75</v>
      </c>
      <c r="G14" s="118">
        <f t="shared" si="0"/>
        <v>116.12</v>
      </c>
      <c r="H14" s="119">
        <f t="shared" si="2"/>
        <v>87.09</v>
      </c>
      <c r="I14" s="80">
        <f>VLOOKUP(B14,All_Ingredients!$A$1:$F$149,6,FALSE())</f>
        <v>1</v>
      </c>
      <c r="J14" s="118">
        <f>VLOOKUP(B14,All_Ingredients!$A$1:$J$149,10,FALSE())</f>
        <v>31</v>
      </c>
      <c r="K14" s="121">
        <f t="shared" si="3"/>
        <v>8.7090000000000001E-2</v>
      </c>
      <c r="L14" s="121">
        <f t="shared" si="4"/>
        <v>2.6997900000000001</v>
      </c>
      <c r="AC14" s="14"/>
      <c r="AD14" s="14"/>
    </row>
    <row r="15" spans="1:46" ht="14.25" customHeight="1" x14ac:dyDescent="0.3">
      <c r="A15" s="127" t="s">
        <v>188</v>
      </c>
      <c r="B15" s="221" t="s">
        <v>189</v>
      </c>
      <c r="C15" s="123" t="s">
        <v>14</v>
      </c>
      <c r="D15" s="124">
        <v>90</v>
      </c>
      <c r="E15" s="196">
        <f t="shared" si="1"/>
        <v>14.515000000000001</v>
      </c>
      <c r="F15" s="126">
        <v>1</v>
      </c>
      <c r="G15" s="118">
        <f t="shared" si="0"/>
        <v>1306.3500000000001</v>
      </c>
      <c r="H15" s="119">
        <f t="shared" si="2"/>
        <v>1306.3500000000001</v>
      </c>
      <c r="I15" s="80">
        <f>VLOOKUP(B15,All_Ingredients!$A$1:$F$149,6,FALSE())</f>
        <v>0.9</v>
      </c>
      <c r="J15" s="118">
        <f>VLOOKUP(B15,All_Ingredients!$A$1:$J$149,10,FALSE())</f>
        <v>2.3199999999999998</v>
      </c>
      <c r="K15" s="121">
        <f t="shared" si="3"/>
        <v>1.4515000000000002</v>
      </c>
      <c r="L15" s="121">
        <f t="shared" si="4"/>
        <v>3.3674800000000005</v>
      </c>
      <c r="AC15" s="14"/>
      <c r="AD15" s="14"/>
    </row>
    <row r="16" spans="1:46" ht="14.25" customHeight="1" x14ac:dyDescent="0.3">
      <c r="A16" s="127" t="s">
        <v>154</v>
      </c>
      <c r="B16" s="221" t="s">
        <v>153</v>
      </c>
      <c r="C16" s="123" t="s">
        <v>14</v>
      </c>
      <c r="D16" s="124">
        <v>30</v>
      </c>
      <c r="E16" s="196">
        <f t="shared" si="1"/>
        <v>14.515000000000001</v>
      </c>
      <c r="F16" s="126">
        <v>1</v>
      </c>
      <c r="G16" s="118">
        <f t="shared" si="0"/>
        <v>435.45000000000005</v>
      </c>
      <c r="H16" s="119">
        <f t="shared" si="2"/>
        <v>435.45000000000005</v>
      </c>
      <c r="I16" s="80">
        <f>VLOOKUP(B16,All_Ingredients!$A$1:$F$149,6,FALSE())</f>
        <v>1</v>
      </c>
      <c r="J16" s="118">
        <f>VLOOKUP(B16,All_Ingredients!$A$1:$J$149,10,FALSE())</f>
        <v>30</v>
      </c>
      <c r="K16" s="121">
        <f t="shared" si="3"/>
        <v>0.43545000000000006</v>
      </c>
      <c r="L16" s="121">
        <f t="shared" si="4"/>
        <v>13.063500000000001</v>
      </c>
      <c r="AC16" s="14"/>
      <c r="AD16" s="14"/>
    </row>
    <row r="17" spans="1:30" ht="14.25" customHeight="1" x14ac:dyDescent="0.3">
      <c r="A17" s="127" t="s">
        <v>206</v>
      </c>
      <c r="B17" s="221" t="s">
        <v>205</v>
      </c>
      <c r="C17" s="123" t="s">
        <v>161</v>
      </c>
      <c r="D17" s="124">
        <v>500</v>
      </c>
      <c r="E17" s="196">
        <f t="shared" si="1"/>
        <v>14.515000000000001</v>
      </c>
      <c r="F17" s="126">
        <v>0.75</v>
      </c>
      <c r="G17" s="118">
        <f t="shared" si="0"/>
        <v>7257.5</v>
      </c>
      <c r="H17" s="119">
        <f t="shared" si="2"/>
        <v>5443.125</v>
      </c>
      <c r="I17" s="80">
        <f>VLOOKUP(B17,All_Ingredients!$A$1:$F$149,6,FALSE())</f>
        <v>1</v>
      </c>
      <c r="J17" s="118">
        <f>VLOOKUP(B17,All_Ingredients!$A$1:$J$149,10,FALSE())</f>
        <v>0</v>
      </c>
      <c r="K17" s="121">
        <f t="shared" si="3"/>
        <v>5.4431250000000002</v>
      </c>
      <c r="L17" s="121">
        <f t="shared" si="4"/>
        <v>0</v>
      </c>
      <c r="AC17" s="14"/>
      <c r="AD17" s="14"/>
    </row>
    <row r="18" spans="1:30" ht="14.25" customHeight="1" x14ac:dyDescent="0.3">
      <c r="B18" s="99"/>
      <c r="C18" s="170"/>
      <c r="D18" s="170"/>
      <c r="E18" s="99"/>
      <c r="F18" s="99"/>
      <c r="G18" s="170"/>
      <c r="L18" s="296"/>
      <c r="AC18" s="14"/>
      <c r="AD18" s="14"/>
    </row>
    <row r="19" spans="1:30" ht="14.25" customHeight="1" x14ac:dyDescent="0.3">
      <c r="L19" s="296"/>
      <c r="AC19" s="14"/>
      <c r="AD19" s="14"/>
    </row>
    <row r="20" spans="1:30" ht="14.25" customHeight="1" x14ac:dyDescent="0.3">
      <c r="L20" s="296"/>
      <c r="AC20" s="14"/>
      <c r="AD20" s="14"/>
    </row>
    <row r="21" spans="1:30" ht="14.25" customHeight="1" x14ac:dyDescent="0.3">
      <c r="L21" s="296"/>
      <c r="T21" s="14">
        <v>14000</v>
      </c>
      <c r="AC21" s="14"/>
      <c r="AD21" s="14"/>
    </row>
    <row r="22" spans="1:30" ht="14.25" customHeight="1" x14ac:dyDescent="0.3">
      <c r="L22" s="296"/>
      <c r="T22" s="413"/>
      <c r="AC22" s="14"/>
      <c r="AD22" s="14"/>
    </row>
    <row r="23" spans="1:30" ht="14.25" customHeight="1" x14ac:dyDescent="0.3">
      <c r="L23" s="296"/>
      <c r="AC23" s="14"/>
      <c r="AD23" s="14"/>
    </row>
    <row r="24" spans="1:30" ht="14.25" customHeight="1" x14ac:dyDescent="0.3">
      <c r="L24" s="296"/>
      <c r="Z24" s="1208"/>
      <c r="AC24" s="14"/>
      <c r="AD24" s="14"/>
    </row>
    <row r="25" spans="1:30" ht="14.25" customHeight="1" x14ac:dyDescent="0.35">
      <c r="B25" s="99"/>
      <c r="E25" s="99"/>
      <c r="F25" s="99"/>
      <c r="K25" s="99"/>
      <c r="L25" s="296"/>
      <c r="R25" s="1440" t="s">
        <v>861</v>
      </c>
      <c r="S25" s="1444"/>
      <c r="T25" s="1444"/>
      <c r="U25" s="1444"/>
      <c r="Z25" s="140" t="s">
        <v>256</v>
      </c>
      <c r="AA25" s="141">
        <v>1</v>
      </c>
      <c r="AB25" s="140" t="s">
        <v>253</v>
      </c>
      <c r="AC25" s="142">
        <f>AD30*AA25</f>
        <v>4.7304638706568952E-2</v>
      </c>
      <c r="AD25" s="14"/>
    </row>
    <row r="26" spans="1:30" ht="14.25" customHeight="1" x14ac:dyDescent="0.3">
      <c r="B26" s="99"/>
      <c r="E26" s="99"/>
      <c r="F26" s="99"/>
      <c r="L26" s="296"/>
      <c r="Q26"/>
      <c r="R26" s="1459" t="s">
        <v>301</v>
      </c>
      <c r="S26" s="1444"/>
      <c r="T26" s="1444"/>
      <c r="U26" s="1444"/>
      <c r="AC26" s="14"/>
      <c r="AD26" s="14"/>
    </row>
    <row r="27" spans="1:30" ht="14.25" customHeight="1" thickBot="1" x14ac:dyDescent="0.35">
      <c r="Q27"/>
      <c r="R27" s="144" t="s">
        <v>258</v>
      </c>
      <c r="S27" s="145" t="s">
        <v>483</v>
      </c>
      <c r="T27" s="145" t="s">
        <v>260</v>
      </c>
      <c r="U27" s="145" t="s">
        <v>261</v>
      </c>
      <c r="V27" s="145" t="s">
        <v>817</v>
      </c>
      <c r="Z27" s="140" t="s">
        <v>262</v>
      </c>
      <c r="AA27" s="146" t="s">
        <v>263</v>
      </c>
      <c r="AB27" s="146" t="s">
        <v>264</v>
      </c>
      <c r="AC27" s="1167" t="s">
        <v>817</v>
      </c>
      <c r="AD27" s="146" t="s">
        <v>266</v>
      </c>
    </row>
    <row r="28" spans="1:30" ht="32" customHeight="1" thickBot="1" x14ac:dyDescent="0.35">
      <c r="Q28"/>
      <c r="R28" s="147" t="s">
        <v>267</v>
      </c>
      <c r="S28" s="760">
        <f>$Z$1</f>
        <v>45050</v>
      </c>
      <c r="T28" s="303"/>
      <c r="U28" s="754">
        <f>S28/S40</f>
        <v>45050</v>
      </c>
      <c r="V28" s="148">
        <f>H37</f>
        <v>21.07</v>
      </c>
      <c r="Z28" s="150"/>
      <c r="AA28" s="151">
        <f>AA25*$S$40</f>
        <v>1</v>
      </c>
      <c r="AB28" s="151">
        <f>AA25-AA28</f>
        <v>0</v>
      </c>
      <c r="AC28" s="1169"/>
      <c r="AD28" s="153">
        <f>SUM(AA28:AC28)</f>
        <v>1</v>
      </c>
    </row>
    <row r="29" spans="1:30" ht="14.25" customHeight="1" thickBot="1" x14ac:dyDescent="0.35">
      <c r="Q29"/>
      <c r="R29" s="147" t="s">
        <v>268</v>
      </c>
      <c r="S29" s="154"/>
      <c r="T29" s="148">
        <f>S28*0.3</f>
        <v>13515</v>
      </c>
      <c r="U29" s="754">
        <f>T29</f>
        <v>13515</v>
      </c>
      <c r="V29" s="148"/>
      <c r="Z29" s="150"/>
      <c r="AA29" s="1202">
        <f>AA28/$AD$28</f>
        <v>1</v>
      </c>
      <c r="AB29" s="155">
        <f>AB28/$AD$28</f>
        <v>0</v>
      </c>
      <c r="AC29" s="1173"/>
      <c r="AD29" s="155">
        <f>AD28/$AD$28</f>
        <v>1</v>
      </c>
    </row>
    <row r="30" spans="1:30" ht="14.25" customHeight="1" thickBot="1" x14ac:dyDescent="0.35">
      <c r="B30" s="99"/>
      <c r="E30" s="99"/>
      <c r="Q30"/>
      <c r="R30" s="147" t="s">
        <v>269</v>
      </c>
      <c r="S30" s="1329">
        <f>$AB$1</f>
        <v>3000</v>
      </c>
      <c r="T30" s="756">
        <f>S30*(1/3)</f>
        <v>1000</v>
      </c>
      <c r="U30" s="756">
        <f>S30/S40</f>
        <v>3000</v>
      </c>
      <c r="V30" s="1124"/>
      <c r="Z30" s="140" t="s">
        <v>270</v>
      </c>
      <c r="AA30" s="156">
        <f>S35/(S32)</f>
        <v>4.7281323877068557E-2</v>
      </c>
      <c r="AB30" s="157">
        <f>T35/T32</f>
        <v>3.5777193465491922E-3</v>
      </c>
      <c r="AC30" s="1180">
        <f>V35/U32</f>
        <v>2.3314829500396513E-5</v>
      </c>
      <c r="AD30" s="1182">
        <f>SUMPRODUCT(AA30:AB30,AA29:AB29)+AC30</f>
        <v>4.7304638706568952E-2</v>
      </c>
    </row>
    <row r="31" spans="1:30" ht="14.25" customHeight="1" thickBot="1" x14ac:dyDescent="0.35">
      <c r="B31" s="99"/>
      <c r="E31" s="99"/>
      <c r="Q31"/>
      <c r="R31" s="147" t="s">
        <v>271</v>
      </c>
      <c r="S31" s="154"/>
      <c r="T31" s="148"/>
      <c r="U31" s="148"/>
      <c r="V31" s="148"/>
    </row>
    <row r="32" spans="1:30" ht="14.25" customHeight="1" thickBot="1" x14ac:dyDescent="0.35">
      <c r="B32" s="99"/>
      <c r="E32" s="99"/>
      <c r="Q32"/>
      <c r="R32" s="159" t="s">
        <v>261</v>
      </c>
      <c r="S32" s="148">
        <f>SUM(S28:S30)</f>
        <v>48050</v>
      </c>
      <c r="T32" s="148">
        <f>SUM(T28:T30)</f>
        <v>14515</v>
      </c>
      <c r="U32" s="148">
        <f>SUM(S32:T32)</f>
        <v>62565</v>
      </c>
      <c r="V32" s="148">
        <f>SUM(V28:V30)</f>
        <v>21.07</v>
      </c>
    </row>
    <row r="33" spans="2:23" ht="14.25" customHeight="1" thickBot="1" x14ac:dyDescent="0.35">
      <c r="B33" s="99"/>
      <c r="E33" s="99"/>
      <c r="Q33"/>
      <c r="R33" s="160" t="s">
        <v>272</v>
      </c>
      <c r="S33" s="154"/>
      <c r="T33" s="154">
        <f>F45</f>
        <v>0</v>
      </c>
      <c r="U33" s="154"/>
      <c r="V33" s="154"/>
    </row>
    <row r="34" spans="2:23" ht="14.25" customHeight="1" thickBot="1" x14ac:dyDescent="0.35">
      <c r="B34" s="99"/>
      <c r="E34" s="99"/>
      <c r="Q34"/>
      <c r="R34" s="161" t="s">
        <v>273</v>
      </c>
      <c r="S34" s="154"/>
      <c r="T34" s="148">
        <f>T33-(T28+T29)</f>
        <v>-13515</v>
      </c>
      <c r="U34" s="154"/>
      <c r="V34" s="154"/>
    </row>
    <row r="35" spans="2:23" ht="14.25" customHeight="1" thickBot="1" x14ac:dyDescent="0.35">
      <c r="B35" s="1484" t="s">
        <v>867</v>
      </c>
      <c r="C35" s="1484"/>
      <c r="D35" s="1484"/>
      <c r="E35" s="1484"/>
      <c r="F35" s="1484"/>
      <c r="G35" s="877"/>
      <c r="H35" s="877"/>
      <c r="I35" s="877"/>
      <c r="J35" s="877"/>
      <c r="K35" s="877"/>
      <c r="L35" s="877"/>
      <c r="Q35"/>
      <c r="R35" s="162" t="s">
        <v>253</v>
      </c>
      <c r="S35" s="1125">
        <f>$L$5</f>
        <v>2271.8676122931442</v>
      </c>
      <c r="T35" s="1125">
        <f>SUM(L6:L10)</f>
        <v>51.930596315161523</v>
      </c>
      <c r="U35" s="1125">
        <f>S35+T35+V35+W35</f>
        <v>2325.2569009159979</v>
      </c>
      <c r="V35" s="1184">
        <f>L37</f>
        <v>1.4586923076923077</v>
      </c>
    </row>
    <row r="36" spans="2:23" ht="14.25" customHeight="1" x14ac:dyDescent="0.3">
      <c r="B36" s="848" t="s">
        <v>245</v>
      </c>
      <c r="C36" s="848" t="s">
        <v>321</v>
      </c>
      <c r="D36" s="850" t="s">
        <v>645</v>
      </c>
      <c r="E36" s="847" t="s">
        <v>646</v>
      </c>
      <c r="F36" s="850" t="s">
        <v>647</v>
      </c>
      <c r="G36" s="870"/>
      <c r="H36" s="850" t="s">
        <v>647</v>
      </c>
      <c r="I36" s="850" t="s">
        <v>250</v>
      </c>
      <c r="J36" s="850" t="s">
        <v>251</v>
      </c>
      <c r="K36" s="850" t="s">
        <v>252</v>
      </c>
      <c r="L36" s="850" t="s">
        <v>253</v>
      </c>
      <c r="Q36"/>
      <c r="R36"/>
      <c r="S36"/>
      <c r="T36"/>
      <c r="U36"/>
    </row>
    <row r="37" spans="2:23" ht="14.25" customHeight="1" x14ac:dyDescent="0.3">
      <c r="B37" s="843" t="s">
        <v>716</v>
      </c>
      <c r="C37" s="844" t="s">
        <v>14</v>
      </c>
      <c r="D37" s="845">
        <v>7.0000000000000007E-2</v>
      </c>
      <c r="E37" s="843">
        <f>$AD$1</f>
        <v>301</v>
      </c>
      <c r="F37" s="843">
        <f>D37*E37</f>
        <v>21.07</v>
      </c>
      <c r="G37"/>
      <c r="H37" s="843">
        <f>F37</f>
        <v>21.07</v>
      </c>
      <c r="I37" s="843">
        <f>VLOOKUP(B37,All_Ingredients!$A$1:$F$149,6,FALSE())</f>
        <v>0.65</v>
      </c>
      <c r="J37" s="843">
        <f>VLOOKUP(B37,All_Ingredients!$A$1:$J$149,10,FALSE())</f>
        <v>45</v>
      </c>
      <c r="K37" s="843">
        <f>(H37/I37)/1000</f>
        <v>3.2415384615384617E-2</v>
      </c>
      <c r="L37" s="843">
        <f t="shared" ref="L37" si="10">K37*J37</f>
        <v>1.4586923076923077</v>
      </c>
      <c r="Q37"/>
      <c r="R37"/>
      <c r="S37"/>
      <c r="T37"/>
      <c r="U37"/>
    </row>
    <row r="38" spans="2:23" ht="14.25" customHeight="1" x14ac:dyDescent="0.3">
      <c r="B38" s="99"/>
      <c r="E38" s="99"/>
      <c r="F38" s="99"/>
      <c r="Q38"/>
      <c r="R38"/>
      <c r="S38"/>
      <c r="T38"/>
      <c r="U38"/>
    </row>
    <row r="39" spans="2:23" ht="14.25" customHeight="1" x14ac:dyDescent="0.3">
      <c r="B39" s="99"/>
      <c r="E39" s="99"/>
      <c r="F39" s="99"/>
      <c r="Q39"/>
      <c r="R39"/>
      <c r="S39"/>
      <c r="T39"/>
      <c r="U39"/>
    </row>
    <row r="40" spans="2:23" ht="11.75" customHeight="1" x14ac:dyDescent="0.3">
      <c r="B40" s="99"/>
      <c r="E40" s="99"/>
      <c r="F40" s="99"/>
      <c r="R40" s="164" t="s">
        <v>274</v>
      </c>
      <c r="S40" s="238">
        <v>1</v>
      </c>
      <c r="T40" s="164" t="s">
        <v>275</v>
      </c>
      <c r="U40" s="238">
        <v>0</v>
      </c>
      <c r="V40" s="167">
        <f>S40+U40</f>
        <v>1</v>
      </c>
    </row>
    <row r="41" spans="2:23" ht="14.25" customHeight="1" x14ac:dyDescent="0.3">
      <c r="B41" s="99"/>
      <c r="E41" s="99"/>
      <c r="F41" s="99"/>
      <c r="U41" s="168"/>
    </row>
    <row r="42" spans="2:23" ht="14.25" customHeight="1" x14ac:dyDescent="0.3">
      <c r="B42" s="99"/>
      <c r="E42" s="99"/>
      <c r="F42" s="99"/>
    </row>
    <row r="43" spans="2:23" ht="14.25" customHeight="1" x14ac:dyDescent="0.3">
      <c r="B43" s="99"/>
      <c r="E43" s="99"/>
      <c r="F43" s="99"/>
      <c r="Q43" s="169" t="s">
        <v>276</v>
      </c>
      <c r="R43" s="169" t="s">
        <v>277</v>
      </c>
      <c r="S43" s="169" t="s">
        <v>278</v>
      </c>
      <c r="T43" s="169" t="s">
        <v>279</v>
      </c>
      <c r="U43" s="169" t="s">
        <v>280</v>
      </c>
      <c r="V43" s="169" t="s">
        <v>281</v>
      </c>
      <c r="W43" s="257" t="s">
        <v>282</v>
      </c>
    </row>
    <row r="44" spans="2:23" ht="14" customHeight="1" x14ac:dyDescent="0.3">
      <c r="B44" s="99"/>
      <c r="E44" s="99"/>
      <c r="F44" s="99"/>
      <c r="Q44" s="171">
        <v>66667</v>
      </c>
      <c r="R44" s="172">
        <f>D51</f>
        <v>10000</v>
      </c>
      <c r="S44" s="173">
        <v>0</v>
      </c>
      <c r="T44" s="173">
        <v>1</v>
      </c>
      <c r="U44" s="241">
        <f>R44*S44</f>
        <v>0</v>
      </c>
      <c r="V44" s="175">
        <f>R44*T44</f>
        <v>10000</v>
      </c>
      <c r="W44" s="259">
        <f>Q44-U44</f>
        <v>66667</v>
      </c>
    </row>
    <row r="45" spans="2:23" ht="14" customHeight="1" x14ac:dyDescent="0.3">
      <c r="B45" s="99"/>
      <c r="E45" s="99"/>
      <c r="F45" s="99"/>
    </row>
    <row r="46" spans="2:23" ht="14.25" customHeight="1" x14ac:dyDescent="0.3">
      <c r="B46" s="99"/>
      <c r="E46" s="99"/>
      <c r="F46" s="99"/>
    </row>
    <row r="47" spans="2:23" ht="14.25" customHeight="1" x14ac:dyDescent="0.3">
      <c r="B47" s="99"/>
      <c r="E47" s="99"/>
      <c r="F47" s="99"/>
    </row>
    <row r="48" spans="2:23" ht="14.25" customHeight="1" x14ac:dyDescent="0.3">
      <c r="B48" s="99"/>
      <c r="E48" s="99"/>
      <c r="F48" s="99"/>
    </row>
    <row r="49" spans="1:10" ht="14.25" customHeight="1" x14ac:dyDescent="0.3">
      <c r="B49" s="99"/>
      <c r="E49" s="99"/>
      <c r="F49" s="99"/>
    </row>
    <row r="50" spans="1:10" ht="14.25" customHeight="1" x14ac:dyDescent="0.3">
      <c r="B50" s="275"/>
      <c r="C50" s="144" t="s">
        <v>237</v>
      </c>
      <c r="D50" s="144" t="s">
        <v>283</v>
      </c>
      <c r="E50" s="182"/>
      <c r="F50" s="99"/>
      <c r="G50" s="144" t="s">
        <v>284</v>
      </c>
      <c r="H50" s="144" t="s">
        <v>237</v>
      </c>
      <c r="I50" s="144" t="s">
        <v>285</v>
      </c>
      <c r="J50" s="144" t="s">
        <v>286</v>
      </c>
    </row>
    <row r="51" spans="1:10" ht="14.25" customHeight="1" x14ac:dyDescent="0.3">
      <c r="B51" s="179" t="s">
        <v>287</v>
      </c>
      <c r="C51" s="180">
        <f>10/$K$1</f>
        <v>10</v>
      </c>
      <c r="D51" s="181">
        <f>$C$1*10</f>
        <v>10000</v>
      </c>
      <c r="E51" s="182"/>
      <c r="F51" s="99"/>
      <c r="G51" s="179" t="s">
        <v>287</v>
      </c>
      <c r="H51" s="276">
        <f>I51/$D$5</f>
        <v>10</v>
      </c>
      <c r="I51" s="180">
        <f>J51/$R$1</f>
        <v>123457.4074074074</v>
      </c>
      <c r="J51" s="180">
        <f>$W$44</f>
        <v>66667</v>
      </c>
    </row>
    <row r="52" spans="1:10" ht="14.25" customHeight="1" x14ac:dyDescent="0.3">
      <c r="B52" s="230" t="s">
        <v>266</v>
      </c>
      <c r="C52" s="231">
        <f>$I$1</f>
        <v>14.515000000000001</v>
      </c>
      <c r="D52" s="232">
        <f>$E$1</f>
        <v>14515</v>
      </c>
      <c r="E52" s="99"/>
      <c r="F52" s="99"/>
      <c r="G52" s="147" t="s">
        <v>266</v>
      </c>
      <c r="H52" s="209">
        <f>I52/$D$5</f>
        <v>7.207463962680186</v>
      </c>
      <c r="I52" s="175">
        <f>J52/$R$1</f>
        <v>88981.481481481474</v>
      </c>
      <c r="J52" s="183">
        <f>$S$32</f>
        <v>48050</v>
      </c>
    </row>
    <row r="53" spans="1:10" ht="14.25" customHeight="1" x14ac:dyDescent="0.3">
      <c r="B53" s="230" t="s">
        <v>288</v>
      </c>
      <c r="C53" s="233">
        <f>MIN(C52, C51)</f>
        <v>10</v>
      </c>
      <c r="D53" s="232">
        <f>(C53*$K$1)*$C$1</f>
        <v>10000</v>
      </c>
      <c r="E53" s="99"/>
      <c r="F53" s="99"/>
      <c r="G53" s="147" t="s">
        <v>288</v>
      </c>
      <c r="H53" s="186">
        <f>MIN(H52,H51)</f>
        <v>7.207463962680186</v>
      </c>
      <c r="I53" s="175">
        <f>J53/$R$1</f>
        <v>88981.481481481474</v>
      </c>
      <c r="J53" s="175">
        <f>MIN(J52,J51)</f>
        <v>48050</v>
      </c>
    </row>
    <row r="54" spans="1:10" ht="14.25" customHeight="1" x14ac:dyDescent="0.3">
      <c r="B54" s="230" t="s">
        <v>289</v>
      </c>
      <c r="C54" s="233">
        <f>MIN(MAX(C52-C53,0),C51)</f>
        <v>4.5150000000000006</v>
      </c>
      <c r="D54" s="232">
        <f>(C54*$K$1)*$C$1</f>
        <v>4515.0000000000009</v>
      </c>
      <c r="E54" s="99"/>
      <c r="F54" s="99"/>
      <c r="G54" s="147" t="s">
        <v>289</v>
      </c>
      <c r="H54" s="186">
        <f>MIN(MAX(H52-H53),H51)</f>
        <v>0</v>
      </c>
      <c r="I54" s="175">
        <f>J54/$R$1</f>
        <v>0</v>
      </c>
      <c r="J54" s="175">
        <f>MIN(MAX(J52-J53),J51)</f>
        <v>0</v>
      </c>
    </row>
    <row r="55" spans="1:10" ht="14.25" customHeight="1" x14ac:dyDescent="0.3">
      <c r="B55" s="230" t="s">
        <v>290</v>
      </c>
      <c r="C55" s="233">
        <f>MIN(MAX(C52-C53-C54,0),C51)</f>
        <v>0</v>
      </c>
      <c r="D55" s="232">
        <f>(C55*$K$1)*$C$1</f>
        <v>0</v>
      </c>
      <c r="E55" s="99"/>
      <c r="F55" s="99"/>
      <c r="G55" s="144" t="s">
        <v>290</v>
      </c>
      <c r="H55" s="186">
        <f>MIN(MAX(H52-H53-H54),H51)</f>
        <v>0</v>
      </c>
      <c r="I55" s="175">
        <f>J55/$R$1</f>
        <v>0</v>
      </c>
      <c r="J55" s="175">
        <f>MIN(MAX(J52-J53-J54),J51)</f>
        <v>0</v>
      </c>
    </row>
    <row r="56" spans="1:10" ht="14.25" customHeight="1" x14ac:dyDescent="0.3">
      <c r="B56" s="99"/>
      <c r="E56" s="99"/>
      <c r="F56" s="99"/>
    </row>
    <row r="57" spans="1:10" ht="14.25" customHeight="1" x14ac:dyDescent="0.3">
      <c r="B57" s="99"/>
      <c r="E57" s="99"/>
      <c r="F57" s="99"/>
    </row>
    <row r="58" spans="1:10" ht="14.25" customHeight="1" x14ac:dyDescent="0.3">
      <c r="B58" s="99"/>
      <c r="E58" s="99"/>
      <c r="F58" s="99"/>
    </row>
    <row r="59" spans="1:10" ht="14.25" customHeight="1" x14ac:dyDescent="0.3">
      <c r="B59" s="99"/>
      <c r="E59" s="99"/>
      <c r="F59" s="99"/>
    </row>
    <row r="60" spans="1:10" ht="14.25" customHeight="1" x14ac:dyDescent="0.3">
      <c r="B60" s="99"/>
      <c r="E60" s="99"/>
      <c r="F60" s="99"/>
    </row>
    <row r="61" spans="1:10" ht="14.25" customHeight="1" x14ac:dyDescent="0.3">
      <c r="B61" s="99"/>
      <c r="E61" s="99"/>
      <c r="F61" s="99"/>
    </row>
    <row r="62" spans="1:10" ht="17.75" customHeight="1" x14ac:dyDescent="0.3">
      <c r="A62" s="922"/>
      <c r="B62" s="1447" t="str">
        <f>" سمك بلانكويت 1 / " &amp; COUNTIF($C$53:$C$55, "&gt;0")</f>
        <v xml:space="preserve"> سمك بلانكويت 1 / 2</v>
      </c>
      <c r="C62" s="1461"/>
      <c r="D62" s="1461"/>
      <c r="E62" s="1461"/>
      <c r="F62" s="1461"/>
      <c r="G62" s="1461"/>
      <c r="H62" s="1461"/>
    </row>
    <row r="63" spans="1:10" ht="17.75" customHeight="1" x14ac:dyDescent="0.3">
      <c r="A63" s="922"/>
      <c r="B63" s="1438" t="str">
        <f>"  Blankwet Fish  1 / " &amp; COUNTIF($C$53:$C$55, "&gt;0")</f>
        <v xml:space="preserve">  Blankwet Fish  1 / 2</v>
      </c>
      <c r="C63" s="1439"/>
      <c r="D63" s="1439"/>
      <c r="E63" s="1439"/>
      <c r="F63" s="1439"/>
      <c r="G63" s="1439"/>
      <c r="H63" s="1439"/>
    </row>
    <row r="64" spans="1:10" ht="51" customHeight="1" x14ac:dyDescent="0.25">
      <c r="A64" s="90"/>
      <c r="B64" s="90" t="s">
        <v>245</v>
      </c>
      <c r="C64" s="106" t="s">
        <v>246</v>
      </c>
      <c r="D64" s="90" t="s">
        <v>235</v>
      </c>
      <c r="E64" s="107" t="s">
        <v>238</v>
      </c>
      <c r="F64" s="107" t="s">
        <v>247</v>
      </c>
      <c r="G64" s="90" t="s">
        <v>248</v>
      </c>
      <c r="H64" s="108" t="s">
        <v>249</v>
      </c>
    </row>
    <row r="65" spans="1:8" ht="14.25" customHeight="1" x14ac:dyDescent="0.3">
      <c r="A65" s="127" t="s">
        <v>225</v>
      </c>
      <c r="B65" s="123" t="str">
        <f t="shared" ref="B65:D77" si="11">B5</f>
        <v>Fillet Fish - سمك فيليه</v>
      </c>
      <c r="C65" s="123" t="str">
        <f t="shared" si="11"/>
        <v>gm</v>
      </c>
      <c r="D65" s="119">
        <f t="shared" si="11"/>
        <v>12345.740740740741</v>
      </c>
      <c r="E65" s="125">
        <f>H53</f>
        <v>7.207463962680186</v>
      </c>
      <c r="F65" s="126">
        <f t="shared" ref="F65:F77" si="12">F5</f>
        <v>1</v>
      </c>
      <c r="G65" s="118">
        <f t="shared" ref="G65:G77" si="13">D65*E65</f>
        <v>88981.481481481474</v>
      </c>
      <c r="H65" s="119">
        <f t="shared" ref="H65:H77" si="14">G65*F65</f>
        <v>88981.481481481474</v>
      </c>
    </row>
    <row r="66" spans="1:8" ht="14" customHeight="1" x14ac:dyDescent="0.3">
      <c r="A66" s="127" t="s">
        <v>13</v>
      </c>
      <c r="B66" s="123" t="str">
        <f t="shared" si="11"/>
        <v>Onion - بصل</v>
      </c>
      <c r="C66" s="123" t="str">
        <f t="shared" si="11"/>
        <v>gm</v>
      </c>
      <c r="D66" s="123">
        <f t="shared" si="11"/>
        <v>500</v>
      </c>
      <c r="E66" s="125">
        <f t="shared" ref="E66:E77" si="15">$C$53</f>
        <v>10</v>
      </c>
      <c r="F66" s="126">
        <f t="shared" si="12"/>
        <v>0.95</v>
      </c>
      <c r="G66" s="118">
        <f t="shared" si="13"/>
        <v>5000</v>
      </c>
      <c r="H66" s="119">
        <f t="shared" si="14"/>
        <v>4750</v>
      </c>
    </row>
    <row r="67" spans="1:8" ht="14" customHeight="1" x14ac:dyDescent="0.3">
      <c r="A67" s="127" t="s">
        <v>13</v>
      </c>
      <c r="B67" s="123" t="str">
        <f t="shared" si="11"/>
        <v>Garlic - ثوم مقشر</v>
      </c>
      <c r="C67" s="123" t="str">
        <f t="shared" si="11"/>
        <v>gm</v>
      </c>
      <c r="D67" s="123">
        <f t="shared" si="11"/>
        <v>40</v>
      </c>
      <c r="E67" s="125">
        <f t="shared" si="15"/>
        <v>10</v>
      </c>
      <c r="F67" s="126">
        <f t="shared" si="12"/>
        <v>1</v>
      </c>
      <c r="G67" s="118">
        <f t="shared" si="13"/>
        <v>400</v>
      </c>
      <c r="H67" s="119">
        <f t="shared" si="14"/>
        <v>400</v>
      </c>
    </row>
    <row r="68" spans="1:8" ht="14.25" customHeight="1" x14ac:dyDescent="0.3">
      <c r="A68" s="127" t="s">
        <v>95</v>
      </c>
      <c r="B68" s="123" t="str">
        <f t="shared" si="11"/>
        <v>Paprika Powder - بابريكا مطحون</v>
      </c>
      <c r="C68" s="123" t="str">
        <f t="shared" si="11"/>
        <v>gm</v>
      </c>
      <c r="D68" s="123">
        <f t="shared" si="11"/>
        <v>11</v>
      </c>
      <c r="E68" s="125">
        <f t="shared" si="15"/>
        <v>10</v>
      </c>
      <c r="F68" s="126">
        <f t="shared" si="12"/>
        <v>0.75</v>
      </c>
      <c r="G68" s="118">
        <f t="shared" si="13"/>
        <v>110</v>
      </c>
      <c r="H68" s="119">
        <f t="shared" si="14"/>
        <v>82.5</v>
      </c>
    </row>
    <row r="69" spans="1:8" ht="14.25" customHeight="1" x14ac:dyDescent="0.3">
      <c r="A69" s="127" t="s">
        <v>192</v>
      </c>
      <c r="B69" s="123" t="str">
        <f t="shared" si="11"/>
        <v>Tomato Paste - صلصة طماطم</v>
      </c>
      <c r="C69" s="123" t="str">
        <f t="shared" si="11"/>
        <v>gm</v>
      </c>
      <c r="D69" s="123">
        <f t="shared" si="11"/>
        <v>100</v>
      </c>
      <c r="E69" s="125">
        <f t="shared" si="15"/>
        <v>10</v>
      </c>
      <c r="F69" s="126">
        <f t="shared" si="12"/>
        <v>1</v>
      </c>
      <c r="G69" s="118">
        <f t="shared" si="13"/>
        <v>1000</v>
      </c>
      <c r="H69" s="119">
        <f t="shared" si="14"/>
        <v>1000</v>
      </c>
    </row>
    <row r="70" spans="1:8" ht="14.25" customHeight="1" x14ac:dyDescent="0.3">
      <c r="A70" s="127" t="s">
        <v>95</v>
      </c>
      <c r="B70" s="123" t="str">
        <f t="shared" si="11"/>
        <v>Maggi Cubes - مكعبات ماجي</v>
      </c>
      <c r="C70" s="123" t="str">
        <f t="shared" si="11"/>
        <v>gm</v>
      </c>
      <c r="D70" s="123">
        <f t="shared" si="11"/>
        <v>15</v>
      </c>
      <c r="E70" s="125">
        <f t="shared" si="15"/>
        <v>10</v>
      </c>
      <c r="F70" s="126">
        <f t="shared" si="12"/>
        <v>1</v>
      </c>
      <c r="G70" s="118">
        <f t="shared" si="13"/>
        <v>150</v>
      </c>
      <c r="H70" s="119">
        <f t="shared" si="14"/>
        <v>150</v>
      </c>
    </row>
    <row r="71" spans="1:8" ht="14.25" customHeight="1" x14ac:dyDescent="0.3">
      <c r="A71" s="127" t="s">
        <v>182</v>
      </c>
      <c r="B71" s="123" t="str">
        <f t="shared" si="11"/>
        <v>Honey - عسل</v>
      </c>
      <c r="C71" s="123" t="str">
        <f t="shared" si="11"/>
        <v>gm</v>
      </c>
      <c r="D71" s="123">
        <f t="shared" si="11"/>
        <v>50</v>
      </c>
      <c r="E71" s="125">
        <f t="shared" si="15"/>
        <v>10</v>
      </c>
      <c r="F71" s="126">
        <f t="shared" si="12"/>
        <v>1</v>
      </c>
      <c r="G71" s="118">
        <f t="shared" si="13"/>
        <v>500</v>
      </c>
      <c r="H71" s="119">
        <f t="shared" si="14"/>
        <v>500</v>
      </c>
    </row>
    <row r="72" spans="1:8" ht="14.25" customHeight="1" x14ac:dyDescent="0.3">
      <c r="A72" s="127" t="s">
        <v>154</v>
      </c>
      <c r="B72" s="123" t="str">
        <f t="shared" si="11"/>
        <v>Cooking Cream - كريمة طبخ</v>
      </c>
      <c r="C72" s="123" t="str">
        <f t="shared" si="11"/>
        <v>ml</v>
      </c>
      <c r="D72" s="123">
        <f t="shared" si="11"/>
        <v>600</v>
      </c>
      <c r="E72" s="125">
        <f t="shared" si="15"/>
        <v>10</v>
      </c>
      <c r="F72" s="126">
        <f t="shared" si="12"/>
        <v>1</v>
      </c>
      <c r="G72" s="118">
        <f t="shared" si="13"/>
        <v>6000</v>
      </c>
      <c r="H72" s="119">
        <f t="shared" si="14"/>
        <v>6000</v>
      </c>
    </row>
    <row r="73" spans="1:8" ht="14.25" customHeight="1" x14ac:dyDescent="0.3">
      <c r="A73" s="127" t="s">
        <v>95</v>
      </c>
      <c r="B73" s="123" t="str">
        <f t="shared" si="11"/>
        <v>Salt - ملح</v>
      </c>
      <c r="C73" s="123" t="str">
        <f t="shared" si="11"/>
        <v>gm</v>
      </c>
      <c r="D73" s="123">
        <f t="shared" si="11"/>
        <v>6</v>
      </c>
      <c r="E73" s="125">
        <f t="shared" si="15"/>
        <v>10</v>
      </c>
      <c r="F73" s="126">
        <f t="shared" si="12"/>
        <v>0.75</v>
      </c>
      <c r="G73" s="118">
        <f t="shared" si="13"/>
        <v>60</v>
      </c>
      <c r="H73" s="119">
        <f t="shared" si="14"/>
        <v>45</v>
      </c>
    </row>
    <row r="74" spans="1:8" ht="14.25" customHeight="1" x14ac:dyDescent="0.3">
      <c r="A74" s="127" t="s">
        <v>95</v>
      </c>
      <c r="B74" s="123" t="str">
        <f t="shared" si="11"/>
        <v>Black Pepper Powder - فلفل أسود مطحون</v>
      </c>
      <c r="C74" s="123" t="str">
        <f t="shared" si="11"/>
        <v>gm</v>
      </c>
      <c r="D74" s="123">
        <f t="shared" si="11"/>
        <v>8</v>
      </c>
      <c r="E74" s="125">
        <f t="shared" si="15"/>
        <v>10</v>
      </c>
      <c r="F74" s="126">
        <f t="shared" si="12"/>
        <v>0.75</v>
      </c>
      <c r="G74" s="118">
        <f t="shared" si="13"/>
        <v>80</v>
      </c>
      <c r="H74" s="119">
        <f t="shared" si="14"/>
        <v>60</v>
      </c>
    </row>
    <row r="75" spans="1:8" ht="14.25" customHeight="1" x14ac:dyDescent="0.3">
      <c r="A75" s="127" t="s">
        <v>188</v>
      </c>
      <c r="B75" s="123" t="str">
        <f t="shared" si="11"/>
        <v>Corn Starch - نشا ذرة</v>
      </c>
      <c r="C75" s="123" t="str">
        <f t="shared" si="11"/>
        <v>gm</v>
      </c>
      <c r="D75" s="123">
        <f t="shared" si="11"/>
        <v>90</v>
      </c>
      <c r="E75" s="125">
        <f t="shared" si="15"/>
        <v>10</v>
      </c>
      <c r="F75" s="126">
        <f t="shared" si="12"/>
        <v>1</v>
      </c>
      <c r="G75" s="118">
        <f t="shared" si="13"/>
        <v>900</v>
      </c>
      <c r="H75" s="119">
        <f t="shared" si="14"/>
        <v>900</v>
      </c>
    </row>
    <row r="76" spans="1:8" ht="14.25" customHeight="1" x14ac:dyDescent="0.3">
      <c r="A76" s="127" t="s">
        <v>154</v>
      </c>
      <c r="B76" s="123" t="str">
        <f t="shared" si="11"/>
        <v>Butter - زبدة</v>
      </c>
      <c r="C76" s="123" t="str">
        <f t="shared" si="11"/>
        <v>gm</v>
      </c>
      <c r="D76" s="123">
        <f t="shared" si="11"/>
        <v>30</v>
      </c>
      <c r="E76" s="125">
        <f t="shared" si="15"/>
        <v>10</v>
      </c>
      <c r="F76" s="126">
        <f t="shared" si="12"/>
        <v>1</v>
      </c>
      <c r="G76" s="118">
        <f t="shared" si="13"/>
        <v>300</v>
      </c>
      <c r="H76" s="119">
        <f t="shared" si="14"/>
        <v>300</v>
      </c>
    </row>
    <row r="77" spans="1:8" ht="14.25" customHeight="1" x14ac:dyDescent="0.3">
      <c r="A77" s="127" t="s">
        <v>206</v>
      </c>
      <c r="B77" s="123" t="str">
        <f t="shared" si="11"/>
        <v>Water - ماء</v>
      </c>
      <c r="C77" s="123" t="str">
        <f t="shared" si="11"/>
        <v>ml</v>
      </c>
      <c r="D77" s="123">
        <f t="shared" si="11"/>
        <v>500</v>
      </c>
      <c r="E77" s="125">
        <f t="shared" si="15"/>
        <v>10</v>
      </c>
      <c r="F77" s="126">
        <f t="shared" si="12"/>
        <v>0.75</v>
      </c>
      <c r="G77" s="118">
        <f t="shared" si="13"/>
        <v>5000</v>
      </c>
      <c r="H77" s="119">
        <f t="shared" si="14"/>
        <v>3750</v>
      </c>
    </row>
    <row r="78" spans="1:8" ht="20.25" customHeight="1" x14ac:dyDescent="0.3">
      <c r="A78" s="210"/>
      <c r="B78" s="197" t="s">
        <v>291</v>
      </c>
      <c r="C78" s="199" t="s">
        <v>277</v>
      </c>
      <c r="E78" s="199" t="s">
        <v>292</v>
      </c>
      <c r="G78" s="878" t="s">
        <v>268</v>
      </c>
      <c r="H78" s="878" t="s">
        <v>703</v>
      </c>
    </row>
    <row r="79" spans="1:8" ht="25.25" customHeight="1" x14ac:dyDescent="0.4">
      <c r="A79" s="210"/>
      <c r="B79" s="198">
        <f>$J$53</f>
        <v>48050</v>
      </c>
      <c r="C79" s="198">
        <f>E79+G79</f>
        <v>10000</v>
      </c>
      <c r="D79" s="915"/>
      <c r="E79" s="198">
        <f>$D$53*$S$44</f>
        <v>0</v>
      </c>
      <c r="F79" s="919"/>
      <c r="G79" s="198">
        <f>$D$53*$T$44</f>
        <v>10000</v>
      </c>
      <c r="H79" s="198">
        <f>B79+E79</f>
        <v>48050</v>
      </c>
    </row>
    <row r="80" spans="1:8" ht="14.25" customHeight="1" x14ac:dyDescent="0.3">
      <c r="B80" s="99"/>
      <c r="E80" s="99"/>
      <c r="F80" s="99"/>
    </row>
    <row r="81" spans="1:8" ht="14.25" customHeight="1" x14ac:dyDescent="0.3">
      <c r="B81" s="99"/>
      <c r="C81" s="99"/>
      <c r="D81" s="99"/>
      <c r="E81" s="99"/>
      <c r="F81" s="99"/>
      <c r="G81" s="99"/>
      <c r="H81" s="99"/>
    </row>
    <row r="82" spans="1:8" ht="14.25" customHeight="1" x14ac:dyDescent="0.3">
      <c r="B82" s="99"/>
      <c r="C82" s="99"/>
      <c r="D82" s="99"/>
      <c r="E82" s="99"/>
      <c r="F82" s="99"/>
      <c r="G82" s="99"/>
      <c r="H82" s="99"/>
    </row>
    <row r="83" spans="1:8" ht="14.25" customHeight="1" x14ac:dyDescent="0.3">
      <c r="B83" s="99"/>
      <c r="C83" s="99"/>
      <c r="D83" s="99"/>
      <c r="E83" s="99"/>
      <c r="F83" s="99"/>
      <c r="G83" s="99"/>
      <c r="H83" s="99"/>
    </row>
    <row r="84" spans="1:8" ht="17.75" customHeight="1" x14ac:dyDescent="0.3">
      <c r="A84" s="922"/>
      <c r="B84" s="1447" t="str">
        <f>" سمك بلانكويت 2 / " &amp; COUNTIF($C$53:$C$55, "&gt;0")</f>
        <v xml:space="preserve"> سمك بلانكويت 2 / 2</v>
      </c>
      <c r="C84" s="1461"/>
      <c r="D84" s="1461"/>
      <c r="E84" s="1461"/>
      <c r="F84" s="1461"/>
      <c r="G84" s="1461"/>
      <c r="H84" s="1461"/>
    </row>
    <row r="85" spans="1:8" ht="17.75" customHeight="1" x14ac:dyDescent="0.3">
      <c r="A85" s="922"/>
      <c r="B85" s="1438" t="str">
        <f>"  Blankwet Fish  2 / " &amp; COUNTIF($C$53:$C$55, "&gt;0")</f>
        <v xml:space="preserve">  Blankwet Fish  2 / 2</v>
      </c>
      <c r="C85" s="1439"/>
      <c r="D85" s="1439"/>
      <c r="E85" s="1439"/>
      <c r="F85" s="1439"/>
      <c r="G85" s="1439"/>
      <c r="H85" s="1439"/>
    </row>
    <row r="86" spans="1:8" ht="25.5" customHeight="1" x14ac:dyDescent="0.25">
      <c r="A86" s="90"/>
      <c r="B86" s="90" t="s">
        <v>245</v>
      </c>
      <c r="C86" s="106" t="s">
        <v>246</v>
      </c>
      <c r="D86" s="90" t="s">
        <v>235</v>
      </c>
      <c r="E86" s="107" t="s">
        <v>238</v>
      </c>
      <c r="F86" s="107" t="s">
        <v>247</v>
      </c>
      <c r="G86" s="90" t="s">
        <v>248</v>
      </c>
      <c r="H86" s="108" t="s">
        <v>249</v>
      </c>
    </row>
    <row r="87" spans="1:8" ht="14.25" customHeight="1" x14ac:dyDescent="0.3">
      <c r="A87" s="127" t="s">
        <v>225</v>
      </c>
      <c r="B87" s="123" t="str">
        <f t="shared" ref="B87:D99" si="16">B5</f>
        <v>Fillet Fish - سمك فيليه</v>
      </c>
      <c r="C87" s="123" t="str">
        <f t="shared" si="16"/>
        <v>gm</v>
      </c>
      <c r="D87" s="119">
        <f t="shared" si="16"/>
        <v>12345.740740740741</v>
      </c>
      <c r="E87" s="125">
        <f>H54</f>
        <v>0</v>
      </c>
      <c r="F87" s="126">
        <f t="shared" ref="F87:F99" si="17">F5</f>
        <v>1</v>
      </c>
      <c r="G87" s="118">
        <f t="shared" ref="G87:G99" si="18">D87*E87</f>
        <v>0</v>
      </c>
      <c r="H87" s="119">
        <f t="shared" ref="H87:H99" si="19">G87*F87</f>
        <v>0</v>
      </c>
    </row>
    <row r="88" spans="1:8" ht="14.25" customHeight="1" x14ac:dyDescent="0.3">
      <c r="A88" s="127" t="s">
        <v>13</v>
      </c>
      <c r="B88" s="123" t="str">
        <f t="shared" si="16"/>
        <v>Onion - بصل</v>
      </c>
      <c r="C88" s="123" t="str">
        <f t="shared" si="16"/>
        <v>gm</v>
      </c>
      <c r="D88" s="123">
        <f t="shared" si="16"/>
        <v>500</v>
      </c>
      <c r="E88" s="125">
        <f t="shared" ref="E88:E99" si="20">$C$54</f>
        <v>4.5150000000000006</v>
      </c>
      <c r="F88" s="126">
        <f t="shared" si="17"/>
        <v>0.95</v>
      </c>
      <c r="G88" s="118">
        <f t="shared" si="18"/>
        <v>2257.5000000000005</v>
      </c>
      <c r="H88" s="119">
        <f t="shared" si="19"/>
        <v>2144.6250000000005</v>
      </c>
    </row>
    <row r="89" spans="1:8" ht="14.25" customHeight="1" x14ac:dyDescent="0.3">
      <c r="A89" s="127" t="s">
        <v>13</v>
      </c>
      <c r="B89" s="123" t="str">
        <f t="shared" si="16"/>
        <v>Garlic - ثوم مقشر</v>
      </c>
      <c r="C89" s="123" t="str">
        <f t="shared" si="16"/>
        <v>gm</v>
      </c>
      <c r="D89" s="123">
        <f t="shared" si="16"/>
        <v>40</v>
      </c>
      <c r="E89" s="125">
        <f t="shared" si="20"/>
        <v>4.5150000000000006</v>
      </c>
      <c r="F89" s="126">
        <f t="shared" si="17"/>
        <v>1</v>
      </c>
      <c r="G89" s="118">
        <f t="shared" si="18"/>
        <v>180.60000000000002</v>
      </c>
      <c r="H89" s="119">
        <f t="shared" si="19"/>
        <v>180.60000000000002</v>
      </c>
    </row>
    <row r="90" spans="1:8" ht="14.25" customHeight="1" x14ac:dyDescent="0.3">
      <c r="A90" s="127" t="s">
        <v>95</v>
      </c>
      <c r="B90" s="123" t="str">
        <f t="shared" si="16"/>
        <v>Paprika Powder - بابريكا مطحون</v>
      </c>
      <c r="C90" s="123" t="str">
        <f t="shared" si="16"/>
        <v>gm</v>
      </c>
      <c r="D90" s="123">
        <f t="shared" si="16"/>
        <v>11</v>
      </c>
      <c r="E90" s="125">
        <f t="shared" si="20"/>
        <v>4.5150000000000006</v>
      </c>
      <c r="F90" s="126">
        <f t="shared" si="17"/>
        <v>0.75</v>
      </c>
      <c r="G90" s="118">
        <f t="shared" si="18"/>
        <v>49.665000000000006</v>
      </c>
      <c r="H90" s="119">
        <f t="shared" si="19"/>
        <v>37.248750000000001</v>
      </c>
    </row>
    <row r="91" spans="1:8" ht="14.25" customHeight="1" x14ac:dyDescent="0.3">
      <c r="A91" s="127" t="s">
        <v>192</v>
      </c>
      <c r="B91" s="123" t="str">
        <f t="shared" si="16"/>
        <v>Tomato Paste - صلصة طماطم</v>
      </c>
      <c r="C91" s="123" t="str">
        <f t="shared" si="16"/>
        <v>gm</v>
      </c>
      <c r="D91" s="123">
        <f t="shared" si="16"/>
        <v>100</v>
      </c>
      <c r="E91" s="125">
        <f t="shared" si="20"/>
        <v>4.5150000000000006</v>
      </c>
      <c r="F91" s="126">
        <f t="shared" si="17"/>
        <v>1</v>
      </c>
      <c r="G91" s="118">
        <f t="shared" si="18"/>
        <v>451.50000000000006</v>
      </c>
      <c r="H91" s="119">
        <f t="shared" si="19"/>
        <v>451.50000000000006</v>
      </c>
    </row>
    <row r="92" spans="1:8" ht="14.25" customHeight="1" x14ac:dyDescent="0.3">
      <c r="A92" s="127" t="s">
        <v>95</v>
      </c>
      <c r="B92" s="123" t="str">
        <f t="shared" si="16"/>
        <v>Maggi Cubes - مكعبات ماجي</v>
      </c>
      <c r="C92" s="123" t="str">
        <f t="shared" si="16"/>
        <v>gm</v>
      </c>
      <c r="D92" s="123">
        <f t="shared" si="16"/>
        <v>15</v>
      </c>
      <c r="E92" s="125">
        <f t="shared" si="20"/>
        <v>4.5150000000000006</v>
      </c>
      <c r="F92" s="126">
        <f t="shared" si="17"/>
        <v>1</v>
      </c>
      <c r="G92" s="118">
        <f t="shared" si="18"/>
        <v>67.725000000000009</v>
      </c>
      <c r="H92" s="119">
        <f t="shared" si="19"/>
        <v>67.725000000000009</v>
      </c>
    </row>
    <row r="93" spans="1:8" ht="14.25" customHeight="1" x14ac:dyDescent="0.3">
      <c r="A93" s="127" t="s">
        <v>182</v>
      </c>
      <c r="B93" s="123" t="str">
        <f t="shared" si="16"/>
        <v>Honey - عسل</v>
      </c>
      <c r="C93" s="123" t="str">
        <f t="shared" si="16"/>
        <v>gm</v>
      </c>
      <c r="D93" s="123">
        <f t="shared" si="16"/>
        <v>50</v>
      </c>
      <c r="E93" s="125">
        <f t="shared" si="20"/>
        <v>4.5150000000000006</v>
      </c>
      <c r="F93" s="126">
        <f t="shared" si="17"/>
        <v>1</v>
      </c>
      <c r="G93" s="118">
        <f t="shared" si="18"/>
        <v>225.75000000000003</v>
      </c>
      <c r="H93" s="119">
        <f t="shared" si="19"/>
        <v>225.75000000000003</v>
      </c>
    </row>
    <row r="94" spans="1:8" ht="14.25" customHeight="1" x14ac:dyDescent="0.3">
      <c r="A94" s="127" t="s">
        <v>154</v>
      </c>
      <c r="B94" s="123" t="str">
        <f t="shared" si="16"/>
        <v>Cooking Cream - كريمة طبخ</v>
      </c>
      <c r="C94" s="123" t="str">
        <f t="shared" si="16"/>
        <v>ml</v>
      </c>
      <c r="D94" s="123">
        <f t="shared" si="16"/>
        <v>600</v>
      </c>
      <c r="E94" s="125">
        <f t="shared" si="20"/>
        <v>4.5150000000000006</v>
      </c>
      <c r="F94" s="126">
        <f t="shared" si="17"/>
        <v>1</v>
      </c>
      <c r="G94" s="118">
        <f t="shared" si="18"/>
        <v>2709.0000000000005</v>
      </c>
      <c r="H94" s="119">
        <f t="shared" si="19"/>
        <v>2709.0000000000005</v>
      </c>
    </row>
    <row r="95" spans="1:8" ht="14.25" customHeight="1" x14ac:dyDescent="0.3">
      <c r="A95" s="127" t="s">
        <v>95</v>
      </c>
      <c r="B95" s="123" t="str">
        <f t="shared" si="16"/>
        <v>Salt - ملح</v>
      </c>
      <c r="C95" s="123" t="str">
        <f t="shared" si="16"/>
        <v>gm</v>
      </c>
      <c r="D95" s="123">
        <f t="shared" si="16"/>
        <v>6</v>
      </c>
      <c r="E95" s="125">
        <f t="shared" si="20"/>
        <v>4.5150000000000006</v>
      </c>
      <c r="F95" s="126">
        <f t="shared" si="17"/>
        <v>0.75</v>
      </c>
      <c r="G95" s="118">
        <f t="shared" si="18"/>
        <v>27.090000000000003</v>
      </c>
      <c r="H95" s="119">
        <f t="shared" si="19"/>
        <v>20.317500000000003</v>
      </c>
    </row>
    <row r="96" spans="1:8" ht="14.25" customHeight="1" x14ac:dyDescent="0.3">
      <c r="A96" s="127" t="s">
        <v>95</v>
      </c>
      <c r="B96" s="123" t="str">
        <f t="shared" si="16"/>
        <v>Black Pepper Powder - فلفل أسود مطحون</v>
      </c>
      <c r="C96" s="123" t="str">
        <f t="shared" si="16"/>
        <v>gm</v>
      </c>
      <c r="D96" s="123">
        <f t="shared" si="16"/>
        <v>8</v>
      </c>
      <c r="E96" s="125">
        <f t="shared" si="20"/>
        <v>4.5150000000000006</v>
      </c>
      <c r="F96" s="126">
        <f t="shared" si="17"/>
        <v>0.75</v>
      </c>
      <c r="G96" s="118">
        <f t="shared" si="18"/>
        <v>36.120000000000005</v>
      </c>
      <c r="H96" s="119">
        <f t="shared" si="19"/>
        <v>27.090000000000003</v>
      </c>
    </row>
    <row r="97" spans="1:10" ht="14.25" customHeight="1" x14ac:dyDescent="0.3">
      <c r="A97" s="127" t="s">
        <v>188</v>
      </c>
      <c r="B97" s="123" t="str">
        <f t="shared" si="16"/>
        <v>Corn Starch - نشا ذرة</v>
      </c>
      <c r="C97" s="123" t="str">
        <f t="shared" si="16"/>
        <v>gm</v>
      </c>
      <c r="D97" s="123">
        <f t="shared" si="16"/>
        <v>90</v>
      </c>
      <c r="E97" s="125">
        <f t="shared" si="20"/>
        <v>4.5150000000000006</v>
      </c>
      <c r="F97" s="126">
        <f t="shared" si="17"/>
        <v>1</v>
      </c>
      <c r="G97" s="118">
        <f t="shared" si="18"/>
        <v>406.35</v>
      </c>
      <c r="H97" s="119">
        <f t="shared" si="19"/>
        <v>406.35</v>
      </c>
    </row>
    <row r="98" spans="1:10" ht="14.25" customHeight="1" x14ac:dyDescent="0.3">
      <c r="A98" s="127" t="s">
        <v>154</v>
      </c>
      <c r="B98" s="123" t="str">
        <f t="shared" si="16"/>
        <v>Butter - زبدة</v>
      </c>
      <c r="C98" s="123" t="str">
        <f t="shared" si="16"/>
        <v>gm</v>
      </c>
      <c r="D98" s="123">
        <f t="shared" si="16"/>
        <v>30</v>
      </c>
      <c r="E98" s="125">
        <f t="shared" si="20"/>
        <v>4.5150000000000006</v>
      </c>
      <c r="F98" s="126">
        <f t="shared" si="17"/>
        <v>1</v>
      </c>
      <c r="G98" s="118">
        <f t="shared" si="18"/>
        <v>135.45000000000002</v>
      </c>
      <c r="H98" s="119">
        <f t="shared" si="19"/>
        <v>135.45000000000002</v>
      </c>
    </row>
    <row r="99" spans="1:10" ht="14.25" customHeight="1" x14ac:dyDescent="0.3">
      <c r="A99" s="127" t="s">
        <v>206</v>
      </c>
      <c r="B99" s="123" t="str">
        <f t="shared" si="16"/>
        <v>Water - ماء</v>
      </c>
      <c r="C99" s="123" t="str">
        <f t="shared" si="16"/>
        <v>ml</v>
      </c>
      <c r="D99" s="123">
        <f t="shared" si="16"/>
        <v>500</v>
      </c>
      <c r="E99" s="125">
        <f t="shared" si="20"/>
        <v>4.5150000000000006</v>
      </c>
      <c r="F99" s="126">
        <f t="shared" si="17"/>
        <v>0.75</v>
      </c>
      <c r="G99" s="118">
        <f t="shared" si="18"/>
        <v>2257.5000000000005</v>
      </c>
      <c r="H99" s="119">
        <f t="shared" si="19"/>
        <v>1693.1250000000005</v>
      </c>
    </row>
    <row r="100" spans="1:10" ht="22.5" customHeight="1" x14ac:dyDescent="0.3">
      <c r="A100" s="210"/>
      <c r="B100" s="197" t="s">
        <v>291</v>
      </c>
      <c r="C100" s="199" t="s">
        <v>277</v>
      </c>
      <c r="E100" s="199" t="s">
        <v>292</v>
      </c>
      <c r="G100" s="878" t="s">
        <v>268</v>
      </c>
      <c r="H100" s="878" t="s">
        <v>703</v>
      </c>
      <c r="I100" s="91"/>
      <c r="J100" s="138"/>
    </row>
    <row r="101" spans="1:10" ht="21.5" customHeight="1" x14ac:dyDescent="0.4">
      <c r="A101" s="210"/>
      <c r="B101" s="198">
        <f>$J$54</f>
        <v>0</v>
      </c>
      <c r="C101" s="198">
        <f>E101+G101</f>
        <v>4515.0000000000009</v>
      </c>
      <c r="D101" s="915"/>
      <c r="E101" s="198">
        <f>$D$54*$S$44</f>
        <v>0</v>
      </c>
      <c r="F101" s="919"/>
      <c r="G101" s="198">
        <f>$D$54*$T$44</f>
        <v>4515.0000000000009</v>
      </c>
      <c r="H101" s="198">
        <f>B101+E101</f>
        <v>0</v>
      </c>
    </row>
  </sheetData>
  <mergeCells count="9">
    <mergeCell ref="AK2:AM2"/>
    <mergeCell ref="B85:H85"/>
    <mergeCell ref="B2:J3"/>
    <mergeCell ref="B84:H84"/>
    <mergeCell ref="R26:U26"/>
    <mergeCell ref="R25:U25"/>
    <mergeCell ref="B62:H62"/>
    <mergeCell ref="B63:H63"/>
    <mergeCell ref="B35:F35"/>
  </mergeCells>
  <printOptions horizontalCentered="1"/>
  <pageMargins left="0.4" right="0.4" top="1" bottom="0.5" header="0.3" footer="0.511811023622047"/>
  <pageSetup paperSize="9" scale="46" orientation="landscape"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2E75B6"/>
    <pageSetUpPr fitToPage="1"/>
  </sheetPr>
  <dimension ref="A1:AT121"/>
  <sheetViews>
    <sheetView topLeftCell="D35" zoomScale="68" zoomScaleNormal="68" workbookViewId="0">
      <selection activeCell="AC25" sqref="AC25"/>
    </sheetView>
  </sheetViews>
  <sheetFormatPr defaultColWidth="12.5" defaultRowHeight="14" x14ac:dyDescent="0.3"/>
  <cols>
    <col min="1" max="1" width="12.5" style="78" customWidth="1"/>
    <col min="2" max="2" width="37" style="14" customWidth="1"/>
    <col min="3" max="3" width="17.25" style="14" customWidth="1"/>
    <col min="4" max="4" width="18" style="14" customWidth="1"/>
    <col min="5" max="5" width="15.1640625" style="296" customWidth="1"/>
    <col min="6" max="6" width="13.83203125" style="14" customWidth="1"/>
    <col min="7" max="7" width="16.9140625" style="14" customWidth="1"/>
    <col min="8" max="8" width="29.75" style="14" customWidth="1"/>
    <col min="9" max="10" width="12.4140625" style="14" customWidth="1"/>
    <col min="11" max="11" width="11.5" style="14" customWidth="1"/>
    <col min="12" max="12" width="8.33203125" style="14" customWidth="1"/>
    <col min="13" max="14" width="4.33203125" style="14" customWidth="1"/>
    <col min="15" max="15" width="8.25" style="14" customWidth="1"/>
    <col min="16" max="16" width="7.5" style="14" customWidth="1"/>
    <col min="17" max="17" width="12.5" style="14" customWidth="1"/>
    <col min="18" max="18" width="23.5" style="14" customWidth="1"/>
    <col min="19" max="19" width="12.5" style="14" customWidth="1"/>
    <col min="20" max="23" width="12.5" style="14"/>
    <col min="24" max="24" width="2.83203125" style="14" customWidth="1"/>
    <col min="25" max="27" width="12.5" style="14"/>
    <col min="28" max="28" width="13.25" style="14" bestFit="1" customWidth="1"/>
    <col min="29" max="30" width="11.33203125" style="14" bestFit="1" customWidth="1"/>
    <col min="31" max="31" width="11.4140625" style="14" customWidth="1"/>
    <col min="32" max="32" width="9.6640625" style="14" customWidth="1"/>
    <col min="33" max="34" width="4.25" style="14" customWidth="1"/>
    <col min="35" max="35" width="12.5" style="14"/>
    <col min="36" max="36" width="33.9140625" style="14" customWidth="1"/>
    <col min="37" max="37" width="12.5" style="14"/>
    <col min="38" max="38" width="16.58203125" style="14" customWidth="1"/>
    <col min="39" max="16384" width="12.5" style="14"/>
  </cols>
  <sheetData>
    <row r="1" spans="1:46" s="249" customFormat="1" ht="35.25" customHeight="1" x14ac:dyDescent="0.3">
      <c r="A1" s="247"/>
      <c r="B1" s="79" t="s">
        <v>235</v>
      </c>
      <c r="C1" s="80">
        <v>1000</v>
      </c>
      <c r="D1" s="81" t="s">
        <v>236</v>
      </c>
      <c r="E1" s="82">
        <f>$T$32</f>
        <v>18519.487179487187</v>
      </c>
      <c r="F1" s="385" t="s">
        <v>237</v>
      </c>
      <c r="G1" s="83">
        <f>E1/1000</f>
        <v>18.519487179487186</v>
      </c>
      <c r="H1" s="79" t="s">
        <v>238</v>
      </c>
      <c r="I1" s="84">
        <f>(G1/K1)</f>
        <v>19.494197031039143</v>
      </c>
      <c r="J1" s="85" t="s">
        <v>239</v>
      </c>
      <c r="K1" s="84">
        <v>0.95</v>
      </c>
      <c r="L1" s="386"/>
      <c r="M1" s="214"/>
      <c r="N1" s="215"/>
      <c r="O1" s="90" t="s">
        <v>240</v>
      </c>
      <c r="P1" s="91" t="s">
        <v>241</v>
      </c>
      <c r="Q1" s="92" t="s">
        <v>242</v>
      </c>
      <c r="R1" s="91">
        <v>0.59</v>
      </c>
      <c r="Y1" s="90" t="s">
        <v>463</v>
      </c>
      <c r="Z1" s="835">
        <v>32830</v>
      </c>
      <c r="AA1" s="90" t="s">
        <v>578</v>
      </c>
      <c r="AB1" s="835">
        <v>0</v>
      </c>
      <c r="AC1" s="90" t="s">
        <v>567</v>
      </c>
      <c r="AD1" s="835">
        <v>221</v>
      </c>
      <c r="AF1" s="251"/>
      <c r="AG1" s="91"/>
      <c r="AI1" s="78"/>
      <c r="AJ1" s="109" t="s">
        <v>254</v>
      </c>
      <c r="AK1" s="93">
        <v>10000</v>
      </c>
      <c r="AL1" s="623" t="s">
        <v>503</v>
      </c>
      <c r="AM1" s="624">
        <f>$S$32</f>
        <v>25253.846153846149</v>
      </c>
      <c r="AN1" s="93" t="s">
        <v>243</v>
      </c>
      <c r="AO1" s="95">
        <f>($S$32/$R$1)/$AK$1</f>
        <v>4.2803129074315516</v>
      </c>
      <c r="AP1" s="94"/>
    </row>
    <row r="2" spans="1:46" ht="15.75" customHeight="1" x14ac:dyDescent="0.3">
      <c r="A2" s="96"/>
      <c r="B2" s="97"/>
      <c r="C2" s="97"/>
      <c r="D2" s="97"/>
      <c r="E2" s="97"/>
      <c r="F2" s="1443" t="s">
        <v>46</v>
      </c>
      <c r="G2" s="97"/>
      <c r="H2" s="97"/>
      <c r="I2" s="97"/>
      <c r="J2" s="97"/>
      <c r="K2" s="97"/>
      <c r="L2" s="97"/>
      <c r="M2" s="98"/>
      <c r="N2" s="98"/>
      <c r="O2" s="99"/>
      <c r="P2" s="99"/>
      <c r="Q2" s="99"/>
      <c r="R2" s="99"/>
      <c r="AC2" s="98"/>
      <c r="AD2" s="98"/>
      <c r="AE2" s="1457"/>
      <c r="AF2" s="1460"/>
      <c r="AG2" s="1460"/>
      <c r="AI2" s="78"/>
      <c r="AJ2" s="100"/>
      <c r="AK2" s="1442" t="s">
        <v>362</v>
      </c>
      <c r="AL2" s="1442"/>
      <c r="AM2" s="1442"/>
      <c r="AN2" s="101"/>
      <c r="AO2" s="100"/>
      <c r="AP2" s="100"/>
    </row>
    <row r="3" spans="1:46" ht="15.75" customHeight="1" x14ac:dyDescent="0.3">
      <c r="A3" s="96"/>
      <c r="B3" s="102"/>
      <c r="C3" s="102"/>
      <c r="D3" s="102"/>
      <c r="E3" s="102"/>
      <c r="F3" s="1444"/>
      <c r="G3" s="102"/>
      <c r="H3" s="102"/>
      <c r="I3" s="102"/>
      <c r="J3" s="102"/>
      <c r="K3" s="102"/>
      <c r="L3" s="102"/>
      <c r="M3" s="98"/>
      <c r="N3" s="98"/>
      <c r="O3" s="99"/>
      <c r="P3" s="99"/>
      <c r="Q3" s="99"/>
      <c r="R3" s="99"/>
      <c r="AC3" s="98"/>
      <c r="AD3" s="98"/>
      <c r="AE3" s="1460"/>
      <c r="AF3" s="1460"/>
      <c r="AG3" s="1460"/>
      <c r="AI3" s="78"/>
      <c r="AJ3" s="103"/>
      <c r="AK3" s="103"/>
      <c r="AL3" s="104"/>
      <c r="AM3" s="104"/>
      <c r="AN3" s="104"/>
      <c r="AO3" s="103"/>
      <c r="AP3" s="103"/>
    </row>
    <row r="4" spans="1:46" ht="69" customHeight="1" x14ac:dyDescent="0.3">
      <c r="A4" s="90" t="s">
        <v>1</v>
      </c>
      <c r="B4" s="90" t="s">
        <v>245</v>
      </c>
      <c r="C4" s="106" t="s">
        <v>246</v>
      </c>
      <c r="D4" s="90" t="s">
        <v>235</v>
      </c>
      <c r="E4" s="107" t="s">
        <v>238</v>
      </c>
      <c r="F4" s="107" t="s">
        <v>247</v>
      </c>
      <c r="G4" s="90" t="s">
        <v>248</v>
      </c>
      <c r="H4" s="108" t="s">
        <v>249</v>
      </c>
      <c r="I4" s="90" t="s">
        <v>250</v>
      </c>
      <c r="J4" s="90" t="s">
        <v>251</v>
      </c>
      <c r="K4" s="90" t="s">
        <v>252</v>
      </c>
      <c r="L4" s="88" t="s">
        <v>253</v>
      </c>
      <c r="M4" s="370"/>
      <c r="N4" s="370"/>
      <c r="O4" s="99"/>
      <c r="P4" s="99"/>
      <c r="Q4" s="99"/>
      <c r="R4" s="99"/>
      <c r="AC4" s="250"/>
      <c r="AD4" s="252"/>
      <c r="AE4" s="250"/>
      <c r="AF4" s="250"/>
      <c r="AG4" s="250"/>
      <c r="AI4" s="78"/>
      <c r="AJ4" s="109" t="s">
        <v>245</v>
      </c>
      <c r="AK4" s="110" t="s">
        <v>246</v>
      </c>
      <c r="AL4" s="109" t="s">
        <v>254</v>
      </c>
      <c r="AM4" s="109" t="s">
        <v>238</v>
      </c>
      <c r="AN4" s="109" t="s">
        <v>247</v>
      </c>
      <c r="AO4" s="109" t="s">
        <v>248</v>
      </c>
      <c r="AP4" s="111" t="s">
        <v>249</v>
      </c>
      <c r="AQ4" s="90" t="s">
        <v>250</v>
      </c>
      <c r="AR4" s="90" t="s">
        <v>251</v>
      </c>
      <c r="AS4" s="90" t="s">
        <v>252</v>
      </c>
      <c r="AT4" s="90" t="s">
        <v>253</v>
      </c>
    </row>
    <row r="5" spans="1:46" ht="14.25" customHeight="1" x14ac:dyDescent="0.3">
      <c r="A5" s="387" t="s">
        <v>225</v>
      </c>
      <c r="B5" s="308" t="s">
        <v>224</v>
      </c>
      <c r="C5" s="114" t="s">
        <v>14</v>
      </c>
      <c r="D5" s="120">
        <f>I51/10</f>
        <v>2311.3713405238827</v>
      </c>
      <c r="E5" s="116">
        <f>H52</f>
        <v>18.518499526179117</v>
      </c>
      <c r="F5" s="117">
        <v>1</v>
      </c>
      <c r="G5" s="118">
        <f t="shared" ref="G5:G28" si="0">D5*E5</f>
        <v>42803.129074315511</v>
      </c>
      <c r="H5" s="119">
        <f t="shared" ref="H5:H28" si="1">G5*F5</f>
        <v>42803.129074315511</v>
      </c>
      <c r="I5" s="80">
        <f>VLOOKUP(B5,All_Ingredients!$A$1:$F$149,6,FALSE())</f>
        <v>0.86</v>
      </c>
      <c r="J5" s="118">
        <f>VLOOKUP(B5,All_Ingredients!$A$1:$J$149,10,FALSE())</f>
        <v>17.100000000000001</v>
      </c>
      <c r="K5" s="121">
        <f t="shared" ref="K5" si="2">(H5/I5)/1000</f>
        <v>49.771080318971521</v>
      </c>
      <c r="L5" s="121">
        <f t="shared" ref="L5" si="3">K5*J5</f>
        <v>851.08547345441309</v>
      </c>
      <c r="M5" s="130"/>
      <c r="N5" s="130"/>
      <c r="O5" s="99"/>
      <c r="P5" s="99"/>
      <c r="Q5" s="99"/>
      <c r="R5" s="99"/>
      <c r="AC5" s="91"/>
      <c r="AD5" s="132"/>
      <c r="AE5" s="253"/>
      <c r="AF5" s="134"/>
      <c r="AG5" s="135"/>
      <c r="AI5" s="78"/>
      <c r="AJ5" s="122" t="s">
        <v>224</v>
      </c>
      <c r="AK5" s="123" t="s">
        <v>231</v>
      </c>
      <c r="AL5" s="124">
        <v>10</v>
      </c>
      <c r="AM5" s="196">
        <f t="shared" ref="AM5:AM16" si="4">$AO$1</f>
        <v>4.2803129074315516</v>
      </c>
      <c r="AN5" s="126">
        <v>1</v>
      </c>
      <c r="AO5" s="118">
        <f t="shared" ref="AO5:AO16" si="5">AL5*AM5</f>
        <v>42.803129074315514</v>
      </c>
      <c r="AP5" s="119">
        <f t="shared" ref="AP5:AP16" si="6">AO5*AN5</f>
        <v>42.803129074315514</v>
      </c>
      <c r="AR5" s="1128"/>
      <c r="AS5" s="553"/>
      <c r="AT5" s="1126"/>
    </row>
    <row r="6" spans="1:46" ht="14.25" customHeight="1" x14ac:dyDescent="0.3">
      <c r="A6" s="127" t="s">
        <v>95</v>
      </c>
      <c r="B6" s="113" t="s">
        <v>132</v>
      </c>
      <c r="C6" s="123" t="s">
        <v>14</v>
      </c>
      <c r="D6" s="124">
        <v>2</v>
      </c>
      <c r="E6" s="196">
        <f t="shared" ref="E6:E28" si="7">$I$1</f>
        <v>19.494197031039143</v>
      </c>
      <c r="F6" s="126">
        <v>1</v>
      </c>
      <c r="G6" s="118">
        <f t="shared" si="0"/>
        <v>38.988394062078285</v>
      </c>
      <c r="H6" s="119">
        <f t="shared" si="1"/>
        <v>38.988394062078285</v>
      </c>
      <c r="I6" s="80">
        <f>VLOOKUP(B6,All_Ingredients!$A$1:$F$149,6,FALSE())</f>
        <v>1</v>
      </c>
      <c r="J6" s="118">
        <f>VLOOKUP(B6,All_Ingredients!$A$1:$J$149,10,FALSE())</f>
        <v>10</v>
      </c>
      <c r="K6" s="121">
        <f t="shared" ref="K6:K28" si="8">(H6/I6)/1000</f>
        <v>3.8988394062078283E-2</v>
      </c>
      <c r="L6" s="121">
        <f t="shared" ref="L6:L28" si="9">K6*J6</f>
        <v>0.3898839406207828</v>
      </c>
      <c r="M6" s="130"/>
      <c r="N6" s="130"/>
      <c r="AI6" s="78" t="s">
        <v>56</v>
      </c>
      <c r="AJ6" s="122" t="s">
        <v>55</v>
      </c>
      <c r="AK6" s="123" t="s">
        <v>14</v>
      </c>
      <c r="AL6" s="124">
        <v>100</v>
      </c>
      <c r="AM6" s="196">
        <f t="shared" si="4"/>
        <v>4.2803129074315516</v>
      </c>
      <c r="AN6" s="126">
        <v>1</v>
      </c>
      <c r="AO6" s="118">
        <f t="shared" si="5"/>
        <v>428.03129074315518</v>
      </c>
      <c r="AP6" s="119">
        <f t="shared" si="6"/>
        <v>428.03129074315518</v>
      </c>
      <c r="AQ6" s="1126">
        <f>VLOOKUP(AJ6,Marination_Ordering!$A:$J,6,FALSE)</f>
        <v>0.87</v>
      </c>
      <c r="AR6" s="1126">
        <f>VLOOKUP(AJ6,Marination_Ordering!$A:$J,10,FALSE)</f>
        <v>3.2</v>
      </c>
      <c r="AS6" s="553">
        <f>AP6/AQ6</f>
        <v>491.98998935994848</v>
      </c>
      <c r="AT6" s="1126">
        <f>AR6*(AS6/1000)</f>
        <v>1.5743679659518353</v>
      </c>
    </row>
    <row r="7" spans="1:46" ht="14.25" customHeight="1" x14ac:dyDescent="0.3">
      <c r="A7" s="127" t="s">
        <v>95</v>
      </c>
      <c r="B7" s="113" t="s">
        <v>104</v>
      </c>
      <c r="C7" s="123" t="s">
        <v>14</v>
      </c>
      <c r="D7" s="124">
        <v>1</v>
      </c>
      <c r="E7" s="196">
        <f t="shared" si="7"/>
        <v>19.494197031039143</v>
      </c>
      <c r="F7" s="126">
        <v>1</v>
      </c>
      <c r="G7" s="118">
        <f t="shared" si="0"/>
        <v>19.494197031039143</v>
      </c>
      <c r="H7" s="119">
        <f t="shared" si="1"/>
        <v>19.494197031039143</v>
      </c>
      <c r="I7" s="80">
        <f>VLOOKUP(B7,All_Ingredients!$A$1:$F$149,6,FALSE())</f>
        <v>1</v>
      </c>
      <c r="J7" s="118">
        <f>VLOOKUP(B7,All_Ingredients!$A$1:$J$149,10,FALSE())</f>
        <v>19</v>
      </c>
      <c r="K7" s="121">
        <f t="shared" si="8"/>
        <v>1.9494197031039141E-2</v>
      </c>
      <c r="L7" s="121">
        <f t="shared" si="9"/>
        <v>0.37038974358974369</v>
      </c>
      <c r="M7" s="130"/>
      <c r="N7" s="130"/>
      <c r="AI7" s="78" t="s">
        <v>13</v>
      </c>
      <c r="AJ7" s="122" t="s">
        <v>762</v>
      </c>
      <c r="AK7" s="123" t="s">
        <v>14</v>
      </c>
      <c r="AL7" s="124">
        <v>100</v>
      </c>
      <c r="AM7" s="196">
        <f t="shared" si="4"/>
        <v>4.2803129074315516</v>
      </c>
      <c r="AN7" s="126">
        <v>1</v>
      </c>
      <c r="AO7" s="118">
        <f t="shared" si="5"/>
        <v>428.03129074315518</v>
      </c>
      <c r="AP7" s="119">
        <f t="shared" si="6"/>
        <v>428.03129074315518</v>
      </c>
      <c r="AQ7" s="1126">
        <f>VLOOKUP(AJ7,Marination_Ordering!$A:$J,6,FALSE)</f>
        <v>1</v>
      </c>
      <c r="AR7" s="1126">
        <f>VLOOKUP(AJ7,Marination_Ordering!$A:$J,10,FALSE)</f>
        <v>10.5</v>
      </c>
      <c r="AS7" s="553">
        <f t="shared" ref="AS7:AS16" si="10">AP7/AQ7</f>
        <v>428.03129074315518</v>
      </c>
      <c r="AT7" s="1126">
        <f t="shared" ref="AT7:AT16" si="11">AR7*(AS7/1000)</f>
        <v>4.4943285528031289</v>
      </c>
    </row>
    <row r="8" spans="1:46" ht="14.75" customHeight="1" x14ac:dyDescent="0.3">
      <c r="A8" s="127" t="s">
        <v>95</v>
      </c>
      <c r="B8" s="113" t="s">
        <v>127</v>
      </c>
      <c r="C8" s="123" t="s">
        <v>14</v>
      </c>
      <c r="D8" s="124">
        <v>1</v>
      </c>
      <c r="E8" s="196">
        <f t="shared" si="7"/>
        <v>19.494197031039143</v>
      </c>
      <c r="F8" s="126">
        <v>1</v>
      </c>
      <c r="G8" s="118">
        <f t="shared" si="0"/>
        <v>19.494197031039143</v>
      </c>
      <c r="H8" s="119">
        <f t="shared" si="1"/>
        <v>19.494197031039143</v>
      </c>
      <c r="I8" s="80">
        <f>VLOOKUP(B8,All_Ingredients!$A$1:$F$149,6,FALSE())</f>
        <v>1</v>
      </c>
      <c r="J8" s="118">
        <f>VLOOKUP(B8,All_Ingredients!$A$1:$J$149,10,FALSE())</f>
        <v>125</v>
      </c>
      <c r="K8" s="121">
        <f t="shared" si="8"/>
        <v>1.9494197031039141E-2</v>
      </c>
      <c r="L8" s="121">
        <f t="shared" si="9"/>
        <v>2.4367746288798928</v>
      </c>
      <c r="M8" s="130"/>
      <c r="N8" s="130"/>
      <c r="AI8" s="78" t="s">
        <v>206</v>
      </c>
      <c r="AJ8" s="122" t="s">
        <v>214</v>
      </c>
      <c r="AK8" s="123" t="s">
        <v>161</v>
      </c>
      <c r="AL8" s="124">
        <v>200</v>
      </c>
      <c r="AM8" s="196">
        <f t="shared" si="4"/>
        <v>4.2803129074315516</v>
      </c>
      <c r="AN8" s="126">
        <v>1</v>
      </c>
      <c r="AO8" s="118">
        <f t="shared" si="5"/>
        <v>856.06258148631036</v>
      </c>
      <c r="AP8" s="119">
        <f t="shared" si="6"/>
        <v>856.06258148631036</v>
      </c>
      <c r="AQ8" s="1126">
        <f>VLOOKUP(AJ8,Marination_Ordering!$A:$J,6,FALSE)</f>
        <v>1</v>
      </c>
      <c r="AR8" s="1126">
        <f>VLOOKUP(AJ8,Marination_Ordering!$A:$J,10,FALSE)</f>
        <v>5</v>
      </c>
      <c r="AS8" s="553">
        <f t="shared" si="10"/>
        <v>856.06258148631036</v>
      </c>
      <c r="AT8" s="1126">
        <f t="shared" si="11"/>
        <v>4.2803129074315516</v>
      </c>
    </row>
    <row r="9" spans="1:46" ht="14.25" customHeight="1" x14ac:dyDescent="0.3">
      <c r="A9" s="127" t="s">
        <v>95</v>
      </c>
      <c r="B9" s="113" t="s">
        <v>123</v>
      </c>
      <c r="C9" s="123" t="s">
        <v>14</v>
      </c>
      <c r="D9" s="124">
        <v>1</v>
      </c>
      <c r="E9" s="196">
        <f t="shared" si="7"/>
        <v>19.494197031039143</v>
      </c>
      <c r="F9" s="126">
        <v>1</v>
      </c>
      <c r="G9" s="118">
        <f t="shared" si="0"/>
        <v>19.494197031039143</v>
      </c>
      <c r="H9" s="119">
        <f t="shared" si="1"/>
        <v>19.494197031039143</v>
      </c>
      <c r="I9" s="80">
        <f>VLOOKUP(B9,All_Ingredients!$A$1:$F$149,6,FALSE())</f>
        <v>1</v>
      </c>
      <c r="J9" s="118">
        <f>VLOOKUP(B9,All_Ingredients!$A$1:$J$149,10,FALSE())</f>
        <v>14</v>
      </c>
      <c r="K9" s="121">
        <f t="shared" si="8"/>
        <v>1.9494197031039141E-2</v>
      </c>
      <c r="L9" s="121">
        <f t="shared" si="9"/>
        <v>0.27291875843454799</v>
      </c>
      <c r="M9" s="130"/>
      <c r="N9" s="130"/>
      <c r="AI9" s="78" t="s">
        <v>206</v>
      </c>
      <c r="AJ9" s="122" t="s">
        <v>210</v>
      </c>
      <c r="AK9" s="123" t="s">
        <v>161</v>
      </c>
      <c r="AL9" s="124">
        <v>80</v>
      </c>
      <c r="AM9" s="196">
        <f t="shared" si="4"/>
        <v>4.2803129074315516</v>
      </c>
      <c r="AN9" s="126">
        <v>1</v>
      </c>
      <c r="AO9" s="118">
        <f t="shared" si="5"/>
        <v>342.42503259452411</v>
      </c>
      <c r="AP9" s="119">
        <f t="shared" si="6"/>
        <v>342.42503259452411</v>
      </c>
      <c r="AQ9" s="1126">
        <f>VLOOKUP(AJ9,Marination_Ordering!$A:$J,6,FALSE)</f>
        <v>1</v>
      </c>
      <c r="AR9" s="1126">
        <f>VLOOKUP(AJ9,Marination_Ordering!$A:$J,10,FALSE)</f>
        <v>2.1621621621621623</v>
      </c>
      <c r="AS9" s="553">
        <f t="shared" si="10"/>
        <v>342.42503259452411</v>
      </c>
      <c r="AT9" s="1126">
        <f t="shared" si="11"/>
        <v>0.74037844885302517</v>
      </c>
    </row>
    <row r="10" spans="1:46" ht="14.25" customHeight="1" x14ac:dyDescent="0.3">
      <c r="A10" s="127" t="s">
        <v>13</v>
      </c>
      <c r="B10" s="113" t="s">
        <v>12</v>
      </c>
      <c r="C10" s="123" t="s">
        <v>14</v>
      </c>
      <c r="D10" s="124">
        <v>350</v>
      </c>
      <c r="E10" s="196">
        <f t="shared" si="7"/>
        <v>19.494197031039143</v>
      </c>
      <c r="F10" s="126">
        <v>0.95</v>
      </c>
      <c r="G10" s="118">
        <f t="shared" si="0"/>
        <v>6822.9689608637</v>
      </c>
      <c r="H10" s="119">
        <f t="shared" si="1"/>
        <v>6481.8205128205145</v>
      </c>
      <c r="I10" s="80">
        <f>VLOOKUP(B10,All_Ingredients!$A$1:$F$149,6,FALSE())</f>
        <v>0.9</v>
      </c>
      <c r="J10" s="118">
        <f>VLOOKUP(B10,All_Ingredients!$A$1:$J$149,10,FALSE())</f>
        <v>3</v>
      </c>
      <c r="K10" s="121">
        <f t="shared" si="8"/>
        <v>7.2020227920227935</v>
      </c>
      <c r="L10" s="121">
        <f t="shared" si="9"/>
        <v>21.606068376068379</v>
      </c>
      <c r="M10" s="130"/>
      <c r="N10" s="130"/>
      <c r="AI10" s="78" t="s">
        <v>95</v>
      </c>
      <c r="AJ10" s="122" t="s">
        <v>94</v>
      </c>
      <c r="AK10" s="123" t="s">
        <v>14</v>
      </c>
      <c r="AL10" s="124">
        <v>2</v>
      </c>
      <c r="AM10" s="196">
        <f t="shared" si="4"/>
        <v>4.2803129074315516</v>
      </c>
      <c r="AN10" s="126">
        <v>1</v>
      </c>
      <c r="AO10" s="118">
        <f t="shared" si="5"/>
        <v>8.5606258148631031</v>
      </c>
      <c r="AP10" s="119">
        <f t="shared" si="6"/>
        <v>8.5606258148631031</v>
      </c>
      <c r="AQ10" s="1126">
        <f>VLOOKUP(AJ10,Marination_Ordering!$A:$J,6,FALSE)</f>
        <v>1</v>
      </c>
      <c r="AR10" s="1126">
        <f>VLOOKUP(AJ10,Marination_Ordering!$A:$J,10,FALSE)</f>
        <v>0.74</v>
      </c>
      <c r="AS10" s="553">
        <f t="shared" si="10"/>
        <v>8.5606258148631031</v>
      </c>
      <c r="AT10" s="1126">
        <f t="shared" si="11"/>
        <v>6.334863102998696E-3</v>
      </c>
    </row>
    <row r="11" spans="1:46" ht="21.75" customHeight="1" x14ac:dyDescent="0.3">
      <c r="A11" s="127" t="s">
        <v>154</v>
      </c>
      <c r="B11" s="113" t="s">
        <v>176</v>
      </c>
      <c r="C11" s="123" t="s">
        <v>161</v>
      </c>
      <c r="D11" s="124">
        <v>300</v>
      </c>
      <c r="E11" s="196">
        <f t="shared" si="7"/>
        <v>19.494197031039143</v>
      </c>
      <c r="F11" s="126">
        <v>0.9</v>
      </c>
      <c r="G11" s="118">
        <f t="shared" si="0"/>
        <v>5848.2591093117426</v>
      </c>
      <c r="H11" s="119">
        <f t="shared" si="1"/>
        <v>5263.4331983805687</v>
      </c>
      <c r="I11" s="80">
        <f>VLOOKUP(B11,All_Ingredients!$A$1:$F$149,6,FALSE())</f>
        <v>1</v>
      </c>
      <c r="J11" s="118">
        <f>VLOOKUP(B11,All_Ingredients!$A$1:$J$149,10,FALSE())</f>
        <v>9.8958333333333339</v>
      </c>
      <c r="K11" s="121">
        <f t="shared" si="8"/>
        <v>5.2634331983805689</v>
      </c>
      <c r="L11" s="121">
        <f t="shared" si="9"/>
        <v>52.086057692307719</v>
      </c>
      <c r="M11" s="130"/>
      <c r="N11" s="130"/>
      <c r="AI11" s="78" t="s">
        <v>95</v>
      </c>
      <c r="AJ11" s="122" t="s">
        <v>100</v>
      </c>
      <c r="AK11" s="123" t="s">
        <v>14</v>
      </c>
      <c r="AL11" s="124">
        <v>5</v>
      </c>
      <c r="AM11" s="196">
        <f t="shared" si="4"/>
        <v>4.2803129074315516</v>
      </c>
      <c r="AN11" s="126">
        <v>1</v>
      </c>
      <c r="AO11" s="118">
        <f t="shared" si="5"/>
        <v>21.401564537157757</v>
      </c>
      <c r="AP11" s="119">
        <f t="shared" si="6"/>
        <v>21.401564537157757</v>
      </c>
      <c r="AQ11" s="1126">
        <f>VLOOKUP(AJ11,Marination_Ordering!$A:$J,6,FALSE)</f>
        <v>1</v>
      </c>
      <c r="AR11" s="1126">
        <f>VLOOKUP(AJ11,Marination_Ordering!$A:$J,10,FALSE)</f>
        <v>31</v>
      </c>
      <c r="AS11" s="553">
        <f t="shared" si="10"/>
        <v>21.401564537157757</v>
      </c>
      <c r="AT11" s="1126">
        <f t="shared" si="11"/>
        <v>0.66344850065189043</v>
      </c>
    </row>
    <row r="12" spans="1:46" ht="16.25" customHeight="1" x14ac:dyDescent="0.3">
      <c r="A12" s="127" t="s">
        <v>13</v>
      </c>
      <c r="B12" s="113" t="s">
        <v>763</v>
      </c>
      <c r="C12" s="123" t="s">
        <v>14</v>
      </c>
      <c r="D12" s="124">
        <v>200</v>
      </c>
      <c r="E12" s="196">
        <f t="shared" si="7"/>
        <v>19.494197031039143</v>
      </c>
      <c r="F12" s="126">
        <v>0.8</v>
      </c>
      <c r="G12" s="118">
        <f t="shared" si="0"/>
        <v>3898.8394062078287</v>
      </c>
      <c r="H12" s="119">
        <f t="shared" si="1"/>
        <v>3119.071524966263</v>
      </c>
      <c r="I12" s="80">
        <f>VLOOKUP(B12,All_Ingredients!$A$1:$F$149,6,FALSE())</f>
        <v>1</v>
      </c>
      <c r="J12" s="118">
        <f>VLOOKUP(B12,All_Ingredients!$A$1:$J$149,10,FALSE())</f>
        <v>40.74074074074074</v>
      </c>
      <c r="K12" s="121">
        <f t="shared" si="8"/>
        <v>3.1190715249662628</v>
      </c>
      <c r="L12" s="121">
        <f t="shared" si="9"/>
        <v>127.07328435047738</v>
      </c>
      <c r="M12" s="130"/>
      <c r="N12" s="130"/>
      <c r="AI12" s="78" t="s">
        <v>215</v>
      </c>
      <c r="AJ12" s="122" t="s">
        <v>216</v>
      </c>
      <c r="AK12" s="123" t="s">
        <v>14</v>
      </c>
      <c r="AL12" s="124">
        <v>3</v>
      </c>
      <c r="AM12" s="196">
        <f t="shared" si="4"/>
        <v>4.2803129074315516</v>
      </c>
      <c r="AN12" s="126">
        <v>1</v>
      </c>
      <c r="AO12" s="118">
        <f t="shared" si="5"/>
        <v>12.840938722294656</v>
      </c>
      <c r="AP12" s="119">
        <f t="shared" si="6"/>
        <v>12.840938722294656</v>
      </c>
      <c r="AQ12" s="1126">
        <f>VLOOKUP(AJ12,Marination_Ordering!$A:$J,6,FALSE)</f>
        <v>1</v>
      </c>
      <c r="AR12" s="1126">
        <f>VLOOKUP(AJ12,Marination_Ordering!$A:$J,10,FALSE)</f>
        <v>35</v>
      </c>
      <c r="AS12" s="553">
        <f t="shared" si="10"/>
        <v>12.840938722294656</v>
      </c>
      <c r="AT12" s="1126">
        <f t="shared" si="11"/>
        <v>0.44943285528031296</v>
      </c>
    </row>
    <row r="13" spans="1:46" ht="14.25" customHeight="1" x14ac:dyDescent="0.3">
      <c r="A13" s="127" t="s">
        <v>13</v>
      </c>
      <c r="B13" s="113" t="s">
        <v>762</v>
      </c>
      <c r="C13" s="123" t="s">
        <v>14</v>
      </c>
      <c r="D13" s="124">
        <v>25</v>
      </c>
      <c r="E13" s="196">
        <f t="shared" si="7"/>
        <v>19.494197031039143</v>
      </c>
      <c r="F13" s="126">
        <v>0.95</v>
      </c>
      <c r="G13" s="118">
        <f t="shared" si="0"/>
        <v>487.35492577597859</v>
      </c>
      <c r="H13" s="119">
        <f t="shared" si="1"/>
        <v>462.98717948717962</v>
      </c>
      <c r="I13" s="80">
        <f>VLOOKUP(B13,All_Ingredients!$A$1:$F$149,6,FALSE())</f>
        <v>1</v>
      </c>
      <c r="J13" s="118">
        <f>VLOOKUP(B13,All_Ingredients!$A$1:$J$149,10,FALSE())</f>
        <v>10.5</v>
      </c>
      <c r="K13" s="121">
        <f t="shared" si="8"/>
        <v>0.4629871794871796</v>
      </c>
      <c r="L13" s="121">
        <f t="shared" si="9"/>
        <v>4.8613653846153859</v>
      </c>
      <c r="M13" s="130"/>
      <c r="N13" s="130"/>
      <c r="AI13" s="78" t="s">
        <v>154</v>
      </c>
      <c r="AJ13" s="122" t="s">
        <v>176</v>
      </c>
      <c r="AK13" s="123" t="s">
        <v>161</v>
      </c>
      <c r="AL13" s="124">
        <v>100</v>
      </c>
      <c r="AM13" s="196">
        <f t="shared" si="4"/>
        <v>4.2803129074315516</v>
      </c>
      <c r="AN13" s="126">
        <v>1</v>
      </c>
      <c r="AO13" s="118">
        <f t="shared" si="5"/>
        <v>428.03129074315518</v>
      </c>
      <c r="AP13" s="119">
        <f t="shared" si="6"/>
        <v>428.03129074315518</v>
      </c>
      <c r="AQ13" s="1126">
        <f>VLOOKUP(AJ13,Marination_Ordering!$A:$J,6,FALSE)</f>
        <v>1</v>
      </c>
      <c r="AR13" s="1126">
        <f>VLOOKUP(AJ13,Marination_Ordering!$A:$J,10,FALSE)</f>
        <v>9.8958333333333339</v>
      </c>
      <c r="AS13" s="553">
        <f t="shared" si="10"/>
        <v>428.03129074315518</v>
      </c>
      <c r="AT13" s="1126">
        <f t="shared" si="11"/>
        <v>4.2357263146458068</v>
      </c>
    </row>
    <row r="14" spans="1:46" ht="14.75" customHeight="1" x14ac:dyDescent="0.3">
      <c r="A14" s="127" t="s">
        <v>95</v>
      </c>
      <c r="B14" s="113" t="s">
        <v>116</v>
      </c>
      <c r="C14" s="123" t="s">
        <v>14</v>
      </c>
      <c r="D14" s="124">
        <v>10</v>
      </c>
      <c r="E14" s="196">
        <f t="shared" si="7"/>
        <v>19.494197031039143</v>
      </c>
      <c r="F14" s="126">
        <v>0.75</v>
      </c>
      <c r="G14" s="118">
        <f t="shared" si="0"/>
        <v>194.94197031039141</v>
      </c>
      <c r="H14" s="119">
        <f t="shared" si="1"/>
        <v>146.20647773279356</v>
      </c>
      <c r="I14" s="80">
        <f>VLOOKUP(B14,All_Ingredients!$A$1:$F$149,6,FALSE())</f>
        <v>1</v>
      </c>
      <c r="J14" s="118">
        <f>VLOOKUP(B14,All_Ingredients!$A$1:$J$149,10,FALSE())</f>
        <v>14.5</v>
      </c>
      <c r="K14" s="121">
        <f t="shared" si="8"/>
        <v>0.14620647773279355</v>
      </c>
      <c r="L14" s="121">
        <f t="shared" si="9"/>
        <v>2.1199939271255066</v>
      </c>
      <c r="M14" s="130"/>
      <c r="N14" s="130"/>
      <c r="AI14" s="78" t="s">
        <v>95</v>
      </c>
      <c r="AJ14" s="122" t="s">
        <v>106</v>
      </c>
      <c r="AK14" s="123" t="s">
        <v>14</v>
      </c>
      <c r="AL14" s="124">
        <v>25</v>
      </c>
      <c r="AM14" s="196">
        <f t="shared" si="4"/>
        <v>4.2803129074315516</v>
      </c>
      <c r="AN14" s="126">
        <v>1</v>
      </c>
      <c r="AO14" s="118">
        <f t="shared" si="5"/>
        <v>107.0078226857888</v>
      </c>
      <c r="AP14" s="119">
        <f t="shared" si="6"/>
        <v>107.0078226857888</v>
      </c>
      <c r="AQ14" s="1126">
        <f>VLOOKUP(AJ14,Marination_Ordering!$A:$J,6,FALSE)</f>
        <v>1</v>
      </c>
      <c r="AR14" s="1126">
        <f>VLOOKUP(AJ14,Marination_Ordering!$A:$J,10,FALSE)</f>
        <v>15</v>
      </c>
      <c r="AS14" s="553">
        <f t="shared" si="10"/>
        <v>107.0078226857888</v>
      </c>
      <c r="AT14" s="1126">
        <f t="shared" si="11"/>
        <v>1.605117340286832</v>
      </c>
    </row>
    <row r="15" spans="1:46" ht="12.75" customHeight="1" x14ac:dyDescent="0.3">
      <c r="A15" s="127" t="s">
        <v>215</v>
      </c>
      <c r="B15" s="113" t="s">
        <v>216</v>
      </c>
      <c r="C15" s="123" t="s">
        <v>14</v>
      </c>
      <c r="D15" s="124">
        <v>2</v>
      </c>
      <c r="E15" s="196">
        <f t="shared" si="7"/>
        <v>19.494197031039143</v>
      </c>
      <c r="F15" s="126">
        <v>1</v>
      </c>
      <c r="G15" s="118">
        <f t="shared" si="0"/>
        <v>38.988394062078285</v>
      </c>
      <c r="H15" s="119">
        <f t="shared" si="1"/>
        <v>38.988394062078285</v>
      </c>
      <c r="I15" s="80">
        <f>VLOOKUP(B15,All_Ingredients!$A$1:$F$149,6,FALSE())</f>
        <v>1</v>
      </c>
      <c r="J15" s="118">
        <f>VLOOKUP(B15,All_Ingredients!$A$1:$J$149,10,FALSE())</f>
        <v>35</v>
      </c>
      <c r="K15" s="121">
        <f t="shared" si="8"/>
        <v>3.8988394062078283E-2</v>
      </c>
      <c r="L15" s="121">
        <f t="shared" si="9"/>
        <v>1.3645937921727398</v>
      </c>
      <c r="M15" s="130"/>
      <c r="N15" s="130"/>
      <c r="AI15" s="78" t="s">
        <v>95</v>
      </c>
      <c r="AJ15" s="122" t="s">
        <v>109</v>
      </c>
      <c r="AK15" s="123" t="s">
        <v>14</v>
      </c>
      <c r="AL15" s="124">
        <v>50</v>
      </c>
      <c r="AM15" s="196">
        <f t="shared" si="4"/>
        <v>4.2803129074315516</v>
      </c>
      <c r="AN15" s="126">
        <v>1</v>
      </c>
      <c r="AO15" s="118">
        <f t="shared" si="5"/>
        <v>214.01564537157759</v>
      </c>
      <c r="AP15" s="119">
        <f t="shared" si="6"/>
        <v>214.01564537157759</v>
      </c>
      <c r="AQ15" s="1126">
        <f>VLOOKUP(AJ15,Marination_Ordering!$A:$J,6,FALSE)</f>
        <v>1</v>
      </c>
      <c r="AR15" s="1126">
        <f>VLOOKUP(AJ15,Marination_Ordering!$A:$J,10,FALSE)</f>
        <v>26.5</v>
      </c>
      <c r="AS15" s="553">
        <f t="shared" si="10"/>
        <v>214.01564537157759</v>
      </c>
      <c r="AT15" s="1126">
        <f t="shared" si="11"/>
        <v>5.6714146023468057</v>
      </c>
    </row>
    <row r="16" spans="1:46" ht="14.75" customHeight="1" x14ac:dyDescent="0.3">
      <c r="A16" s="127" t="s">
        <v>95</v>
      </c>
      <c r="B16" s="113" t="s">
        <v>94</v>
      </c>
      <c r="C16" s="123" t="s">
        <v>14</v>
      </c>
      <c r="D16" s="124">
        <v>11</v>
      </c>
      <c r="E16" s="196">
        <f t="shared" si="7"/>
        <v>19.494197031039143</v>
      </c>
      <c r="F16" s="126">
        <v>0.75</v>
      </c>
      <c r="G16" s="118">
        <f t="shared" si="0"/>
        <v>214.43616734143058</v>
      </c>
      <c r="H16" s="119">
        <f t="shared" si="1"/>
        <v>160.82712550607295</v>
      </c>
      <c r="I16" s="80">
        <f>VLOOKUP(B16,All_Ingredients!$A$1:$F$149,6,FALSE())</f>
        <v>1</v>
      </c>
      <c r="J16" s="118">
        <f>VLOOKUP(B16,All_Ingredients!$A$1:$J$149,10,FALSE())</f>
        <v>0.74</v>
      </c>
      <c r="K16" s="121">
        <f t="shared" si="8"/>
        <v>0.16082712550607295</v>
      </c>
      <c r="L16" s="121">
        <f t="shared" si="9"/>
        <v>0.11901207287449397</v>
      </c>
      <c r="M16" s="130"/>
      <c r="N16" s="130"/>
      <c r="AI16" s="78" t="s">
        <v>215</v>
      </c>
      <c r="AJ16" s="122" t="s">
        <v>877</v>
      </c>
      <c r="AK16" s="123" t="s">
        <v>14</v>
      </c>
      <c r="AL16" s="124">
        <v>5</v>
      </c>
      <c r="AM16" s="196">
        <f t="shared" si="4"/>
        <v>4.2803129074315516</v>
      </c>
      <c r="AN16" s="126">
        <v>1</v>
      </c>
      <c r="AO16" s="118">
        <f t="shared" si="5"/>
        <v>21.401564537157757</v>
      </c>
      <c r="AP16" s="119">
        <f t="shared" si="6"/>
        <v>21.401564537157757</v>
      </c>
      <c r="AQ16" s="1126">
        <f>VLOOKUP(AJ16,Marination_Ordering!$A:$J,6,FALSE)</f>
        <v>1</v>
      </c>
      <c r="AR16" s="1126">
        <f>VLOOKUP(AJ16,Marination_Ordering!$A:$J,10,FALSE)</f>
        <v>22.5</v>
      </c>
      <c r="AS16" s="553">
        <f t="shared" si="10"/>
        <v>21.401564537157757</v>
      </c>
      <c r="AT16" s="1126">
        <f t="shared" si="11"/>
        <v>0.48153520208604955</v>
      </c>
    </row>
    <row r="17" spans="1:32" ht="14.25" customHeight="1" x14ac:dyDescent="0.3">
      <c r="A17" s="127" t="s">
        <v>206</v>
      </c>
      <c r="B17" s="113" t="s">
        <v>205</v>
      </c>
      <c r="C17" s="123" t="s">
        <v>161</v>
      </c>
      <c r="D17" s="124">
        <v>500</v>
      </c>
      <c r="E17" s="196">
        <f t="shared" si="7"/>
        <v>19.494197031039143</v>
      </c>
      <c r="F17" s="126">
        <v>0.75</v>
      </c>
      <c r="G17" s="118">
        <f t="shared" si="0"/>
        <v>9747.0985155195722</v>
      </c>
      <c r="H17" s="119">
        <f t="shared" si="1"/>
        <v>7310.3238866396787</v>
      </c>
      <c r="I17" s="80">
        <f>VLOOKUP(B17,All_Ingredients!$A$1:$F$149,6,FALSE())</f>
        <v>1</v>
      </c>
      <c r="J17" s="118">
        <f>VLOOKUP(B17,All_Ingredients!$A$1:$J$149,10,FALSE())</f>
        <v>0</v>
      </c>
      <c r="K17" s="121">
        <f t="shared" si="8"/>
        <v>7.3103238866396785</v>
      </c>
      <c r="L17" s="121">
        <f t="shared" si="9"/>
        <v>0</v>
      </c>
      <c r="M17" s="130"/>
      <c r="N17" s="130"/>
    </row>
    <row r="18" spans="1:32" ht="14.25" customHeight="1" x14ac:dyDescent="0.3">
      <c r="A18" s="127" t="s">
        <v>62</v>
      </c>
      <c r="B18" s="113" t="s">
        <v>76</v>
      </c>
      <c r="C18" s="123" t="s">
        <v>14</v>
      </c>
      <c r="D18" s="124">
        <v>3</v>
      </c>
      <c r="E18" s="196">
        <f t="shared" si="7"/>
        <v>19.494197031039143</v>
      </c>
      <c r="F18" s="126">
        <v>1</v>
      </c>
      <c r="G18" s="118">
        <f t="shared" si="0"/>
        <v>58.482591093117428</v>
      </c>
      <c r="H18" s="119">
        <f t="shared" si="1"/>
        <v>58.482591093117428</v>
      </c>
      <c r="I18" s="80">
        <f>VLOOKUP(B18,All_Ingredients!$A$1:$F$149,6,FALSE())</f>
        <v>0.6</v>
      </c>
      <c r="J18" s="118">
        <f>VLOOKUP(B18,All_Ingredients!$A$1:$J$149,10,FALSE())</f>
        <v>90</v>
      </c>
      <c r="K18" s="121">
        <f t="shared" si="8"/>
        <v>9.7470985155195713E-2</v>
      </c>
      <c r="L18" s="121">
        <f t="shared" si="9"/>
        <v>8.7723886639676145</v>
      </c>
      <c r="M18" s="130"/>
      <c r="N18" s="130"/>
    </row>
    <row r="19" spans="1:32" ht="14.25" customHeight="1" x14ac:dyDescent="0.3">
      <c r="A19" s="127" t="s">
        <v>62</v>
      </c>
      <c r="B19" s="113" t="s">
        <v>61</v>
      </c>
      <c r="C19" s="123" t="s">
        <v>14</v>
      </c>
      <c r="D19" s="124">
        <v>10</v>
      </c>
      <c r="E19" s="196">
        <f t="shared" si="7"/>
        <v>19.494197031039143</v>
      </c>
      <c r="F19" s="126">
        <v>1</v>
      </c>
      <c r="G19" s="118">
        <f t="shared" si="0"/>
        <v>194.94197031039141</v>
      </c>
      <c r="H19" s="119">
        <f t="shared" si="1"/>
        <v>194.94197031039141</v>
      </c>
      <c r="I19" s="80">
        <f>VLOOKUP(B19,All_Ingredients!$A$1:$F$149,6,FALSE())</f>
        <v>0.94</v>
      </c>
      <c r="J19" s="118">
        <f>VLOOKUP(B19,All_Ingredients!$A$1:$J$149,10,FALSE())</f>
        <v>3.6363636363636367</v>
      </c>
      <c r="K19" s="121">
        <f t="shared" si="8"/>
        <v>0.20738507479828874</v>
      </c>
      <c r="L19" s="121">
        <f t="shared" si="9"/>
        <v>0.75412754472105004</v>
      </c>
      <c r="M19" s="130"/>
      <c r="N19" s="130"/>
    </row>
    <row r="20" spans="1:32" ht="14.25" customHeight="1" x14ac:dyDescent="0.3">
      <c r="A20" s="127" t="s">
        <v>154</v>
      </c>
      <c r="B20" s="113" t="s">
        <v>153</v>
      </c>
      <c r="C20" s="123" t="s">
        <v>14</v>
      </c>
      <c r="D20" s="124">
        <v>50</v>
      </c>
      <c r="E20" s="196">
        <f t="shared" si="7"/>
        <v>19.494197031039143</v>
      </c>
      <c r="F20" s="126">
        <v>1</v>
      </c>
      <c r="G20" s="118">
        <f t="shared" si="0"/>
        <v>974.70985155195717</v>
      </c>
      <c r="H20" s="119">
        <f t="shared" si="1"/>
        <v>974.70985155195717</v>
      </c>
      <c r="I20" s="80">
        <f>VLOOKUP(B20,All_Ingredients!$A$1:$F$149,6,FALSE())</f>
        <v>1</v>
      </c>
      <c r="J20" s="118">
        <f>VLOOKUP(B20,All_Ingredients!$A$1:$J$149,10,FALSE())</f>
        <v>30</v>
      </c>
      <c r="K20" s="121">
        <f t="shared" si="8"/>
        <v>0.97470985155195722</v>
      </c>
      <c r="L20" s="121">
        <f t="shared" si="9"/>
        <v>29.241295546558717</v>
      </c>
      <c r="M20" s="130"/>
      <c r="N20" s="130"/>
    </row>
    <row r="21" spans="1:32" ht="14.25" customHeight="1" x14ac:dyDescent="0.3">
      <c r="A21" s="127" t="s">
        <v>95</v>
      </c>
      <c r="B21" s="113" t="s">
        <v>125</v>
      </c>
      <c r="C21" s="123" t="s">
        <v>14</v>
      </c>
      <c r="D21" s="124">
        <v>1</v>
      </c>
      <c r="E21" s="196">
        <f t="shared" si="7"/>
        <v>19.494197031039143</v>
      </c>
      <c r="F21" s="126">
        <v>1</v>
      </c>
      <c r="G21" s="118">
        <f t="shared" si="0"/>
        <v>19.494197031039143</v>
      </c>
      <c r="H21" s="119">
        <f t="shared" si="1"/>
        <v>19.494197031039143</v>
      </c>
      <c r="I21" s="80">
        <f>VLOOKUP(B21,All_Ingredients!$A$1:$F$149,6,FALSE())</f>
        <v>1</v>
      </c>
      <c r="J21" s="118">
        <f>VLOOKUP(B21,All_Ingredients!$A$1:$J$149,10,FALSE())</f>
        <v>37</v>
      </c>
      <c r="K21" s="121">
        <f t="shared" si="8"/>
        <v>1.9494197031039141E-2</v>
      </c>
      <c r="L21" s="121">
        <f t="shared" si="9"/>
        <v>0.72128529014844822</v>
      </c>
      <c r="M21" s="130"/>
      <c r="N21" s="130"/>
    </row>
    <row r="22" spans="1:32" ht="14.25" customHeight="1" x14ac:dyDescent="0.3">
      <c r="A22" s="127" t="s">
        <v>95</v>
      </c>
      <c r="B22" s="113" t="s">
        <v>108</v>
      </c>
      <c r="C22" s="123" t="s">
        <v>14</v>
      </c>
      <c r="D22" s="124">
        <v>15</v>
      </c>
      <c r="E22" s="196">
        <f t="shared" si="7"/>
        <v>19.494197031039143</v>
      </c>
      <c r="F22" s="126">
        <v>1</v>
      </c>
      <c r="G22" s="118">
        <f t="shared" si="0"/>
        <v>292.41295546558712</v>
      </c>
      <c r="H22" s="119">
        <f t="shared" si="1"/>
        <v>292.41295546558712</v>
      </c>
      <c r="I22" s="80">
        <f>VLOOKUP(B22,All_Ingredients!$A$1:$F$149,6,FALSE())</f>
        <v>1</v>
      </c>
      <c r="J22" s="118">
        <f>VLOOKUP(B22,All_Ingredients!$A$1:$J$149,10,FALSE())</f>
        <v>8</v>
      </c>
      <c r="K22" s="121">
        <f t="shared" si="8"/>
        <v>0.2924129554655871</v>
      </c>
      <c r="L22" s="121">
        <f t="shared" si="9"/>
        <v>2.3393036437246968</v>
      </c>
      <c r="M22" s="130"/>
      <c r="N22" s="130"/>
    </row>
    <row r="23" spans="1:32" ht="14.25" customHeight="1" x14ac:dyDescent="0.3">
      <c r="A23" s="127" t="s">
        <v>95</v>
      </c>
      <c r="B23" s="113" t="s">
        <v>106</v>
      </c>
      <c r="C23" s="123" t="s">
        <v>14</v>
      </c>
      <c r="D23" s="124">
        <v>2</v>
      </c>
      <c r="E23" s="196">
        <f t="shared" si="7"/>
        <v>19.494197031039143</v>
      </c>
      <c r="F23" s="126">
        <v>1</v>
      </c>
      <c r="G23" s="118">
        <f t="shared" si="0"/>
        <v>38.988394062078285</v>
      </c>
      <c r="H23" s="119">
        <f t="shared" si="1"/>
        <v>38.988394062078285</v>
      </c>
      <c r="I23" s="80">
        <f>VLOOKUP(B23,All_Ingredients!$A$1:$F$149,6,FALSE())</f>
        <v>1</v>
      </c>
      <c r="J23" s="118">
        <f>VLOOKUP(B23,All_Ingredients!$A$1:$J$149,10,FALSE())</f>
        <v>15</v>
      </c>
      <c r="K23" s="121">
        <f t="shared" si="8"/>
        <v>3.8988394062078283E-2</v>
      </c>
      <c r="L23" s="121">
        <f t="shared" si="9"/>
        <v>0.5848259109311742</v>
      </c>
      <c r="M23" s="130"/>
      <c r="N23" s="130"/>
    </row>
    <row r="24" spans="1:32" ht="14.25" customHeight="1" x14ac:dyDescent="0.3">
      <c r="A24" s="127" t="s">
        <v>95</v>
      </c>
      <c r="B24" s="113" t="s">
        <v>119</v>
      </c>
      <c r="C24" s="123" t="s">
        <v>14</v>
      </c>
      <c r="D24" s="124">
        <v>1</v>
      </c>
      <c r="E24" s="196">
        <f t="shared" si="7"/>
        <v>19.494197031039143</v>
      </c>
      <c r="F24" s="126">
        <v>1</v>
      </c>
      <c r="G24" s="118">
        <f t="shared" si="0"/>
        <v>19.494197031039143</v>
      </c>
      <c r="H24" s="119">
        <f t="shared" si="1"/>
        <v>19.494197031039143</v>
      </c>
      <c r="I24" s="80">
        <f>VLOOKUP(B24,All_Ingredients!$A$1:$F$149,6,FALSE())</f>
        <v>1</v>
      </c>
      <c r="J24" s="118">
        <f>VLOOKUP(B24,All_Ingredients!$A$1:$J$149,10,FALSE())</f>
        <v>15</v>
      </c>
      <c r="K24" s="121">
        <f t="shared" si="8"/>
        <v>1.9494197031039141E-2</v>
      </c>
      <c r="L24" s="121">
        <f t="shared" si="9"/>
        <v>0.2924129554655871</v>
      </c>
      <c r="M24" s="130"/>
      <c r="N24" s="130"/>
      <c r="Z24" s="1208"/>
    </row>
    <row r="25" spans="1:32" ht="14.25" customHeight="1" x14ac:dyDescent="0.35">
      <c r="A25" s="127"/>
      <c r="B25" s="113" t="s">
        <v>214</v>
      </c>
      <c r="C25" s="123" t="s">
        <v>161</v>
      </c>
      <c r="D25" s="124">
        <v>20</v>
      </c>
      <c r="E25" s="196">
        <f t="shared" si="7"/>
        <v>19.494197031039143</v>
      </c>
      <c r="F25" s="126">
        <v>1</v>
      </c>
      <c r="G25" s="118">
        <f t="shared" si="0"/>
        <v>389.88394062078282</v>
      </c>
      <c r="H25" s="119">
        <f t="shared" si="1"/>
        <v>389.88394062078282</v>
      </c>
      <c r="I25" s="80">
        <f>VLOOKUP(B25,All_Ingredients!$A$1:$F$149,6,FALSE())</f>
        <v>1</v>
      </c>
      <c r="J25" s="118">
        <f>VLOOKUP(B25,All_Ingredients!$A$1:$J$149,10,FALSE())</f>
        <v>5</v>
      </c>
      <c r="K25" s="121">
        <f t="shared" si="8"/>
        <v>0.3898839406207828</v>
      </c>
      <c r="L25" s="121">
        <f t="shared" si="9"/>
        <v>1.949419703103914</v>
      </c>
      <c r="R25" s="1440" t="s">
        <v>362</v>
      </c>
      <c r="S25" s="1444"/>
      <c r="T25" s="1444"/>
      <c r="U25" s="1444"/>
      <c r="V25" s="1132"/>
      <c r="Z25" s="140" t="s">
        <v>256</v>
      </c>
      <c r="AA25" s="141">
        <v>1</v>
      </c>
      <c r="AB25" s="140" t="s">
        <v>253</v>
      </c>
      <c r="AC25" s="1351">
        <f>(AA25*(4/3))*AF30+(AA30*(AB28/R1))</f>
        <v>3.4759442276505931E-2</v>
      </c>
    </row>
    <row r="26" spans="1:32" ht="14.25" customHeight="1" x14ac:dyDescent="0.3">
      <c r="A26" s="127"/>
      <c r="B26" s="113" t="s">
        <v>130</v>
      </c>
      <c r="C26" s="123" t="s">
        <v>14</v>
      </c>
      <c r="D26" s="124">
        <v>1</v>
      </c>
      <c r="E26" s="196">
        <f t="shared" si="7"/>
        <v>19.494197031039143</v>
      </c>
      <c r="F26" s="126">
        <v>1</v>
      </c>
      <c r="G26" s="118">
        <f t="shared" si="0"/>
        <v>19.494197031039143</v>
      </c>
      <c r="H26" s="119">
        <f t="shared" si="1"/>
        <v>19.494197031039143</v>
      </c>
      <c r="I26" s="80">
        <f>VLOOKUP(B26,All_Ingredients!$A$1:$F$149,6,FALSE())</f>
        <v>1</v>
      </c>
      <c r="J26" s="118">
        <f>VLOOKUP(B26,All_Ingredients!$A$1:$J$149,10,FALSE())</f>
        <v>31.5</v>
      </c>
      <c r="K26" s="121">
        <f t="shared" si="8"/>
        <v>1.9494197031039141E-2</v>
      </c>
      <c r="L26" s="121">
        <f t="shared" si="9"/>
        <v>0.61406720647773294</v>
      </c>
      <c r="R26" s="1459" t="s">
        <v>257</v>
      </c>
      <c r="S26" s="1444"/>
      <c r="T26" s="1444"/>
      <c r="U26" s="1444"/>
      <c r="V26" s="1132"/>
    </row>
    <row r="27" spans="1:32" ht="14.25" customHeight="1" thickBot="1" x14ac:dyDescent="0.4">
      <c r="A27" s="127"/>
      <c r="B27" s="113" t="s">
        <v>200</v>
      </c>
      <c r="C27" s="992" t="s">
        <v>161</v>
      </c>
      <c r="D27" s="124">
        <v>20</v>
      </c>
      <c r="E27" s="196">
        <f t="shared" si="7"/>
        <v>19.494197031039143</v>
      </c>
      <c r="F27" s="126">
        <v>1</v>
      </c>
      <c r="G27" s="118">
        <f t="shared" si="0"/>
        <v>389.88394062078282</v>
      </c>
      <c r="H27" s="119">
        <f t="shared" si="1"/>
        <v>389.88394062078282</v>
      </c>
      <c r="I27" s="80">
        <f>VLOOKUP(B27,All_Ingredients!$A$1:$F$149,6,FALSE())</f>
        <v>1</v>
      </c>
      <c r="J27" s="118">
        <f>VLOOKUP(B27,All_Ingredients!$A$1:$J$149,10,FALSE())</f>
        <v>3.25</v>
      </c>
      <c r="K27" s="121">
        <f t="shared" si="8"/>
        <v>0.3898839406207828</v>
      </c>
      <c r="L27" s="121">
        <f t="shared" si="9"/>
        <v>1.267122807017544</v>
      </c>
      <c r="R27" s="144" t="s">
        <v>258</v>
      </c>
      <c r="S27" s="145" t="s">
        <v>259</v>
      </c>
      <c r="T27" s="145" t="s">
        <v>260</v>
      </c>
      <c r="U27" s="145" t="s">
        <v>266</v>
      </c>
      <c r="V27" s="145" t="s">
        <v>808</v>
      </c>
      <c r="W27" s="145" t="s">
        <v>817</v>
      </c>
      <c r="Z27" s="140" t="s">
        <v>262</v>
      </c>
      <c r="AA27" s="1166" t="s">
        <v>316</v>
      </c>
      <c r="AB27" s="146" t="s">
        <v>263</v>
      </c>
      <c r="AC27" s="146" t="s">
        <v>264</v>
      </c>
      <c r="AD27" s="146" t="s">
        <v>265</v>
      </c>
      <c r="AE27" s="1167" t="s">
        <v>817</v>
      </c>
      <c r="AF27" s="146" t="s">
        <v>266</v>
      </c>
    </row>
    <row r="28" spans="1:32" ht="14.25" customHeight="1" thickBot="1" x14ac:dyDescent="0.35">
      <c r="A28" s="127"/>
      <c r="B28" s="113" t="s">
        <v>185</v>
      </c>
      <c r="C28" s="123" t="s">
        <v>14</v>
      </c>
      <c r="D28" s="124">
        <v>20</v>
      </c>
      <c r="E28" s="196">
        <f t="shared" si="7"/>
        <v>19.494197031039143</v>
      </c>
      <c r="F28" s="126">
        <v>1</v>
      </c>
      <c r="G28" s="118">
        <f t="shared" si="0"/>
        <v>389.88394062078282</v>
      </c>
      <c r="H28" s="119">
        <f t="shared" si="1"/>
        <v>389.88394062078282</v>
      </c>
      <c r="I28" s="80">
        <f>VLOOKUP(B28,All_Ingredients!$A$1:$F$149,6,FALSE())</f>
        <v>1</v>
      </c>
      <c r="J28" s="118">
        <f>VLOOKUP(B28,All_Ingredients!$A$1:$J$149,10,FALSE())</f>
        <v>17</v>
      </c>
      <c r="K28" s="121">
        <f t="shared" si="8"/>
        <v>0.3898839406207828</v>
      </c>
      <c r="L28" s="121">
        <f t="shared" si="9"/>
        <v>6.6280269905533071</v>
      </c>
      <c r="R28" s="147" t="s">
        <v>267</v>
      </c>
      <c r="S28" s="1371">
        <f>U28*S40</f>
        <v>25253.846153846149</v>
      </c>
      <c r="T28" s="1371">
        <f>U28*U40</f>
        <v>7576.1538461538539</v>
      </c>
      <c r="U28" s="1342">
        <f>$Z$1</f>
        <v>32830</v>
      </c>
      <c r="V28" s="148">
        <f>SUM(AP5:AP13)</f>
        <v>2568.1877444589313</v>
      </c>
      <c r="W28" s="148">
        <f>H37</f>
        <v>0</v>
      </c>
      <c r="Z28" s="150"/>
      <c r="AA28" s="1169"/>
      <c r="AB28" s="151">
        <f>AA25*$S$40</f>
        <v>0.76923076923076905</v>
      </c>
      <c r="AC28" s="151">
        <f>AA25*U40</f>
        <v>0.230769230769231</v>
      </c>
      <c r="AD28" s="152">
        <f>AA25*(1/3)</f>
        <v>0.33333333333333331</v>
      </c>
      <c r="AE28" s="1169"/>
      <c r="AF28" s="153">
        <f>SUM(AB28:AD28)</f>
        <v>1.3333333333333333</v>
      </c>
    </row>
    <row r="29" spans="1:32" ht="21" customHeight="1" thickBot="1" x14ac:dyDescent="0.35">
      <c r="L29" s="296"/>
      <c r="R29" s="147" t="s">
        <v>268</v>
      </c>
      <c r="S29" s="1374"/>
      <c r="T29" s="148">
        <f>U28*(1/3)</f>
        <v>10943.333333333332</v>
      </c>
      <c r="U29" s="1371">
        <f>T29</f>
        <v>10943.333333333332</v>
      </c>
      <c r="V29" s="148"/>
      <c r="W29" s="148"/>
      <c r="Z29" s="150"/>
      <c r="AA29" s="1173"/>
      <c r="AB29" s="155">
        <f>AB28/$AF$28</f>
        <v>0.57692307692307687</v>
      </c>
      <c r="AC29" s="155">
        <f>AC28/$AF$28</f>
        <v>0.17307692307692327</v>
      </c>
      <c r="AD29" s="155">
        <f>AD28/$AF$28</f>
        <v>0.25</v>
      </c>
      <c r="AE29" s="1173"/>
      <c r="AF29" s="155">
        <f>AF28/$AF$28</f>
        <v>1</v>
      </c>
    </row>
    <row r="30" spans="1:32" ht="19.25" customHeight="1" thickBot="1" x14ac:dyDescent="0.35">
      <c r="L30" s="296"/>
      <c r="R30" s="147" t="s">
        <v>269</v>
      </c>
      <c r="S30" s="1382">
        <f>U30*S40</f>
        <v>0</v>
      </c>
      <c r="T30" s="1382">
        <f>(U30*U40)+(U30*(1/3))</f>
        <v>0</v>
      </c>
      <c r="U30" s="1342">
        <f>$AB$1</f>
        <v>0</v>
      </c>
      <c r="V30" s="1124"/>
      <c r="W30" s="1124"/>
      <c r="Z30" s="140" t="s">
        <v>270</v>
      </c>
      <c r="AA30" s="1217">
        <f>V35/(S32/R1)</f>
        <v>5.6543523982603293E-4</v>
      </c>
      <c r="AB30" s="156">
        <f>S35/(S32)</f>
        <v>3.3701221915648408E-2</v>
      </c>
      <c r="AC30" s="157">
        <f>T35/T32</f>
        <v>1.4355938496197507E-2</v>
      </c>
      <c r="AD30" s="157">
        <f>T35/T32</f>
        <v>1.4355938496197507E-2</v>
      </c>
      <c r="AE30" s="1180">
        <f>W35/U32</f>
        <v>0</v>
      </c>
      <c r="AF30" s="158">
        <f>SUMPRODUCT(AB30:AD30,AB29:AD29)</f>
        <v>2.5516678930496108E-2</v>
      </c>
    </row>
    <row r="31" spans="1:32" ht="14.25" customHeight="1" thickBot="1" x14ac:dyDescent="0.35">
      <c r="R31" s="147" t="s">
        <v>271</v>
      </c>
      <c r="S31" s="154"/>
      <c r="T31" s="148"/>
      <c r="U31" s="148"/>
      <c r="V31" s="148"/>
      <c r="W31" s="148"/>
    </row>
    <row r="32" spans="1:32" ht="14.25" customHeight="1" thickBot="1" x14ac:dyDescent="0.35">
      <c r="O32" s="302"/>
      <c r="R32" s="159" t="s">
        <v>261</v>
      </c>
      <c r="S32" s="148">
        <f>SUM(S28:S30)</f>
        <v>25253.846153846149</v>
      </c>
      <c r="T32" s="148">
        <f>SUM(T28:T30)</f>
        <v>18519.487179487187</v>
      </c>
      <c r="U32" s="1198">
        <f>SUM(S32:T32)</f>
        <v>43773.333333333336</v>
      </c>
      <c r="V32" s="148"/>
      <c r="W32" s="148">
        <f>SUM(W28:W30)</f>
        <v>0</v>
      </c>
    </row>
    <row r="33" spans="14:23" ht="14.25" customHeight="1" thickBot="1" x14ac:dyDescent="0.35">
      <c r="O33" s="302"/>
      <c r="R33" s="160" t="s">
        <v>272</v>
      </c>
      <c r="S33" s="154"/>
      <c r="T33" s="154"/>
      <c r="U33" s="154"/>
      <c r="V33" s="154"/>
      <c r="W33" s="154"/>
    </row>
    <row r="34" spans="14:23" ht="14.25" customHeight="1" thickBot="1" x14ac:dyDescent="0.35">
      <c r="O34" s="302"/>
      <c r="R34" s="161" t="s">
        <v>273</v>
      </c>
      <c r="S34" s="154"/>
      <c r="T34" s="148"/>
      <c r="U34" s="154"/>
      <c r="V34" s="154"/>
      <c r="W34" s="154"/>
    </row>
    <row r="35" spans="14:23" ht="14.25" customHeight="1" thickBot="1" x14ac:dyDescent="0.35">
      <c r="R35" s="162" t="s">
        <v>253</v>
      </c>
      <c r="S35" s="1125">
        <f>$L$5</f>
        <v>851.08547345441309</v>
      </c>
      <c r="T35" s="1125">
        <f>SUM(L6:L28)</f>
        <v>265.8646189298363</v>
      </c>
      <c r="U35" s="1125">
        <f>S35+T35+V35</f>
        <v>1141.1524899376896</v>
      </c>
      <c r="V35" s="1125">
        <f>SUM(AT6:AT16)</f>
        <v>24.202397553440235</v>
      </c>
      <c r="W35" s="1125">
        <f>I36</f>
        <v>0</v>
      </c>
    </row>
    <row r="36" spans="14:23" ht="14.25" customHeight="1" x14ac:dyDescent="0.3">
      <c r="N36" s="302"/>
    </row>
    <row r="37" spans="14:23" ht="14.25" customHeight="1" x14ac:dyDescent="0.3">
      <c r="N37" s="302"/>
    </row>
    <row r="38" spans="14:23" ht="14.25" customHeight="1" x14ac:dyDescent="0.3">
      <c r="N38" s="302"/>
    </row>
    <row r="40" spans="14:23" ht="17.75" customHeight="1" x14ac:dyDescent="0.3">
      <c r="R40" s="164" t="s">
        <v>274</v>
      </c>
      <c r="S40" s="165">
        <v>0.76923076923076905</v>
      </c>
      <c r="T40" s="164" t="s">
        <v>275</v>
      </c>
      <c r="U40" s="166">
        <v>0.230769230769231</v>
      </c>
      <c r="V40" s="167">
        <f>S40+U40</f>
        <v>1</v>
      </c>
    </row>
    <row r="41" spans="14:23" ht="14.25" customHeight="1" x14ac:dyDescent="0.3">
      <c r="U41" s="168"/>
    </row>
    <row r="43" spans="14:23" ht="14.25" customHeight="1" thickBot="1" x14ac:dyDescent="0.35">
      <c r="Q43" s="169" t="s">
        <v>276</v>
      </c>
      <c r="R43" s="169" t="s">
        <v>277</v>
      </c>
      <c r="S43" s="169" t="s">
        <v>278</v>
      </c>
      <c r="T43" s="169" t="s">
        <v>279</v>
      </c>
      <c r="U43" s="169" t="s">
        <v>280</v>
      </c>
      <c r="V43" s="169" t="s">
        <v>281</v>
      </c>
      <c r="W43" s="257" t="s">
        <v>282</v>
      </c>
    </row>
    <row r="44" spans="14:23" ht="14.25" customHeight="1" thickBot="1" x14ac:dyDescent="0.35">
      <c r="Q44" s="1338">
        <v>17728</v>
      </c>
      <c r="R44" s="172">
        <f>D51</f>
        <v>10000</v>
      </c>
      <c r="S44" s="1340">
        <v>0.40909090909090912</v>
      </c>
      <c r="T44" s="1340">
        <v>0.59090909090909094</v>
      </c>
      <c r="U44" s="241">
        <f>R44*S44</f>
        <v>4090.909090909091</v>
      </c>
      <c r="V44" s="175">
        <f>R44*T44</f>
        <v>5909.090909090909</v>
      </c>
      <c r="W44" s="259">
        <f>Q44-U44</f>
        <v>13637.090909090908</v>
      </c>
    </row>
    <row r="48" spans="14:23" ht="14.25" customHeight="1" x14ac:dyDescent="0.3"/>
    <row r="49" spans="1:10" ht="14.25" customHeight="1" x14ac:dyDescent="0.3"/>
    <row r="50" spans="1:10" ht="20.25" customHeight="1" x14ac:dyDescent="0.3">
      <c r="B50" s="144"/>
      <c r="C50" s="144" t="s">
        <v>237</v>
      </c>
      <c r="D50" s="144" t="s">
        <v>283</v>
      </c>
      <c r="E50" s="182"/>
      <c r="F50" s="99"/>
      <c r="G50" s="144" t="s">
        <v>284</v>
      </c>
      <c r="H50" s="144" t="s">
        <v>237</v>
      </c>
      <c r="I50" s="144" t="s">
        <v>285</v>
      </c>
      <c r="J50" s="144" t="s">
        <v>286</v>
      </c>
    </row>
    <row r="51" spans="1:10" ht="20.25" customHeight="1" x14ac:dyDescent="0.3">
      <c r="B51" s="179" t="s">
        <v>287</v>
      </c>
      <c r="C51" s="180">
        <f>10/$K$1</f>
        <v>10.526315789473685</v>
      </c>
      <c r="D51" s="181">
        <f>$C$1*10</f>
        <v>10000</v>
      </c>
      <c r="E51" s="182"/>
      <c r="F51" s="99"/>
      <c r="G51" s="179" t="s">
        <v>287</v>
      </c>
      <c r="H51" s="276">
        <f>I51/$D$5</f>
        <v>10</v>
      </c>
      <c r="I51" s="180">
        <f>J51/$R$1</f>
        <v>23113.713405238828</v>
      </c>
      <c r="J51" s="180">
        <f>$W$44</f>
        <v>13637.090909090908</v>
      </c>
    </row>
    <row r="52" spans="1:10" ht="14.25" customHeight="1" x14ac:dyDescent="0.3">
      <c r="B52" s="230" t="s">
        <v>266</v>
      </c>
      <c r="C52" s="231">
        <f>$I$1</f>
        <v>19.494197031039143</v>
      </c>
      <c r="D52" s="232">
        <f>$E$1</f>
        <v>18519.487179487187</v>
      </c>
      <c r="E52" s="99"/>
      <c r="F52" s="99"/>
      <c r="G52" s="147" t="s">
        <v>266</v>
      </c>
      <c r="H52" s="209">
        <f>I52/$D$5</f>
        <v>18.518499526179117</v>
      </c>
      <c r="I52" s="175">
        <f>J52/$R$1</f>
        <v>42803.129074315511</v>
      </c>
      <c r="J52" s="183">
        <f>$S$32</f>
        <v>25253.846153846149</v>
      </c>
    </row>
    <row r="53" spans="1:10" ht="14.25" customHeight="1" x14ac:dyDescent="0.3">
      <c r="B53" s="230" t="s">
        <v>288</v>
      </c>
      <c r="C53" s="233">
        <f>MIN(C52, C51)</f>
        <v>10.526315789473685</v>
      </c>
      <c r="D53" s="232">
        <f>(C53*$K$1)*$C$1</f>
        <v>10000</v>
      </c>
      <c r="E53" s="99"/>
      <c r="F53" s="99"/>
      <c r="G53" s="147" t="s">
        <v>288</v>
      </c>
      <c r="H53" s="186">
        <f>MIN(H52,H51)</f>
        <v>10</v>
      </c>
      <c r="I53" s="175">
        <f>J53/$R$1</f>
        <v>23113.713405238828</v>
      </c>
      <c r="J53" s="175">
        <f>MIN(J52,J51)</f>
        <v>13637.090909090908</v>
      </c>
    </row>
    <row r="54" spans="1:10" x14ac:dyDescent="0.3">
      <c r="B54" s="230" t="s">
        <v>289</v>
      </c>
      <c r="C54" s="233">
        <f>MIN(MAX(C52-C53,0),C51)</f>
        <v>8.9678812415654576</v>
      </c>
      <c r="D54" s="232">
        <f>(C54*$K$1)*$C$1</f>
        <v>8519.4871794871833</v>
      </c>
      <c r="E54" s="99"/>
      <c r="F54" s="99"/>
      <c r="G54" s="147" t="s">
        <v>289</v>
      </c>
      <c r="H54" s="186">
        <f>MIN(MAX(H52-H53),H51)</f>
        <v>8.5184995261791165</v>
      </c>
      <c r="I54" s="175">
        <f>J54/$R$1</f>
        <v>19689.415669076679</v>
      </c>
      <c r="J54" s="175">
        <f>MIN(MAX(J52-J53),J51)</f>
        <v>11616.755244755241</v>
      </c>
    </row>
    <row r="55" spans="1:10" x14ac:dyDescent="0.3">
      <c r="B55" s="230" t="s">
        <v>290</v>
      </c>
      <c r="C55" s="233">
        <f>MIN(MAX(C52-C53-C54,0),C51)</f>
        <v>0</v>
      </c>
      <c r="D55" s="232">
        <f>(C55*$K$1)*$C$1</f>
        <v>0</v>
      </c>
      <c r="E55" s="99"/>
      <c r="F55" s="99"/>
      <c r="G55" s="144" t="s">
        <v>290</v>
      </c>
      <c r="H55" s="186">
        <f>MIN(MAX(H52-H53-H54),H51)</f>
        <v>0</v>
      </c>
      <c r="I55" s="175">
        <f>J55/$R$1</f>
        <v>0</v>
      </c>
      <c r="J55" s="175">
        <f>MIN(MAX(J52-J53-J54),J51)</f>
        <v>0</v>
      </c>
    </row>
    <row r="62" spans="1:10" ht="17.75" customHeight="1" x14ac:dyDescent="0.3">
      <c r="A62" s="922"/>
      <c r="B62" s="1447" t="str">
        <f>"دجاج بالكاري بكريمة جوز الهند 1 / " &amp; COUNTIF($C$53:$C$55, "&gt;0")</f>
        <v>دجاج بالكاري بكريمة جوز الهند 1 / 2</v>
      </c>
      <c r="C62" s="1461"/>
      <c r="D62" s="1461"/>
      <c r="E62" s="1486"/>
      <c r="F62" s="1461"/>
      <c r="G62" s="1461"/>
      <c r="H62" s="1461"/>
    </row>
    <row r="63" spans="1:10" ht="17.75" customHeight="1" x14ac:dyDescent="0.3">
      <c r="A63" s="922"/>
      <c r="B63" s="1438" t="str">
        <f>"Coconut Chicken  1 / " &amp; COUNTIF(C$53:$C$55, "&gt;0")</f>
        <v>Coconut Chicken  1 / 2</v>
      </c>
      <c r="C63" s="1439"/>
      <c r="D63" s="1439"/>
      <c r="E63" s="1439"/>
      <c r="F63" s="1439"/>
      <c r="G63" s="1439"/>
      <c r="H63" s="1439"/>
    </row>
    <row r="64" spans="1:10" ht="36.75" customHeight="1" x14ac:dyDescent="0.25">
      <c r="A64" s="90"/>
      <c r="B64" s="90" t="s">
        <v>245</v>
      </c>
      <c r="C64" s="106" t="s">
        <v>246</v>
      </c>
      <c r="D64" s="90" t="s">
        <v>235</v>
      </c>
      <c r="E64" s="107" t="s">
        <v>238</v>
      </c>
      <c r="F64" s="107" t="s">
        <v>247</v>
      </c>
      <c r="G64" s="90" t="s">
        <v>248</v>
      </c>
      <c r="H64" s="108" t="s">
        <v>249</v>
      </c>
    </row>
    <row r="65" spans="1:8" ht="14.25" customHeight="1" x14ac:dyDescent="0.3">
      <c r="A65" s="127" t="s">
        <v>225</v>
      </c>
      <c r="B65" s="122" t="str">
        <f t="shared" ref="B65:B88" si="12">B5</f>
        <v>Chicken - دجاج</v>
      </c>
      <c r="C65" s="122" t="str">
        <f t="shared" ref="C65:D88" si="13">C5</f>
        <v>gm</v>
      </c>
      <c r="D65" s="278">
        <f>D5</f>
        <v>2311.3713405238827</v>
      </c>
      <c r="E65" s="115">
        <f>H53</f>
        <v>10</v>
      </c>
      <c r="F65" s="126">
        <f t="shared" ref="F65:F88" si="14">F5</f>
        <v>1</v>
      </c>
      <c r="G65" s="118">
        <f t="shared" ref="G65:G88" si="15">D65*E65</f>
        <v>23113.713405238828</v>
      </c>
      <c r="H65" s="119">
        <f t="shared" ref="H65:H88" si="16">G65*F65</f>
        <v>23113.713405238828</v>
      </c>
    </row>
    <row r="66" spans="1:8" ht="14.25" customHeight="1" x14ac:dyDescent="0.3">
      <c r="A66" s="127" t="s">
        <v>95</v>
      </c>
      <c r="B66" s="122" t="str">
        <f t="shared" si="12"/>
        <v>Fennel Seeds - شمر حب</v>
      </c>
      <c r="C66" s="122" t="str">
        <f t="shared" si="13"/>
        <v>gm</v>
      </c>
      <c r="D66" s="122">
        <f t="shared" si="13"/>
        <v>2</v>
      </c>
      <c r="E66" s="115">
        <f t="shared" ref="E66:E88" si="17">$C$53</f>
        <v>10.526315789473685</v>
      </c>
      <c r="F66" s="126">
        <f t="shared" si="14"/>
        <v>1</v>
      </c>
      <c r="G66" s="118">
        <f t="shared" si="15"/>
        <v>21.05263157894737</v>
      </c>
      <c r="H66" s="119">
        <f t="shared" si="16"/>
        <v>21.05263157894737</v>
      </c>
    </row>
    <row r="67" spans="1:8" ht="14.25" customHeight="1" x14ac:dyDescent="0.3">
      <c r="A67" s="127" t="s">
        <v>95</v>
      </c>
      <c r="B67" s="122" t="str">
        <f t="shared" si="12"/>
        <v>Cumin Whole - كمون حب</v>
      </c>
      <c r="C67" s="122" t="str">
        <f t="shared" si="13"/>
        <v>gm</v>
      </c>
      <c r="D67" s="122">
        <f t="shared" si="13"/>
        <v>1</v>
      </c>
      <c r="E67" s="115">
        <f t="shared" si="17"/>
        <v>10.526315789473685</v>
      </c>
      <c r="F67" s="126">
        <f t="shared" si="14"/>
        <v>1</v>
      </c>
      <c r="G67" s="118">
        <f t="shared" si="15"/>
        <v>10.526315789473685</v>
      </c>
      <c r="H67" s="119">
        <f t="shared" si="16"/>
        <v>10.526315789473685</v>
      </c>
    </row>
    <row r="68" spans="1:8" ht="14.25" customHeight="1" x14ac:dyDescent="0.3">
      <c r="A68" s="127" t="s">
        <v>95</v>
      </c>
      <c r="B68" s="122" t="str">
        <f t="shared" si="12"/>
        <v>Cardamom Whole - هيل حب</v>
      </c>
      <c r="C68" s="122" t="str">
        <f t="shared" si="13"/>
        <v>gm</v>
      </c>
      <c r="D68" s="122">
        <f t="shared" si="13"/>
        <v>1</v>
      </c>
      <c r="E68" s="115">
        <f t="shared" si="17"/>
        <v>10.526315789473685</v>
      </c>
      <c r="F68" s="126">
        <f t="shared" si="14"/>
        <v>1</v>
      </c>
      <c r="G68" s="118">
        <f t="shared" si="15"/>
        <v>10.526315789473685</v>
      </c>
      <c r="H68" s="119">
        <f t="shared" si="16"/>
        <v>10.526315789473685</v>
      </c>
    </row>
    <row r="69" spans="1:8" ht="14.25" customHeight="1" x14ac:dyDescent="0.3">
      <c r="A69" s="127" t="s">
        <v>95</v>
      </c>
      <c r="B69" s="122" t="str">
        <f t="shared" si="12"/>
        <v>Cinnamon Powder - قرفة مطحونة</v>
      </c>
      <c r="C69" s="122" t="str">
        <f t="shared" si="13"/>
        <v>gm</v>
      </c>
      <c r="D69" s="122">
        <f t="shared" si="13"/>
        <v>1</v>
      </c>
      <c r="E69" s="115">
        <f t="shared" si="17"/>
        <v>10.526315789473685</v>
      </c>
      <c r="F69" s="126">
        <f t="shared" si="14"/>
        <v>1</v>
      </c>
      <c r="G69" s="118">
        <f t="shared" si="15"/>
        <v>10.526315789473685</v>
      </c>
      <c r="H69" s="119">
        <f t="shared" si="16"/>
        <v>10.526315789473685</v>
      </c>
    </row>
    <row r="70" spans="1:8" ht="14.25" customHeight="1" x14ac:dyDescent="0.3">
      <c r="A70" s="127" t="s">
        <v>13</v>
      </c>
      <c r="B70" s="122" t="str">
        <f t="shared" si="12"/>
        <v>Onion - بصل</v>
      </c>
      <c r="C70" s="122" t="str">
        <f t="shared" si="13"/>
        <v>gm</v>
      </c>
      <c r="D70" s="122">
        <f t="shared" si="13"/>
        <v>350</v>
      </c>
      <c r="E70" s="115">
        <f t="shared" si="17"/>
        <v>10.526315789473685</v>
      </c>
      <c r="F70" s="126">
        <f t="shared" si="14"/>
        <v>0.95</v>
      </c>
      <c r="G70" s="118">
        <f t="shared" si="15"/>
        <v>3684.2105263157896</v>
      </c>
      <c r="H70" s="119">
        <f t="shared" si="16"/>
        <v>3500</v>
      </c>
    </row>
    <row r="71" spans="1:8" ht="14.25" customHeight="1" x14ac:dyDescent="0.3">
      <c r="A71" s="127" t="s">
        <v>154</v>
      </c>
      <c r="B71" s="122" t="str">
        <f t="shared" si="12"/>
        <v>Coconut Milk - حليب جوز الهند</v>
      </c>
      <c r="C71" s="122" t="str">
        <f t="shared" si="13"/>
        <v>ml</v>
      </c>
      <c r="D71" s="122">
        <f t="shared" si="13"/>
        <v>300</v>
      </c>
      <c r="E71" s="115">
        <f t="shared" si="17"/>
        <v>10.526315789473685</v>
      </c>
      <c r="F71" s="126">
        <f t="shared" si="14"/>
        <v>0.9</v>
      </c>
      <c r="G71" s="118">
        <f t="shared" si="15"/>
        <v>3157.8947368421054</v>
      </c>
      <c r="H71" s="119">
        <f t="shared" si="16"/>
        <v>2842.105263157895</v>
      </c>
    </row>
    <row r="72" spans="1:8" ht="14.25" customHeight="1" x14ac:dyDescent="0.3">
      <c r="A72" s="127" t="s">
        <v>13</v>
      </c>
      <c r="B72" s="122" t="str">
        <f t="shared" si="12"/>
        <v>Fresh Coconut - جوز هند طازج</v>
      </c>
      <c r="C72" s="122" t="str">
        <f t="shared" si="13"/>
        <v>gm</v>
      </c>
      <c r="D72" s="122">
        <f t="shared" si="13"/>
        <v>200</v>
      </c>
      <c r="E72" s="115">
        <f t="shared" si="17"/>
        <v>10.526315789473685</v>
      </c>
      <c r="F72" s="126">
        <f t="shared" si="14"/>
        <v>0.8</v>
      </c>
      <c r="G72" s="118">
        <f t="shared" si="15"/>
        <v>2105.2631578947371</v>
      </c>
      <c r="H72" s="119">
        <f t="shared" si="16"/>
        <v>1684.2105263157898</v>
      </c>
    </row>
    <row r="73" spans="1:8" ht="14.25" customHeight="1" x14ac:dyDescent="0.3">
      <c r="A73" s="127" t="s">
        <v>13</v>
      </c>
      <c r="B73" s="122" t="str">
        <f t="shared" si="12"/>
        <v>Garlic - ثوم مقشر</v>
      </c>
      <c r="C73" s="122" t="str">
        <f t="shared" si="13"/>
        <v>gm</v>
      </c>
      <c r="D73" s="122">
        <f t="shared" si="13"/>
        <v>25</v>
      </c>
      <c r="E73" s="115">
        <f t="shared" si="17"/>
        <v>10.526315789473685</v>
      </c>
      <c r="F73" s="126">
        <f t="shared" si="14"/>
        <v>0.95</v>
      </c>
      <c r="G73" s="118">
        <f t="shared" si="15"/>
        <v>263.15789473684214</v>
      </c>
      <c r="H73" s="119">
        <f t="shared" si="16"/>
        <v>250.00000000000003</v>
      </c>
    </row>
    <row r="74" spans="1:8" ht="14.25" customHeight="1" x14ac:dyDescent="0.3">
      <c r="A74" s="127" t="s">
        <v>95</v>
      </c>
      <c r="B74" s="122" t="str">
        <f t="shared" si="12"/>
        <v>Kashmiri Red Chilli Whole - فلفل كشميري أحمر كامل</v>
      </c>
      <c r="C74" s="122" t="str">
        <f t="shared" si="13"/>
        <v>gm</v>
      </c>
      <c r="D74" s="122">
        <f t="shared" si="13"/>
        <v>10</v>
      </c>
      <c r="E74" s="115">
        <f t="shared" si="17"/>
        <v>10.526315789473685</v>
      </c>
      <c r="F74" s="126">
        <f t="shared" si="14"/>
        <v>0.75</v>
      </c>
      <c r="G74" s="118">
        <f t="shared" si="15"/>
        <v>105.26315789473685</v>
      </c>
      <c r="H74" s="119">
        <f t="shared" si="16"/>
        <v>78.94736842105263</v>
      </c>
    </row>
    <row r="75" spans="1:8" ht="14.25" customHeight="1" x14ac:dyDescent="0.3">
      <c r="A75" s="127" t="s">
        <v>215</v>
      </c>
      <c r="B75" s="122" t="str">
        <f t="shared" si="12"/>
        <v>Orange Color - لون برتقالي</v>
      </c>
      <c r="C75" s="122" t="str">
        <f t="shared" si="13"/>
        <v>gm</v>
      </c>
      <c r="D75" s="122">
        <f t="shared" si="13"/>
        <v>2</v>
      </c>
      <c r="E75" s="115">
        <f t="shared" si="17"/>
        <v>10.526315789473685</v>
      </c>
      <c r="F75" s="126">
        <f t="shared" si="14"/>
        <v>1</v>
      </c>
      <c r="G75" s="118">
        <f t="shared" si="15"/>
        <v>21.05263157894737</v>
      </c>
      <c r="H75" s="119">
        <f t="shared" si="16"/>
        <v>21.05263157894737</v>
      </c>
    </row>
    <row r="76" spans="1:8" ht="14.25" customHeight="1" x14ac:dyDescent="0.3">
      <c r="A76" s="127" t="s">
        <v>95</v>
      </c>
      <c r="B76" s="122" t="str">
        <f t="shared" si="12"/>
        <v>Salt - ملح</v>
      </c>
      <c r="C76" s="122" t="str">
        <f t="shared" si="13"/>
        <v>gm</v>
      </c>
      <c r="D76" s="122">
        <f t="shared" si="13"/>
        <v>11</v>
      </c>
      <c r="E76" s="115">
        <f t="shared" si="17"/>
        <v>10.526315789473685</v>
      </c>
      <c r="F76" s="126">
        <f t="shared" si="14"/>
        <v>0.75</v>
      </c>
      <c r="G76" s="118">
        <f t="shared" si="15"/>
        <v>115.78947368421053</v>
      </c>
      <c r="H76" s="119">
        <f t="shared" si="16"/>
        <v>86.842105263157904</v>
      </c>
    </row>
    <row r="77" spans="1:8" ht="14.25" customHeight="1" x14ac:dyDescent="0.3">
      <c r="A77" s="127" t="s">
        <v>206</v>
      </c>
      <c r="B77" s="122" t="str">
        <f t="shared" si="12"/>
        <v>Water - ماء</v>
      </c>
      <c r="C77" s="122" t="str">
        <f t="shared" si="13"/>
        <v>ml</v>
      </c>
      <c r="D77" s="122">
        <f t="shared" si="13"/>
        <v>500</v>
      </c>
      <c r="E77" s="115">
        <f t="shared" si="17"/>
        <v>10.526315789473685</v>
      </c>
      <c r="F77" s="126">
        <f t="shared" si="14"/>
        <v>0.75</v>
      </c>
      <c r="G77" s="118">
        <f t="shared" si="15"/>
        <v>5263.1578947368425</v>
      </c>
      <c r="H77" s="119">
        <f t="shared" si="16"/>
        <v>3947.3684210526317</v>
      </c>
    </row>
    <row r="78" spans="1:8" ht="14.25" customHeight="1" x14ac:dyDescent="0.3">
      <c r="A78" s="127" t="s">
        <v>62</v>
      </c>
      <c r="B78" s="122" t="str">
        <f t="shared" si="12"/>
        <v>Curry Leaves - أوراق الكاري</v>
      </c>
      <c r="C78" s="122" t="str">
        <f t="shared" si="13"/>
        <v>gm</v>
      </c>
      <c r="D78" s="122">
        <f t="shared" si="13"/>
        <v>3</v>
      </c>
      <c r="E78" s="115">
        <f t="shared" si="17"/>
        <v>10.526315789473685</v>
      </c>
      <c r="F78" s="126">
        <f t="shared" si="14"/>
        <v>1</v>
      </c>
      <c r="G78" s="118">
        <f t="shared" si="15"/>
        <v>31.578947368421055</v>
      </c>
      <c r="H78" s="119">
        <f t="shared" si="16"/>
        <v>31.578947368421055</v>
      </c>
    </row>
    <row r="79" spans="1:8" ht="14.25" customHeight="1" x14ac:dyDescent="0.3">
      <c r="A79" s="127" t="s">
        <v>62</v>
      </c>
      <c r="B79" s="122" t="str">
        <f t="shared" si="12"/>
        <v>Coriander Leaves - كزبرة خضراء</v>
      </c>
      <c r="C79" s="122" t="str">
        <f t="shared" si="13"/>
        <v>gm</v>
      </c>
      <c r="D79" s="122">
        <f t="shared" si="13"/>
        <v>10</v>
      </c>
      <c r="E79" s="115">
        <f t="shared" si="17"/>
        <v>10.526315789473685</v>
      </c>
      <c r="F79" s="126">
        <f t="shared" si="14"/>
        <v>1</v>
      </c>
      <c r="G79" s="118">
        <f t="shared" si="15"/>
        <v>105.26315789473685</v>
      </c>
      <c r="H79" s="119">
        <f t="shared" si="16"/>
        <v>105.26315789473685</v>
      </c>
    </row>
    <row r="80" spans="1:8" ht="14.25" customHeight="1" x14ac:dyDescent="0.3">
      <c r="A80" s="127" t="s">
        <v>154</v>
      </c>
      <c r="B80" s="122" t="str">
        <f t="shared" si="12"/>
        <v>Butter - زبدة</v>
      </c>
      <c r="C80" s="122" t="str">
        <f t="shared" si="13"/>
        <v>gm</v>
      </c>
      <c r="D80" s="122">
        <f t="shared" si="13"/>
        <v>50</v>
      </c>
      <c r="E80" s="115">
        <f t="shared" si="17"/>
        <v>10.526315789473685</v>
      </c>
      <c r="F80" s="126">
        <f t="shared" si="14"/>
        <v>1</v>
      </c>
      <c r="G80" s="118">
        <f t="shared" si="15"/>
        <v>526.31578947368428</v>
      </c>
      <c r="H80" s="119">
        <f t="shared" si="16"/>
        <v>526.31578947368428</v>
      </c>
    </row>
    <row r="81" spans="1:8" ht="14.25" customHeight="1" x14ac:dyDescent="0.3">
      <c r="A81" s="127" t="s">
        <v>95</v>
      </c>
      <c r="B81" s="122" t="str">
        <f t="shared" si="12"/>
        <v>Cloves Whole - قرنفل حب</v>
      </c>
      <c r="C81" s="122" t="str">
        <f t="shared" si="13"/>
        <v>gm</v>
      </c>
      <c r="D81" s="122">
        <f t="shared" si="13"/>
        <v>1</v>
      </c>
      <c r="E81" s="115">
        <f t="shared" si="17"/>
        <v>10.526315789473685</v>
      </c>
      <c r="F81" s="126">
        <f t="shared" si="14"/>
        <v>1</v>
      </c>
      <c r="G81" s="118">
        <f t="shared" si="15"/>
        <v>10.526315789473685</v>
      </c>
      <c r="H81" s="119">
        <f t="shared" si="16"/>
        <v>10.526315789473685</v>
      </c>
    </row>
    <row r="82" spans="1:8" ht="14.25" customHeight="1" x14ac:dyDescent="0.3">
      <c r="A82" s="127" t="s">
        <v>62</v>
      </c>
      <c r="B82" s="122" t="str">
        <f t="shared" si="12"/>
        <v>Coriander Powder - كزبرة مطحونة</v>
      </c>
      <c r="C82" s="122" t="str">
        <f t="shared" si="13"/>
        <v>gm</v>
      </c>
      <c r="D82" s="122">
        <f t="shared" si="13"/>
        <v>15</v>
      </c>
      <c r="E82" s="115">
        <f t="shared" si="17"/>
        <v>10.526315789473685</v>
      </c>
      <c r="F82" s="126">
        <f t="shared" si="14"/>
        <v>1</v>
      </c>
      <c r="G82" s="118">
        <f t="shared" si="15"/>
        <v>157.89473684210526</v>
      </c>
      <c r="H82" s="119">
        <f t="shared" si="16"/>
        <v>157.89473684210526</v>
      </c>
    </row>
    <row r="83" spans="1:8" ht="14.25" customHeight="1" x14ac:dyDescent="0.3">
      <c r="A83" s="127" t="s">
        <v>154</v>
      </c>
      <c r="B83" s="122" t="str">
        <f t="shared" si="12"/>
        <v>Cumin Powder - كمون مطحون</v>
      </c>
      <c r="C83" s="122" t="str">
        <f t="shared" si="13"/>
        <v>gm</v>
      </c>
      <c r="D83" s="122">
        <f t="shared" si="13"/>
        <v>2</v>
      </c>
      <c r="E83" s="115">
        <f t="shared" si="17"/>
        <v>10.526315789473685</v>
      </c>
      <c r="F83" s="126">
        <f t="shared" si="14"/>
        <v>1</v>
      </c>
      <c r="G83" s="118">
        <f t="shared" si="15"/>
        <v>21.05263157894737</v>
      </c>
      <c r="H83" s="119">
        <f t="shared" si="16"/>
        <v>21.05263157894737</v>
      </c>
    </row>
    <row r="84" spans="1:8" ht="14.25" customHeight="1" x14ac:dyDescent="0.3">
      <c r="A84" s="127" t="s">
        <v>95</v>
      </c>
      <c r="B84" s="122" t="str">
        <f t="shared" si="12"/>
        <v>Turmeric - كركم</v>
      </c>
      <c r="C84" s="122" t="str">
        <f t="shared" si="13"/>
        <v>gm</v>
      </c>
      <c r="D84" s="122">
        <f t="shared" si="13"/>
        <v>1</v>
      </c>
      <c r="E84" s="115">
        <f t="shared" si="17"/>
        <v>10.526315789473685</v>
      </c>
      <c r="F84" s="126">
        <f t="shared" si="14"/>
        <v>1</v>
      </c>
      <c r="G84" s="118">
        <f t="shared" si="15"/>
        <v>10.526315789473685</v>
      </c>
      <c r="H84" s="119">
        <f t="shared" si="16"/>
        <v>10.526315789473685</v>
      </c>
    </row>
    <row r="85" spans="1:8" ht="14.25" customHeight="1" x14ac:dyDescent="0.3">
      <c r="A85" s="127" t="s">
        <v>62</v>
      </c>
      <c r="B85" s="122" t="str">
        <f t="shared" si="12"/>
        <v>Lemon Juice - عصير ليمون</v>
      </c>
      <c r="C85" s="122" t="str">
        <f t="shared" si="13"/>
        <v>ml</v>
      </c>
      <c r="D85" s="122">
        <f t="shared" si="13"/>
        <v>20</v>
      </c>
      <c r="E85" s="115">
        <f t="shared" si="17"/>
        <v>10.526315789473685</v>
      </c>
      <c r="F85" s="126">
        <f t="shared" si="14"/>
        <v>1</v>
      </c>
      <c r="G85" s="118">
        <f t="shared" si="15"/>
        <v>210.5263157894737</v>
      </c>
      <c r="H85" s="119">
        <f t="shared" si="16"/>
        <v>210.5263157894737</v>
      </c>
    </row>
    <row r="86" spans="1:8" ht="14.25" customHeight="1" x14ac:dyDescent="0.3">
      <c r="A86" s="127" t="s">
        <v>154</v>
      </c>
      <c r="B86" s="122" t="str">
        <f t="shared" si="12"/>
        <v>Star Anise - ينسون نجمي</v>
      </c>
      <c r="C86" s="122" t="str">
        <f t="shared" si="13"/>
        <v>gm</v>
      </c>
      <c r="D86" s="122">
        <f t="shared" si="13"/>
        <v>1</v>
      </c>
      <c r="E86" s="115">
        <f t="shared" si="17"/>
        <v>10.526315789473685</v>
      </c>
      <c r="F86" s="126">
        <f t="shared" si="14"/>
        <v>1</v>
      </c>
      <c r="G86" s="118">
        <f t="shared" si="15"/>
        <v>10.526315789473685</v>
      </c>
      <c r="H86" s="119">
        <f t="shared" si="16"/>
        <v>10.526315789473685</v>
      </c>
    </row>
    <row r="87" spans="1:8" ht="14.25" customHeight="1" x14ac:dyDescent="0.3">
      <c r="A87" s="127" t="s">
        <v>95</v>
      </c>
      <c r="B87" s="122" t="str">
        <f t="shared" si="12"/>
        <v>Tomato Ketchup - كاتشب طماطم</v>
      </c>
      <c r="C87" s="122" t="str">
        <f t="shared" si="13"/>
        <v>ml</v>
      </c>
      <c r="D87" s="122">
        <f t="shared" si="13"/>
        <v>20</v>
      </c>
      <c r="E87" s="115">
        <f t="shared" si="17"/>
        <v>10.526315789473685</v>
      </c>
      <c r="F87" s="126">
        <f t="shared" si="14"/>
        <v>1</v>
      </c>
      <c r="G87" s="118">
        <f t="shared" si="15"/>
        <v>210.5263157894737</v>
      </c>
      <c r="H87" s="119">
        <f t="shared" si="16"/>
        <v>210.5263157894737</v>
      </c>
    </row>
    <row r="88" spans="1:8" ht="14.25" customHeight="1" x14ac:dyDescent="0.3">
      <c r="A88" s="127" t="s">
        <v>62</v>
      </c>
      <c r="B88" s="122" t="str">
        <f t="shared" si="12"/>
        <v>Honey - عسل</v>
      </c>
      <c r="C88" s="122" t="str">
        <f t="shared" si="13"/>
        <v>gm</v>
      </c>
      <c r="D88" s="122">
        <f t="shared" si="13"/>
        <v>20</v>
      </c>
      <c r="E88" s="115">
        <f t="shared" si="17"/>
        <v>10.526315789473685</v>
      </c>
      <c r="F88" s="126">
        <f t="shared" si="14"/>
        <v>1</v>
      </c>
      <c r="G88" s="118">
        <f t="shared" si="15"/>
        <v>210.5263157894737</v>
      </c>
      <c r="H88" s="119">
        <f t="shared" si="16"/>
        <v>210.5263157894737</v>
      </c>
    </row>
    <row r="89" spans="1:8" ht="18" x14ac:dyDescent="0.3">
      <c r="A89" s="210"/>
      <c r="B89" s="197" t="s">
        <v>291</v>
      </c>
      <c r="C89" s="199" t="s">
        <v>277</v>
      </c>
      <c r="E89" s="199" t="s">
        <v>292</v>
      </c>
      <c r="G89" s="878" t="s">
        <v>268</v>
      </c>
      <c r="H89" s="878" t="s">
        <v>703</v>
      </c>
    </row>
    <row r="90" spans="1:8" ht="20.25" customHeight="1" x14ac:dyDescent="0.4">
      <c r="A90" s="210"/>
      <c r="B90" s="198">
        <f>$J$53</f>
        <v>13637.090909090908</v>
      </c>
      <c r="C90" s="198">
        <f>E90+G90</f>
        <v>10000</v>
      </c>
      <c r="D90" s="915"/>
      <c r="E90" s="198">
        <f>$D$53*$S$44</f>
        <v>4090.909090909091</v>
      </c>
      <c r="F90" s="919"/>
      <c r="G90" s="198">
        <f>$D$53*$T$44</f>
        <v>5909.090909090909</v>
      </c>
      <c r="H90" s="198">
        <f>B90+E90</f>
        <v>17728</v>
      </c>
    </row>
    <row r="93" spans="1:8" ht="17.75" customHeight="1" x14ac:dyDescent="0.3">
      <c r="A93" s="922"/>
      <c r="B93" s="1447" t="str">
        <f>"دجاج بالكاري بكريمة جوز الهند  2 / " &amp; COUNTIF($C$53:$C$55, "&gt;0")</f>
        <v>دجاج بالكاري بكريمة جوز الهند  2 / 2</v>
      </c>
      <c r="C93" s="1461"/>
      <c r="D93" s="1461"/>
      <c r="E93" s="1486"/>
      <c r="F93" s="1461"/>
      <c r="G93" s="1461"/>
      <c r="H93" s="1461"/>
    </row>
    <row r="94" spans="1:8" ht="17.75" customHeight="1" x14ac:dyDescent="0.3">
      <c r="A94" s="922"/>
      <c r="B94" s="1438" t="str">
        <f>"Coconut Chicken  2 / " &amp; COUNTIF(C$53:$C$55, "&gt;0")</f>
        <v>Coconut Chicken  2 / 2</v>
      </c>
      <c r="C94" s="1439"/>
      <c r="D94" s="1439"/>
      <c r="E94" s="1439"/>
      <c r="F94" s="1439"/>
      <c r="G94" s="1439"/>
      <c r="H94" s="1439"/>
    </row>
    <row r="95" spans="1:8" ht="36.75" customHeight="1" x14ac:dyDescent="0.25">
      <c r="A95" s="90"/>
      <c r="B95" s="90" t="s">
        <v>245</v>
      </c>
      <c r="C95" s="106" t="s">
        <v>246</v>
      </c>
      <c r="D95" s="90" t="s">
        <v>235</v>
      </c>
      <c r="E95" s="107" t="s">
        <v>238</v>
      </c>
      <c r="F95" s="107" t="s">
        <v>247</v>
      </c>
      <c r="G95" s="90" t="s">
        <v>248</v>
      </c>
      <c r="H95" s="108" t="s">
        <v>249</v>
      </c>
    </row>
    <row r="96" spans="1:8" ht="14.25" customHeight="1" x14ac:dyDescent="0.3">
      <c r="A96" s="127" t="s">
        <v>225</v>
      </c>
      <c r="B96" s="122" t="str">
        <f t="shared" ref="B96:D119" si="18">B5</f>
        <v>Chicken - دجاج</v>
      </c>
      <c r="C96" s="122" t="str">
        <f t="shared" si="18"/>
        <v>gm</v>
      </c>
      <c r="D96" s="278">
        <f t="shared" si="18"/>
        <v>2311.3713405238827</v>
      </c>
      <c r="E96" s="196">
        <f>H54</f>
        <v>8.5184995261791165</v>
      </c>
      <c r="F96" s="126">
        <f t="shared" ref="F96:F119" si="19">F5</f>
        <v>1</v>
      </c>
      <c r="G96" s="120">
        <f t="shared" ref="G96:G119" si="20">D96*E96</f>
        <v>19689.415669076683</v>
      </c>
      <c r="H96" s="119">
        <f t="shared" ref="H96:H119" si="21">G96*F96</f>
        <v>19689.415669076683</v>
      </c>
    </row>
    <row r="97" spans="1:8" ht="14.25" customHeight="1" x14ac:dyDescent="0.3">
      <c r="A97" s="127" t="s">
        <v>95</v>
      </c>
      <c r="B97" s="122" t="str">
        <f t="shared" si="18"/>
        <v>Fennel Seeds - شمر حب</v>
      </c>
      <c r="C97" s="122" t="str">
        <f t="shared" si="18"/>
        <v>gm</v>
      </c>
      <c r="D97" s="122">
        <f t="shared" si="18"/>
        <v>2</v>
      </c>
      <c r="E97" s="196">
        <f t="shared" ref="E97:E119" si="22">$C$54</f>
        <v>8.9678812415654576</v>
      </c>
      <c r="F97" s="126">
        <f t="shared" si="19"/>
        <v>1</v>
      </c>
      <c r="G97" s="120">
        <f t="shared" si="20"/>
        <v>17.935762483130915</v>
      </c>
      <c r="H97" s="119">
        <f t="shared" si="21"/>
        <v>17.935762483130915</v>
      </c>
    </row>
    <row r="98" spans="1:8" ht="14.25" customHeight="1" x14ac:dyDescent="0.3">
      <c r="A98" s="127" t="s">
        <v>95</v>
      </c>
      <c r="B98" s="122" t="str">
        <f t="shared" si="18"/>
        <v>Cumin Whole - كمون حب</v>
      </c>
      <c r="C98" s="122" t="str">
        <f t="shared" si="18"/>
        <v>gm</v>
      </c>
      <c r="D98" s="122">
        <f t="shared" si="18"/>
        <v>1</v>
      </c>
      <c r="E98" s="196">
        <f t="shared" si="22"/>
        <v>8.9678812415654576</v>
      </c>
      <c r="F98" s="126">
        <f t="shared" si="19"/>
        <v>1</v>
      </c>
      <c r="G98" s="120">
        <f t="shared" si="20"/>
        <v>8.9678812415654576</v>
      </c>
      <c r="H98" s="119">
        <f t="shared" si="21"/>
        <v>8.9678812415654576</v>
      </c>
    </row>
    <row r="99" spans="1:8" ht="14.25" customHeight="1" x14ac:dyDescent="0.3">
      <c r="A99" s="127" t="s">
        <v>95</v>
      </c>
      <c r="B99" s="122" t="str">
        <f t="shared" si="18"/>
        <v>Cardamom Whole - هيل حب</v>
      </c>
      <c r="C99" s="122" t="str">
        <f t="shared" si="18"/>
        <v>gm</v>
      </c>
      <c r="D99" s="122">
        <f t="shared" si="18"/>
        <v>1</v>
      </c>
      <c r="E99" s="196">
        <f t="shared" si="22"/>
        <v>8.9678812415654576</v>
      </c>
      <c r="F99" s="126">
        <f t="shared" si="19"/>
        <v>1</v>
      </c>
      <c r="G99" s="120">
        <f t="shared" si="20"/>
        <v>8.9678812415654576</v>
      </c>
      <c r="H99" s="119">
        <f t="shared" si="21"/>
        <v>8.9678812415654576</v>
      </c>
    </row>
    <row r="100" spans="1:8" ht="14.25" customHeight="1" x14ac:dyDescent="0.3">
      <c r="A100" s="127" t="s">
        <v>95</v>
      </c>
      <c r="B100" s="122" t="str">
        <f t="shared" si="18"/>
        <v>Cinnamon Powder - قرفة مطحونة</v>
      </c>
      <c r="C100" s="122" t="str">
        <f t="shared" si="18"/>
        <v>gm</v>
      </c>
      <c r="D100" s="122">
        <f t="shared" si="18"/>
        <v>1</v>
      </c>
      <c r="E100" s="196">
        <f t="shared" si="22"/>
        <v>8.9678812415654576</v>
      </c>
      <c r="F100" s="126">
        <f t="shared" si="19"/>
        <v>1</v>
      </c>
      <c r="G100" s="120">
        <f t="shared" si="20"/>
        <v>8.9678812415654576</v>
      </c>
      <c r="H100" s="119">
        <f t="shared" si="21"/>
        <v>8.9678812415654576</v>
      </c>
    </row>
    <row r="101" spans="1:8" ht="14.25" customHeight="1" x14ac:dyDescent="0.3">
      <c r="A101" s="127" t="s">
        <v>13</v>
      </c>
      <c r="B101" s="122" t="str">
        <f t="shared" si="18"/>
        <v>Onion - بصل</v>
      </c>
      <c r="C101" s="122" t="str">
        <f t="shared" si="18"/>
        <v>gm</v>
      </c>
      <c r="D101" s="122">
        <f t="shared" si="18"/>
        <v>350</v>
      </c>
      <c r="E101" s="196">
        <f t="shared" si="22"/>
        <v>8.9678812415654576</v>
      </c>
      <c r="F101" s="126">
        <f t="shared" si="19"/>
        <v>0.95</v>
      </c>
      <c r="G101" s="120">
        <f t="shared" si="20"/>
        <v>3138.7584345479104</v>
      </c>
      <c r="H101" s="119">
        <f t="shared" si="21"/>
        <v>2981.8205128205145</v>
      </c>
    </row>
    <row r="102" spans="1:8" ht="14.25" customHeight="1" x14ac:dyDescent="0.3">
      <c r="A102" s="127" t="s">
        <v>154</v>
      </c>
      <c r="B102" s="122" t="str">
        <f t="shared" si="18"/>
        <v>Coconut Milk - حليب جوز الهند</v>
      </c>
      <c r="C102" s="122" t="str">
        <f t="shared" si="18"/>
        <v>ml</v>
      </c>
      <c r="D102" s="122">
        <f t="shared" si="18"/>
        <v>300</v>
      </c>
      <c r="E102" s="196">
        <f t="shared" si="22"/>
        <v>8.9678812415654576</v>
      </c>
      <c r="F102" s="126">
        <f t="shared" si="19"/>
        <v>0.9</v>
      </c>
      <c r="G102" s="120">
        <f t="shared" si="20"/>
        <v>2690.3643724696371</v>
      </c>
      <c r="H102" s="119">
        <f t="shared" si="21"/>
        <v>2421.3279352226737</v>
      </c>
    </row>
    <row r="103" spans="1:8" ht="14.25" customHeight="1" x14ac:dyDescent="0.3">
      <c r="A103" s="127" t="s">
        <v>13</v>
      </c>
      <c r="B103" s="122" t="str">
        <f t="shared" si="18"/>
        <v>Fresh Coconut - جوز هند طازج</v>
      </c>
      <c r="C103" s="122" t="str">
        <f t="shared" si="18"/>
        <v>gm</v>
      </c>
      <c r="D103" s="122">
        <f t="shared" si="18"/>
        <v>200</v>
      </c>
      <c r="E103" s="196">
        <f t="shared" si="22"/>
        <v>8.9678812415654576</v>
      </c>
      <c r="F103" s="126">
        <f t="shared" si="19"/>
        <v>0.8</v>
      </c>
      <c r="G103" s="120">
        <f t="shared" si="20"/>
        <v>1793.5762483130916</v>
      </c>
      <c r="H103" s="119">
        <f t="shared" si="21"/>
        <v>1434.8609986504734</v>
      </c>
    </row>
    <row r="104" spans="1:8" ht="14.25" customHeight="1" x14ac:dyDescent="0.3">
      <c r="A104" s="127" t="s">
        <v>13</v>
      </c>
      <c r="B104" s="122" t="str">
        <f t="shared" si="18"/>
        <v>Garlic - ثوم مقشر</v>
      </c>
      <c r="C104" s="122" t="str">
        <f t="shared" si="18"/>
        <v>gm</v>
      </c>
      <c r="D104" s="122">
        <f t="shared" si="18"/>
        <v>25</v>
      </c>
      <c r="E104" s="196">
        <f t="shared" si="22"/>
        <v>8.9678812415654576</v>
      </c>
      <c r="F104" s="126">
        <f t="shared" si="19"/>
        <v>0.95</v>
      </c>
      <c r="G104" s="120">
        <f t="shared" si="20"/>
        <v>224.19703103913645</v>
      </c>
      <c r="H104" s="119">
        <f t="shared" si="21"/>
        <v>212.98717948717962</v>
      </c>
    </row>
    <row r="105" spans="1:8" ht="14.25" customHeight="1" x14ac:dyDescent="0.3">
      <c r="A105" s="127" t="s">
        <v>95</v>
      </c>
      <c r="B105" s="122" t="str">
        <f t="shared" si="18"/>
        <v>Kashmiri Red Chilli Whole - فلفل كشميري أحمر كامل</v>
      </c>
      <c r="C105" s="122" t="str">
        <f t="shared" si="18"/>
        <v>gm</v>
      </c>
      <c r="D105" s="122">
        <f t="shared" si="18"/>
        <v>10</v>
      </c>
      <c r="E105" s="196">
        <f t="shared" si="22"/>
        <v>8.9678812415654576</v>
      </c>
      <c r="F105" s="126">
        <f t="shared" si="19"/>
        <v>0.75</v>
      </c>
      <c r="G105" s="120">
        <f t="shared" si="20"/>
        <v>89.678812415654576</v>
      </c>
      <c r="H105" s="119">
        <f t="shared" si="21"/>
        <v>67.259109311740929</v>
      </c>
    </row>
    <row r="106" spans="1:8" ht="14.25" customHeight="1" x14ac:dyDescent="0.3">
      <c r="A106" s="127" t="s">
        <v>215</v>
      </c>
      <c r="B106" s="122" t="str">
        <f t="shared" si="18"/>
        <v>Orange Color - لون برتقالي</v>
      </c>
      <c r="C106" s="122" t="str">
        <f t="shared" si="18"/>
        <v>gm</v>
      </c>
      <c r="D106" s="122">
        <f t="shared" si="18"/>
        <v>2</v>
      </c>
      <c r="E106" s="196">
        <f t="shared" si="22"/>
        <v>8.9678812415654576</v>
      </c>
      <c r="F106" s="126">
        <f t="shared" si="19"/>
        <v>1</v>
      </c>
      <c r="G106" s="120">
        <f t="shared" si="20"/>
        <v>17.935762483130915</v>
      </c>
      <c r="H106" s="119">
        <f t="shared" si="21"/>
        <v>17.935762483130915</v>
      </c>
    </row>
    <row r="107" spans="1:8" ht="14.25" customHeight="1" x14ac:dyDescent="0.3">
      <c r="A107" s="127" t="s">
        <v>95</v>
      </c>
      <c r="B107" s="122" t="str">
        <f t="shared" si="18"/>
        <v>Salt - ملح</v>
      </c>
      <c r="C107" s="122" t="str">
        <f t="shared" si="18"/>
        <v>gm</v>
      </c>
      <c r="D107" s="122">
        <f t="shared" si="18"/>
        <v>11</v>
      </c>
      <c r="E107" s="196">
        <f t="shared" si="22"/>
        <v>8.9678812415654576</v>
      </c>
      <c r="F107" s="126">
        <f t="shared" si="19"/>
        <v>0.75</v>
      </c>
      <c r="G107" s="120">
        <f t="shared" si="20"/>
        <v>98.646693657220027</v>
      </c>
      <c r="H107" s="119">
        <f t="shared" si="21"/>
        <v>73.985020242915027</v>
      </c>
    </row>
    <row r="108" spans="1:8" ht="14.25" customHeight="1" x14ac:dyDescent="0.3">
      <c r="A108" s="127" t="s">
        <v>206</v>
      </c>
      <c r="B108" s="122" t="str">
        <f t="shared" si="18"/>
        <v>Water - ماء</v>
      </c>
      <c r="C108" s="122" t="str">
        <f t="shared" si="18"/>
        <v>ml</v>
      </c>
      <c r="D108" s="122">
        <f t="shared" si="18"/>
        <v>500</v>
      </c>
      <c r="E108" s="196">
        <f t="shared" si="22"/>
        <v>8.9678812415654576</v>
      </c>
      <c r="F108" s="126">
        <f t="shared" si="19"/>
        <v>0.75</v>
      </c>
      <c r="G108" s="120">
        <f t="shared" si="20"/>
        <v>4483.9406207827287</v>
      </c>
      <c r="H108" s="119">
        <f t="shared" si="21"/>
        <v>3362.9554655870465</v>
      </c>
    </row>
    <row r="109" spans="1:8" ht="14.25" customHeight="1" x14ac:dyDescent="0.3">
      <c r="A109" s="127" t="s">
        <v>62</v>
      </c>
      <c r="B109" s="122" t="str">
        <f t="shared" si="18"/>
        <v>Curry Leaves - أوراق الكاري</v>
      </c>
      <c r="C109" s="122" t="str">
        <f t="shared" si="18"/>
        <v>gm</v>
      </c>
      <c r="D109" s="122">
        <f t="shared" si="18"/>
        <v>3</v>
      </c>
      <c r="E109" s="196">
        <f t="shared" si="22"/>
        <v>8.9678812415654576</v>
      </c>
      <c r="F109" s="126">
        <f t="shared" si="19"/>
        <v>1</v>
      </c>
      <c r="G109" s="120">
        <f t="shared" si="20"/>
        <v>26.903643724696373</v>
      </c>
      <c r="H109" s="119">
        <f t="shared" si="21"/>
        <v>26.903643724696373</v>
      </c>
    </row>
    <row r="110" spans="1:8" ht="14.25" customHeight="1" x14ac:dyDescent="0.3">
      <c r="A110" s="127" t="s">
        <v>62</v>
      </c>
      <c r="B110" s="122" t="str">
        <f t="shared" si="18"/>
        <v>Coriander Leaves - كزبرة خضراء</v>
      </c>
      <c r="C110" s="122" t="str">
        <f t="shared" si="18"/>
        <v>gm</v>
      </c>
      <c r="D110" s="122">
        <f t="shared" si="18"/>
        <v>10</v>
      </c>
      <c r="E110" s="196">
        <f t="shared" si="22"/>
        <v>8.9678812415654576</v>
      </c>
      <c r="F110" s="126">
        <f t="shared" si="19"/>
        <v>1</v>
      </c>
      <c r="G110" s="120">
        <f t="shared" si="20"/>
        <v>89.678812415654576</v>
      </c>
      <c r="H110" s="119">
        <f t="shared" si="21"/>
        <v>89.678812415654576</v>
      </c>
    </row>
    <row r="111" spans="1:8" ht="14.25" customHeight="1" x14ac:dyDescent="0.3">
      <c r="A111" s="127" t="s">
        <v>154</v>
      </c>
      <c r="B111" s="122" t="str">
        <f t="shared" si="18"/>
        <v>Butter - زبدة</v>
      </c>
      <c r="C111" s="122" t="str">
        <f t="shared" si="18"/>
        <v>gm</v>
      </c>
      <c r="D111" s="122">
        <f t="shared" si="18"/>
        <v>50</v>
      </c>
      <c r="E111" s="196">
        <f t="shared" si="22"/>
        <v>8.9678812415654576</v>
      </c>
      <c r="F111" s="126">
        <f t="shared" si="19"/>
        <v>1</v>
      </c>
      <c r="G111" s="120">
        <f t="shared" si="20"/>
        <v>448.3940620782729</v>
      </c>
      <c r="H111" s="119">
        <f t="shared" si="21"/>
        <v>448.3940620782729</v>
      </c>
    </row>
    <row r="112" spans="1:8" ht="14.25" customHeight="1" x14ac:dyDescent="0.3">
      <c r="A112" s="127" t="s">
        <v>62</v>
      </c>
      <c r="B112" s="122" t="str">
        <f t="shared" si="18"/>
        <v>Cloves Whole - قرنفل حب</v>
      </c>
      <c r="C112" s="122" t="str">
        <f t="shared" si="18"/>
        <v>gm</v>
      </c>
      <c r="D112" s="122">
        <f t="shared" si="18"/>
        <v>1</v>
      </c>
      <c r="E112" s="196">
        <f t="shared" si="22"/>
        <v>8.9678812415654576</v>
      </c>
      <c r="F112" s="126">
        <f t="shared" si="19"/>
        <v>1</v>
      </c>
      <c r="G112" s="120">
        <f t="shared" si="20"/>
        <v>8.9678812415654576</v>
      </c>
      <c r="H112" s="119">
        <f t="shared" si="21"/>
        <v>8.9678812415654576</v>
      </c>
    </row>
    <row r="113" spans="1:8" ht="14.25" customHeight="1" x14ac:dyDescent="0.3">
      <c r="A113" s="127" t="s">
        <v>62</v>
      </c>
      <c r="B113" s="122" t="str">
        <f t="shared" si="18"/>
        <v>Coriander Powder - كزبرة مطحونة</v>
      </c>
      <c r="C113" s="122" t="str">
        <f t="shared" si="18"/>
        <v>gm</v>
      </c>
      <c r="D113" s="122">
        <f t="shared" si="18"/>
        <v>15</v>
      </c>
      <c r="E113" s="196">
        <f t="shared" si="22"/>
        <v>8.9678812415654576</v>
      </c>
      <c r="F113" s="126">
        <f t="shared" si="19"/>
        <v>1</v>
      </c>
      <c r="G113" s="120">
        <f t="shared" si="20"/>
        <v>134.51821862348186</v>
      </c>
      <c r="H113" s="119">
        <f t="shared" si="21"/>
        <v>134.51821862348186</v>
      </c>
    </row>
    <row r="114" spans="1:8" ht="14.25" customHeight="1" x14ac:dyDescent="0.3">
      <c r="A114" s="127" t="s">
        <v>154</v>
      </c>
      <c r="B114" s="122" t="str">
        <f t="shared" si="18"/>
        <v>Cumin Powder - كمون مطحون</v>
      </c>
      <c r="C114" s="122" t="str">
        <f t="shared" si="18"/>
        <v>gm</v>
      </c>
      <c r="D114" s="122">
        <f t="shared" si="18"/>
        <v>2</v>
      </c>
      <c r="E114" s="196">
        <f t="shared" si="22"/>
        <v>8.9678812415654576</v>
      </c>
      <c r="F114" s="126">
        <f t="shared" si="19"/>
        <v>1</v>
      </c>
      <c r="G114" s="120">
        <f t="shared" si="20"/>
        <v>17.935762483130915</v>
      </c>
      <c r="H114" s="119">
        <f t="shared" si="21"/>
        <v>17.935762483130915</v>
      </c>
    </row>
    <row r="115" spans="1:8" ht="14.25" customHeight="1" x14ac:dyDescent="0.3">
      <c r="A115" s="127" t="s">
        <v>62</v>
      </c>
      <c r="B115" s="122" t="str">
        <f t="shared" si="18"/>
        <v>Turmeric - كركم</v>
      </c>
      <c r="C115" s="122" t="str">
        <f t="shared" si="18"/>
        <v>gm</v>
      </c>
      <c r="D115" s="122">
        <f t="shared" si="18"/>
        <v>1</v>
      </c>
      <c r="E115" s="196">
        <f t="shared" si="22"/>
        <v>8.9678812415654576</v>
      </c>
      <c r="F115" s="126">
        <f t="shared" si="19"/>
        <v>1</v>
      </c>
      <c r="G115" s="120">
        <f t="shared" si="20"/>
        <v>8.9678812415654576</v>
      </c>
      <c r="H115" s="119">
        <f t="shared" si="21"/>
        <v>8.9678812415654576</v>
      </c>
    </row>
    <row r="116" spans="1:8" ht="14.25" customHeight="1" x14ac:dyDescent="0.3">
      <c r="A116" s="127" t="s">
        <v>62</v>
      </c>
      <c r="B116" s="122" t="str">
        <f t="shared" si="18"/>
        <v>Lemon Juice - عصير ليمون</v>
      </c>
      <c r="C116" s="122" t="str">
        <f t="shared" si="18"/>
        <v>ml</v>
      </c>
      <c r="D116" s="122">
        <f t="shared" si="18"/>
        <v>20</v>
      </c>
      <c r="E116" s="196">
        <f t="shared" si="22"/>
        <v>8.9678812415654576</v>
      </c>
      <c r="F116" s="126">
        <f t="shared" si="19"/>
        <v>1</v>
      </c>
      <c r="G116" s="120">
        <f t="shared" si="20"/>
        <v>179.35762483130915</v>
      </c>
      <c r="H116" s="119">
        <f t="shared" si="21"/>
        <v>179.35762483130915</v>
      </c>
    </row>
    <row r="117" spans="1:8" ht="14.25" customHeight="1" x14ac:dyDescent="0.3">
      <c r="A117" s="127" t="s">
        <v>154</v>
      </c>
      <c r="B117" s="122" t="str">
        <f t="shared" si="18"/>
        <v>Star Anise - ينسون نجمي</v>
      </c>
      <c r="C117" s="122" t="str">
        <f t="shared" si="18"/>
        <v>gm</v>
      </c>
      <c r="D117" s="122">
        <f t="shared" si="18"/>
        <v>1</v>
      </c>
      <c r="E117" s="196">
        <f t="shared" si="22"/>
        <v>8.9678812415654576</v>
      </c>
      <c r="F117" s="126">
        <f t="shared" si="19"/>
        <v>1</v>
      </c>
      <c r="G117" s="120">
        <f t="shared" si="20"/>
        <v>8.9678812415654576</v>
      </c>
      <c r="H117" s="119">
        <f t="shared" si="21"/>
        <v>8.9678812415654576</v>
      </c>
    </row>
    <row r="118" spans="1:8" ht="14.25" customHeight="1" x14ac:dyDescent="0.3">
      <c r="A118" s="127" t="s">
        <v>62</v>
      </c>
      <c r="B118" s="122" t="str">
        <f t="shared" si="18"/>
        <v>Tomato Ketchup - كاتشب طماطم</v>
      </c>
      <c r="C118" s="122" t="str">
        <f t="shared" si="18"/>
        <v>ml</v>
      </c>
      <c r="D118" s="122">
        <f t="shared" si="18"/>
        <v>20</v>
      </c>
      <c r="E118" s="196">
        <f t="shared" si="22"/>
        <v>8.9678812415654576</v>
      </c>
      <c r="F118" s="126">
        <f t="shared" si="19"/>
        <v>1</v>
      </c>
      <c r="G118" s="120">
        <f t="shared" si="20"/>
        <v>179.35762483130915</v>
      </c>
      <c r="H118" s="119">
        <f t="shared" si="21"/>
        <v>179.35762483130915</v>
      </c>
    </row>
    <row r="119" spans="1:8" ht="14.25" customHeight="1" x14ac:dyDescent="0.3">
      <c r="A119" s="127" t="s">
        <v>62</v>
      </c>
      <c r="B119" s="122" t="str">
        <f t="shared" si="18"/>
        <v>Honey - عسل</v>
      </c>
      <c r="C119" s="122" t="str">
        <f t="shared" si="18"/>
        <v>gm</v>
      </c>
      <c r="D119" s="122">
        <f t="shared" si="18"/>
        <v>20</v>
      </c>
      <c r="E119" s="196">
        <f t="shared" si="22"/>
        <v>8.9678812415654576</v>
      </c>
      <c r="F119" s="126">
        <f t="shared" si="19"/>
        <v>1</v>
      </c>
      <c r="G119" s="120">
        <f t="shared" si="20"/>
        <v>179.35762483130915</v>
      </c>
      <c r="H119" s="119">
        <f t="shared" si="21"/>
        <v>179.35762483130915</v>
      </c>
    </row>
    <row r="120" spans="1:8" ht="20.25" customHeight="1" x14ac:dyDescent="0.3">
      <c r="A120" s="210"/>
      <c r="B120" s="197" t="s">
        <v>291</v>
      </c>
      <c r="C120" s="199" t="s">
        <v>277</v>
      </c>
      <c r="E120" s="199" t="s">
        <v>292</v>
      </c>
      <c r="G120" s="878" t="s">
        <v>268</v>
      </c>
      <c r="H120" s="878" t="s">
        <v>703</v>
      </c>
    </row>
    <row r="121" spans="1:8" ht="20" x14ac:dyDescent="0.4">
      <c r="A121" s="210"/>
      <c r="B121" s="198">
        <f>$J$54</f>
        <v>11616.755244755241</v>
      </c>
      <c r="C121" s="198">
        <f>E121+G121</f>
        <v>8519.4871794871833</v>
      </c>
      <c r="D121" s="915"/>
      <c r="E121" s="198">
        <f>$D$54*$S$44</f>
        <v>3485.244755244757</v>
      </c>
      <c r="F121" s="919"/>
      <c r="G121" s="198">
        <f>$D$54*$T$44</f>
        <v>5034.2424242424268</v>
      </c>
      <c r="H121" s="198">
        <f>B121+E121</f>
        <v>15101.999999999998</v>
      </c>
    </row>
  </sheetData>
  <mergeCells count="9">
    <mergeCell ref="AK2:AM2"/>
    <mergeCell ref="AE2:AG3"/>
    <mergeCell ref="B93:H93"/>
    <mergeCell ref="B94:H94"/>
    <mergeCell ref="R26:U26"/>
    <mergeCell ref="R25:U25"/>
    <mergeCell ref="B62:H62"/>
    <mergeCell ref="F2:F3"/>
    <mergeCell ref="B63:H63"/>
  </mergeCells>
  <printOptions horizontalCentered="1"/>
  <pageMargins left="0.4" right="0.4" top="1" bottom="0.5" header="0.3" footer="0.511811023622047"/>
  <pageSetup paperSize="9" scale="55" orientation="landscape"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2E75B6"/>
    <pageSetUpPr fitToPage="1"/>
  </sheetPr>
  <dimension ref="A1:AT107"/>
  <sheetViews>
    <sheetView zoomScale="85" zoomScaleNormal="85" workbookViewId="0">
      <selection activeCell="AC25" sqref="AC25"/>
    </sheetView>
  </sheetViews>
  <sheetFormatPr defaultColWidth="12.5" defaultRowHeight="14" x14ac:dyDescent="0.3"/>
  <cols>
    <col min="1" max="1" width="12.5" style="78" customWidth="1"/>
    <col min="2" max="2" width="37.5" style="14" customWidth="1"/>
    <col min="3" max="3" width="23.9140625" style="14" customWidth="1"/>
    <col min="4" max="4" width="19" style="14" customWidth="1"/>
    <col min="5" max="5" width="16.1640625" style="296"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5.33203125" style="14" customWidth="1"/>
    <col min="15" max="17" width="12.5" style="14" customWidth="1"/>
    <col min="18" max="18" width="30.5" style="14" customWidth="1"/>
    <col min="19" max="19" width="12.5" style="14" customWidth="1"/>
    <col min="20" max="27" width="12.5" style="14"/>
    <col min="28" max="28" width="6.75" style="14" customWidth="1"/>
    <col min="29" max="29" width="13.33203125" style="14" bestFit="1" customWidth="1"/>
    <col min="30" max="30" width="11.58203125" style="14" bestFit="1" customWidth="1"/>
    <col min="31" max="31" width="10" style="14" bestFit="1" customWidth="1"/>
    <col min="32" max="32" width="11.58203125" style="14" bestFit="1" customWidth="1"/>
    <col min="33" max="34" width="4.25" style="14" customWidth="1"/>
    <col min="35" max="35" width="12.5" style="14"/>
    <col min="36" max="36" width="33.08203125" style="14" customWidth="1"/>
    <col min="37" max="16384" width="12.5" style="14"/>
  </cols>
  <sheetData>
    <row r="1" spans="1:46" ht="41.75" customHeight="1" x14ac:dyDescent="0.3">
      <c r="B1" s="79" t="s">
        <v>235</v>
      </c>
      <c r="C1" s="80">
        <v>1000</v>
      </c>
      <c r="D1" s="81" t="s">
        <v>236</v>
      </c>
      <c r="E1" s="82">
        <f>$T$32</f>
        <v>10714.615384615396</v>
      </c>
      <c r="F1" s="385" t="s">
        <v>237</v>
      </c>
      <c r="G1" s="83">
        <f>E1/1000</f>
        <v>10.714615384615396</v>
      </c>
      <c r="H1" s="79" t="s">
        <v>238</v>
      </c>
      <c r="I1" s="84">
        <f>(G1/K1)</f>
        <v>11.161057692307704</v>
      </c>
      <c r="J1" s="85" t="s">
        <v>239</v>
      </c>
      <c r="K1" s="84">
        <v>0.96</v>
      </c>
      <c r="L1" s="87"/>
      <c r="M1" s="88"/>
      <c r="N1" s="89"/>
      <c r="O1" s="90" t="s">
        <v>240</v>
      </c>
      <c r="P1" s="91" t="s">
        <v>241</v>
      </c>
      <c r="Q1" s="92" t="s">
        <v>242</v>
      </c>
      <c r="R1" s="91">
        <v>0.59</v>
      </c>
      <c r="Y1" s="90" t="s">
        <v>463</v>
      </c>
      <c r="Z1" s="835">
        <v>45930</v>
      </c>
      <c r="AA1" s="90" t="s">
        <v>578</v>
      </c>
      <c r="AB1" s="835">
        <v>500</v>
      </c>
      <c r="AC1" s="90" t="s">
        <v>567</v>
      </c>
      <c r="AD1" s="835">
        <v>326</v>
      </c>
      <c r="AE1" s="249"/>
      <c r="AF1" s="251"/>
      <c r="AG1" s="91"/>
      <c r="AI1" s="78"/>
      <c r="AJ1" s="109" t="s">
        <v>254</v>
      </c>
      <c r="AK1" s="93">
        <v>10000</v>
      </c>
      <c r="AL1" s="623" t="s">
        <v>503</v>
      </c>
      <c r="AM1" s="624">
        <f>$S$32</f>
        <v>35715.384615384603</v>
      </c>
      <c r="AN1" s="93" t="s">
        <v>243</v>
      </c>
      <c r="AO1" s="95">
        <f>($S$32/$R$1)/$AK$1</f>
        <v>6.0534550195567132</v>
      </c>
      <c r="AP1" s="94"/>
    </row>
    <row r="2" spans="1:46" ht="12.75" customHeight="1" x14ac:dyDescent="0.3">
      <c r="A2" s="96"/>
      <c r="B2" s="1487" t="s">
        <v>48</v>
      </c>
      <c r="C2" s="1460"/>
      <c r="D2" s="1460"/>
      <c r="E2" s="1485"/>
      <c r="F2" s="1460"/>
      <c r="G2" s="1460"/>
      <c r="H2" s="1460"/>
      <c r="I2" s="1460"/>
      <c r="J2" s="1460"/>
      <c r="K2" s="1488"/>
      <c r="L2" s="292"/>
      <c r="M2" s="99"/>
      <c r="N2" s="99"/>
      <c r="O2" s="99"/>
      <c r="P2" s="99"/>
      <c r="Q2" s="99"/>
      <c r="R2" s="99"/>
      <c r="AC2" s="98"/>
      <c r="AD2" s="98"/>
      <c r="AE2" s="1457"/>
      <c r="AF2" s="1460"/>
      <c r="AG2" s="1460"/>
      <c r="AI2" s="78"/>
      <c r="AJ2" s="100"/>
      <c r="AK2" s="1442" t="s">
        <v>504</v>
      </c>
      <c r="AL2" s="1442"/>
      <c r="AM2" s="1442"/>
      <c r="AN2" s="101"/>
      <c r="AO2" s="100"/>
      <c r="AP2" s="100"/>
    </row>
    <row r="3" spans="1:46" ht="12.75" customHeight="1" x14ac:dyDescent="0.3">
      <c r="A3" s="96"/>
      <c r="B3" s="1444"/>
      <c r="C3" s="1444"/>
      <c r="D3" s="1444"/>
      <c r="E3" s="1444"/>
      <c r="F3" s="1444"/>
      <c r="G3" s="1444"/>
      <c r="H3" s="1444"/>
      <c r="I3" s="1444"/>
      <c r="J3" s="1444"/>
      <c r="K3" s="1489"/>
      <c r="L3" s="292"/>
      <c r="M3" s="99"/>
      <c r="N3" s="99"/>
      <c r="O3" s="99"/>
      <c r="P3" s="99"/>
      <c r="Q3" s="99"/>
      <c r="R3" s="99"/>
      <c r="AC3" s="98"/>
      <c r="AD3" s="98"/>
      <c r="AE3" s="1460"/>
      <c r="AF3" s="1460"/>
      <c r="AG3" s="1460"/>
      <c r="AI3" s="78"/>
      <c r="AJ3" s="103"/>
      <c r="AK3" s="103"/>
      <c r="AL3" s="104"/>
      <c r="AM3" s="104"/>
      <c r="AN3" s="104"/>
      <c r="AO3" s="103"/>
      <c r="AP3" s="103"/>
    </row>
    <row r="4" spans="1:46" ht="69" customHeight="1" x14ac:dyDescent="0.3">
      <c r="A4" s="90" t="s">
        <v>1</v>
      </c>
      <c r="B4" s="90" t="s">
        <v>245</v>
      </c>
      <c r="C4" s="106" t="s">
        <v>246</v>
      </c>
      <c r="D4" s="90" t="s">
        <v>235</v>
      </c>
      <c r="E4" s="107" t="s">
        <v>238</v>
      </c>
      <c r="F4" s="107" t="s">
        <v>247</v>
      </c>
      <c r="G4" s="90" t="s">
        <v>248</v>
      </c>
      <c r="H4" s="108" t="s">
        <v>249</v>
      </c>
      <c r="I4" s="90" t="s">
        <v>250</v>
      </c>
      <c r="J4" s="90" t="s">
        <v>251</v>
      </c>
      <c r="K4" s="90" t="s">
        <v>252</v>
      </c>
      <c r="L4" s="90" t="s">
        <v>253</v>
      </c>
      <c r="M4" s="99"/>
      <c r="N4" s="99"/>
      <c r="O4" s="99"/>
      <c r="P4" s="99"/>
      <c r="AA4" s="250"/>
      <c r="AB4" s="252"/>
      <c r="AC4" s="250"/>
      <c r="AD4" s="250"/>
      <c r="AE4" s="250"/>
      <c r="AI4" s="78"/>
      <c r="AJ4" s="109" t="s">
        <v>245</v>
      </c>
      <c r="AK4" s="110" t="s">
        <v>246</v>
      </c>
      <c r="AL4" s="109" t="s">
        <v>254</v>
      </c>
      <c r="AM4" s="109" t="s">
        <v>238</v>
      </c>
      <c r="AN4" s="109" t="s">
        <v>247</v>
      </c>
      <c r="AO4" s="109" t="s">
        <v>248</v>
      </c>
      <c r="AP4" s="111" t="s">
        <v>249</v>
      </c>
      <c r="AQ4" s="90" t="s">
        <v>250</v>
      </c>
      <c r="AR4" s="90" t="s">
        <v>251</v>
      </c>
      <c r="AS4" s="90" t="s">
        <v>252</v>
      </c>
      <c r="AT4" s="90" t="s">
        <v>253</v>
      </c>
    </row>
    <row r="5" spans="1:46" ht="14.25" customHeight="1" x14ac:dyDescent="0.3">
      <c r="A5" s="265" t="s">
        <v>225</v>
      </c>
      <c r="B5" s="308" t="s">
        <v>224</v>
      </c>
      <c r="C5" s="114" t="s">
        <v>14</v>
      </c>
      <c r="D5" s="120">
        <f>I51/10</f>
        <v>5649.8305084745762</v>
      </c>
      <c r="E5" s="116">
        <f>H52</f>
        <v>10.71440109659345</v>
      </c>
      <c r="F5" s="126">
        <v>1</v>
      </c>
      <c r="G5" s="118">
        <f t="shared" ref="G5:G20" si="0">D5*E5</f>
        <v>60534.550195567128</v>
      </c>
      <c r="H5" s="119">
        <f t="shared" ref="H5:H20" si="1">G5*F5</f>
        <v>60534.550195567128</v>
      </c>
      <c r="I5" s="80">
        <f>VLOOKUP(B5,All_Ingredients!$A$1:$F$149,6,FALSE())</f>
        <v>0.86</v>
      </c>
      <c r="J5" s="118">
        <f>VLOOKUP(B5,All_Ingredients!$A$1:$J$149,10,FALSE())</f>
        <v>17.100000000000001</v>
      </c>
      <c r="K5" s="121">
        <f t="shared" ref="K5" si="2">(H5/I5)/1000</f>
        <v>70.389011855310613</v>
      </c>
      <c r="L5" s="121">
        <f t="shared" ref="L5" si="3">K5*J5</f>
        <v>1203.6521027258116</v>
      </c>
      <c r="M5" s="99"/>
      <c r="N5" s="99"/>
      <c r="O5" s="99"/>
      <c r="P5" s="99"/>
      <c r="AA5" s="91"/>
      <c r="AB5" s="132"/>
      <c r="AC5" s="253"/>
      <c r="AD5" s="134"/>
      <c r="AE5" s="135"/>
      <c r="AI5" s="78"/>
      <c r="AJ5" s="122" t="s">
        <v>224</v>
      </c>
      <c r="AK5" s="123" t="s">
        <v>231</v>
      </c>
      <c r="AL5" s="115">
        <v>10</v>
      </c>
      <c r="AM5" s="115">
        <f t="shared" ref="AM5:AM19" si="4">$AO$1</f>
        <v>6.0534550195567132</v>
      </c>
      <c r="AN5" s="126">
        <v>1</v>
      </c>
      <c r="AO5" s="118">
        <f t="shared" ref="AO5:AO19" si="5">AL5*AM5</f>
        <v>60.534550195567135</v>
      </c>
      <c r="AP5" s="119">
        <f t="shared" ref="AP5:AP19" si="6">AO5*AN5</f>
        <v>60.534550195567135</v>
      </c>
      <c r="AR5" s="1128"/>
      <c r="AS5" s="553"/>
      <c r="AT5" s="1126"/>
    </row>
    <row r="6" spans="1:46" ht="14.25" customHeight="1" x14ac:dyDescent="0.35">
      <c r="A6" s="127" t="s">
        <v>192</v>
      </c>
      <c r="B6" s="113" t="s">
        <v>200</v>
      </c>
      <c r="C6" s="992" t="s">
        <v>161</v>
      </c>
      <c r="D6" s="124">
        <v>400</v>
      </c>
      <c r="E6" s="115">
        <f>$I$1</f>
        <v>11.161057692307704</v>
      </c>
      <c r="F6" s="126">
        <v>1</v>
      </c>
      <c r="G6" s="118">
        <f t="shared" si="0"/>
        <v>4464.4230769230817</v>
      </c>
      <c r="H6" s="119">
        <f t="shared" si="1"/>
        <v>4464.4230769230817</v>
      </c>
      <c r="I6" s="80">
        <f>VLOOKUP(B6,All_Ingredients!$A$1:$F$149,6,FALSE())</f>
        <v>1</v>
      </c>
      <c r="J6" s="118">
        <f>VLOOKUP(B6,All_Ingredients!$A$1:$J$149,10,FALSE())</f>
        <v>3.25</v>
      </c>
      <c r="K6" s="121">
        <f t="shared" ref="K6:K20" si="7">(H6/I6)/1000</f>
        <v>4.4644230769230813</v>
      </c>
      <c r="L6" s="121">
        <f t="shared" ref="L6:L20" si="8">K6*J6</f>
        <v>14.509375000000015</v>
      </c>
      <c r="AI6" s="78" t="s">
        <v>95</v>
      </c>
      <c r="AJ6" s="322" t="s">
        <v>106</v>
      </c>
      <c r="AK6" s="333" t="s">
        <v>14</v>
      </c>
      <c r="AL6" s="115">
        <v>20</v>
      </c>
      <c r="AM6" s="115">
        <f t="shared" si="4"/>
        <v>6.0534550195567132</v>
      </c>
      <c r="AN6" s="126">
        <v>1</v>
      </c>
      <c r="AO6" s="118">
        <f t="shared" si="5"/>
        <v>121.06910039113427</v>
      </c>
      <c r="AP6" s="119">
        <f t="shared" si="6"/>
        <v>121.06910039113427</v>
      </c>
      <c r="AQ6" s="1126">
        <f>VLOOKUP(AJ6,Marination_Ordering!$A:$J,6,FALSE)</f>
        <v>1</v>
      </c>
      <c r="AR6" s="1126">
        <f>VLOOKUP(AJ6,Marination_Ordering!$A:$J,10,FALSE)</f>
        <v>15</v>
      </c>
      <c r="AS6" s="553">
        <f>AP6/AQ6</f>
        <v>121.06910039113427</v>
      </c>
      <c r="AT6" s="1126">
        <f>AR6*(AS6/1000)</f>
        <v>1.816036505867014</v>
      </c>
    </row>
    <row r="7" spans="1:46" ht="14.25" customHeight="1" x14ac:dyDescent="0.3">
      <c r="A7" s="127" t="s">
        <v>192</v>
      </c>
      <c r="B7" s="113" t="s">
        <v>194</v>
      </c>
      <c r="C7" s="123" t="s">
        <v>161</v>
      </c>
      <c r="D7" s="124">
        <v>33</v>
      </c>
      <c r="E7" s="115">
        <f t="shared" ref="E7:E20" si="9">$I$1</f>
        <v>11.161057692307704</v>
      </c>
      <c r="F7" s="126">
        <v>0.75</v>
      </c>
      <c r="G7" s="118">
        <f t="shared" si="0"/>
        <v>368.31490384615421</v>
      </c>
      <c r="H7" s="119">
        <f t="shared" si="1"/>
        <v>276.23617788461564</v>
      </c>
      <c r="I7" s="80">
        <f>VLOOKUP(B7,All_Ingredients!$A$1:$F$149,6,FALSE())</f>
        <v>1</v>
      </c>
      <c r="J7" s="118">
        <f>VLOOKUP(B7,All_Ingredients!$A$1:$J$149,10,FALSE())</f>
        <v>58.685446009389672</v>
      </c>
      <c r="K7" s="121">
        <f t="shared" si="7"/>
        <v>0.27623617788461563</v>
      </c>
      <c r="L7" s="121">
        <f t="shared" si="8"/>
        <v>16.211043303087774</v>
      </c>
      <c r="AI7" s="78" t="s">
        <v>95</v>
      </c>
      <c r="AJ7" s="322" t="s">
        <v>108</v>
      </c>
      <c r="AK7" s="333" t="s">
        <v>14</v>
      </c>
      <c r="AL7" s="115">
        <v>10</v>
      </c>
      <c r="AM7" s="115">
        <f t="shared" si="4"/>
        <v>6.0534550195567132</v>
      </c>
      <c r="AN7" s="126">
        <v>1</v>
      </c>
      <c r="AO7" s="118">
        <f t="shared" si="5"/>
        <v>60.534550195567135</v>
      </c>
      <c r="AP7" s="119">
        <f t="shared" si="6"/>
        <v>60.534550195567135</v>
      </c>
      <c r="AQ7" s="1126">
        <f>VLOOKUP(AJ7,Marination_Ordering!$A:$J,6,FALSE)</f>
        <v>1</v>
      </c>
      <c r="AR7" s="1126">
        <f>VLOOKUP(AJ7,Marination_Ordering!$A:$J,10,FALSE)</f>
        <v>8</v>
      </c>
      <c r="AS7" s="553">
        <f t="shared" ref="AS7:AS8" si="10">AP7/AQ7</f>
        <v>60.534550195567135</v>
      </c>
      <c r="AT7" s="1126">
        <f t="shared" ref="AT7:AT8" si="11">AR7*(AS7/1000)</f>
        <v>0.48427640156453711</v>
      </c>
    </row>
    <row r="8" spans="1:46" ht="14.25" customHeight="1" x14ac:dyDescent="0.3">
      <c r="A8" s="127" t="s">
        <v>95</v>
      </c>
      <c r="B8" s="113" t="s">
        <v>185</v>
      </c>
      <c r="C8" s="123" t="s">
        <v>14</v>
      </c>
      <c r="D8" s="124">
        <v>20</v>
      </c>
      <c r="E8" s="115">
        <f t="shared" si="9"/>
        <v>11.161057692307704</v>
      </c>
      <c r="F8" s="126">
        <v>1</v>
      </c>
      <c r="G8" s="118">
        <f t="shared" si="0"/>
        <v>223.2211538461541</v>
      </c>
      <c r="H8" s="119">
        <f t="shared" si="1"/>
        <v>223.2211538461541</v>
      </c>
      <c r="I8" s="80">
        <f>VLOOKUP(B8,All_Ingredients!$A$1:$F$149,6,FALSE())</f>
        <v>1</v>
      </c>
      <c r="J8" s="118">
        <f>VLOOKUP(B8,All_Ingredients!$A$1:$J$149,10,FALSE())</f>
        <v>17</v>
      </c>
      <c r="K8" s="121">
        <f t="shared" si="7"/>
        <v>0.2232211538461541</v>
      </c>
      <c r="L8" s="121">
        <f t="shared" si="8"/>
        <v>3.7947596153846197</v>
      </c>
      <c r="AI8" s="78" t="s">
        <v>154</v>
      </c>
      <c r="AJ8" s="373" t="s">
        <v>164</v>
      </c>
      <c r="AK8" s="333" t="s">
        <v>14</v>
      </c>
      <c r="AL8" s="222">
        <v>250</v>
      </c>
      <c r="AM8" s="115">
        <f t="shared" si="4"/>
        <v>6.0534550195567132</v>
      </c>
      <c r="AN8" s="126">
        <v>1</v>
      </c>
      <c r="AO8" s="118">
        <f t="shared" si="5"/>
        <v>1513.3637548891784</v>
      </c>
      <c r="AP8" s="119">
        <f t="shared" si="6"/>
        <v>1513.3637548891784</v>
      </c>
      <c r="AQ8" s="1126">
        <f>VLOOKUP(AJ8,Marination_Ordering!$A:$J,6,FALSE)</f>
        <v>1</v>
      </c>
      <c r="AR8" s="1126">
        <f>VLOOKUP(AJ8,Marination_Ordering!$A:$J,10,FALSE)</f>
        <v>6.6959999999999997</v>
      </c>
      <c r="AS8" s="553">
        <f t="shared" si="10"/>
        <v>1513.3637548891784</v>
      </c>
      <c r="AT8" s="1126">
        <f t="shared" si="11"/>
        <v>10.133483702737937</v>
      </c>
    </row>
    <row r="9" spans="1:46" ht="14.25" customHeight="1" x14ac:dyDescent="0.3">
      <c r="A9" s="127" t="s">
        <v>206</v>
      </c>
      <c r="B9" s="113" t="s">
        <v>205</v>
      </c>
      <c r="C9" s="123" t="s">
        <v>161</v>
      </c>
      <c r="D9" s="124">
        <v>280</v>
      </c>
      <c r="E9" s="115">
        <f t="shared" si="9"/>
        <v>11.161057692307704</v>
      </c>
      <c r="F9" s="126">
        <v>1</v>
      </c>
      <c r="G9" s="118">
        <f t="shared" si="0"/>
        <v>3125.096153846157</v>
      </c>
      <c r="H9" s="119">
        <f t="shared" si="1"/>
        <v>3125.096153846157</v>
      </c>
      <c r="I9" s="80">
        <f>VLOOKUP(B9,All_Ingredients!$A$1:$F$149,6,FALSE())</f>
        <v>1</v>
      </c>
      <c r="J9" s="118">
        <f>VLOOKUP(B9,All_Ingredients!$A$1:$J$149,10,FALSE())</f>
        <v>0</v>
      </c>
      <c r="K9" s="121">
        <f t="shared" si="7"/>
        <v>3.1250961538461568</v>
      </c>
      <c r="L9" s="121">
        <f t="shared" si="8"/>
        <v>0</v>
      </c>
      <c r="AI9" s="78" t="s">
        <v>95</v>
      </c>
      <c r="AJ9" s="373" t="s">
        <v>114</v>
      </c>
      <c r="AK9" s="333" t="s">
        <v>14</v>
      </c>
      <c r="AL9" s="115">
        <v>10</v>
      </c>
      <c r="AM9" s="115">
        <f t="shared" si="4"/>
        <v>6.0534550195567132</v>
      </c>
      <c r="AN9" s="126">
        <v>1</v>
      </c>
      <c r="AO9" s="118">
        <f t="shared" si="5"/>
        <v>60.534550195567135</v>
      </c>
      <c r="AP9" s="119">
        <f t="shared" si="6"/>
        <v>60.534550195567135</v>
      </c>
      <c r="AQ9" s="1126">
        <f>VLOOKUP(AJ9,Marination_Ordering!$A:$J,6,FALSE)</f>
        <v>1</v>
      </c>
      <c r="AR9" s="1126">
        <f>VLOOKUP(AJ9,Marination_Ordering!$A:$J,10,FALSE)</f>
        <v>20</v>
      </c>
      <c r="AS9" s="553">
        <f t="shared" ref="AS9:AS19" si="12">AP9/AQ9</f>
        <v>60.534550195567135</v>
      </c>
      <c r="AT9" s="1126">
        <f t="shared" ref="AT9:AT19" si="13">AR9*(AS9/1000)</f>
        <v>1.2106910039113428</v>
      </c>
    </row>
    <row r="10" spans="1:46" ht="14.25" customHeight="1" x14ac:dyDescent="0.3">
      <c r="A10" s="127" t="s">
        <v>188</v>
      </c>
      <c r="B10" s="113" t="s">
        <v>189</v>
      </c>
      <c r="C10" s="123" t="s">
        <v>14</v>
      </c>
      <c r="D10" s="124">
        <v>40</v>
      </c>
      <c r="E10" s="115">
        <f t="shared" si="9"/>
        <v>11.161057692307704</v>
      </c>
      <c r="F10" s="126">
        <v>0.5</v>
      </c>
      <c r="G10" s="118">
        <f t="shared" si="0"/>
        <v>446.44230769230819</v>
      </c>
      <c r="H10" s="119">
        <f t="shared" si="1"/>
        <v>223.2211538461541</v>
      </c>
      <c r="I10" s="80">
        <f>VLOOKUP(B10,All_Ingredients!$A$1:$F$149,6,FALSE())</f>
        <v>0.9</v>
      </c>
      <c r="J10" s="118">
        <f>VLOOKUP(B10,All_Ingredients!$A$1:$J$149,10,FALSE())</f>
        <v>2.3199999999999998</v>
      </c>
      <c r="K10" s="121">
        <f t="shared" si="7"/>
        <v>0.24802350427350456</v>
      </c>
      <c r="L10" s="121">
        <f t="shared" si="8"/>
        <v>0.57541452991453057</v>
      </c>
      <c r="AI10" s="78" t="s">
        <v>95</v>
      </c>
      <c r="AJ10" s="373" t="s">
        <v>119</v>
      </c>
      <c r="AK10" s="333" t="s">
        <v>14</v>
      </c>
      <c r="AL10" s="115">
        <v>5</v>
      </c>
      <c r="AM10" s="115">
        <f t="shared" si="4"/>
        <v>6.0534550195567132</v>
      </c>
      <c r="AN10" s="126">
        <v>1</v>
      </c>
      <c r="AO10" s="118">
        <f t="shared" si="5"/>
        <v>30.267275097783568</v>
      </c>
      <c r="AP10" s="119">
        <f t="shared" si="6"/>
        <v>30.267275097783568</v>
      </c>
      <c r="AQ10" s="1126">
        <f>VLOOKUP(AJ10,Marination_Ordering!$A:$J,6,FALSE)</f>
        <v>1</v>
      </c>
      <c r="AR10" s="1126">
        <f>VLOOKUP(AJ10,Marination_Ordering!$A:$J,10,FALSE)</f>
        <v>15</v>
      </c>
      <c r="AS10" s="553">
        <f t="shared" si="12"/>
        <v>30.267275097783568</v>
      </c>
      <c r="AT10" s="1126">
        <f t="shared" si="13"/>
        <v>0.45400912646675351</v>
      </c>
    </row>
    <row r="11" spans="1:46" ht="14.25" customHeight="1" x14ac:dyDescent="0.3">
      <c r="A11" s="127" t="s">
        <v>13</v>
      </c>
      <c r="B11" s="113" t="s">
        <v>12</v>
      </c>
      <c r="C11" s="123" t="s">
        <v>14</v>
      </c>
      <c r="D11" s="124">
        <v>270</v>
      </c>
      <c r="E11" s="115">
        <f t="shared" si="9"/>
        <v>11.161057692307704</v>
      </c>
      <c r="F11" s="126">
        <v>0.95</v>
      </c>
      <c r="G11" s="118">
        <f t="shared" si="0"/>
        <v>3013.4855769230803</v>
      </c>
      <c r="H11" s="119">
        <f t="shared" si="1"/>
        <v>2862.8112980769261</v>
      </c>
      <c r="I11" s="80">
        <f>VLOOKUP(B11,All_Ingredients!$A$1:$F$149,6,FALSE())</f>
        <v>0.9</v>
      </c>
      <c r="J11" s="118">
        <f>VLOOKUP(B11,All_Ingredients!$A$1:$J$149,10,FALSE())</f>
        <v>3</v>
      </c>
      <c r="K11" s="121">
        <f t="shared" si="7"/>
        <v>3.1809014423076958</v>
      </c>
      <c r="L11" s="121">
        <f t="shared" si="8"/>
        <v>9.5427043269230865</v>
      </c>
      <c r="AI11" s="78" t="s">
        <v>62</v>
      </c>
      <c r="AJ11" s="322" t="s">
        <v>76</v>
      </c>
      <c r="AK11" s="333" t="s">
        <v>14</v>
      </c>
      <c r="AL11" s="115">
        <v>5</v>
      </c>
      <c r="AM11" s="115">
        <f t="shared" si="4"/>
        <v>6.0534550195567132</v>
      </c>
      <c r="AN11" s="126">
        <v>1</v>
      </c>
      <c r="AO11" s="118">
        <f t="shared" si="5"/>
        <v>30.267275097783568</v>
      </c>
      <c r="AP11" s="119">
        <f t="shared" si="6"/>
        <v>30.267275097783568</v>
      </c>
      <c r="AQ11" s="1126">
        <f>VLOOKUP(AJ11,Marination_Ordering!$A:$J,6,FALSE)</f>
        <v>1</v>
      </c>
      <c r="AR11" s="1126">
        <f>VLOOKUP(AJ11,Marination_Ordering!$A:$J,10,FALSE)</f>
        <v>90</v>
      </c>
      <c r="AS11" s="553">
        <f t="shared" si="12"/>
        <v>30.267275097783568</v>
      </c>
      <c r="AT11" s="1126">
        <f t="shared" si="13"/>
        <v>2.7240547588005213</v>
      </c>
    </row>
    <row r="12" spans="1:46" ht="14.25" customHeight="1" x14ac:dyDescent="0.3">
      <c r="A12" s="127" t="s">
        <v>13</v>
      </c>
      <c r="B12" s="113" t="s">
        <v>762</v>
      </c>
      <c r="C12" s="123" t="s">
        <v>14</v>
      </c>
      <c r="D12" s="124">
        <v>40</v>
      </c>
      <c r="E12" s="115">
        <f t="shared" si="9"/>
        <v>11.161057692307704</v>
      </c>
      <c r="F12" s="126">
        <v>0.95</v>
      </c>
      <c r="G12" s="118">
        <f t="shared" si="0"/>
        <v>446.44230769230819</v>
      </c>
      <c r="H12" s="119">
        <f t="shared" si="1"/>
        <v>424.12019230769278</v>
      </c>
      <c r="I12" s="80">
        <f>VLOOKUP(B12,All_Ingredients!$A$1:$F$149,6,FALSE())</f>
        <v>1</v>
      </c>
      <c r="J12" s="118">
        <f>VLOOKUP(B12,All_Ingredients!$A$1:$J$149,10,FALSE())</f>
        <v>10.5</v>
      </c>
      <c r="K12" s="121">
        <f t="shared" si="7"/>
        <v>0.42412019230769277</v>
      </c>
      <c r="L12" s="121">
        <f t="shared" si="8"/>
        <v>4.4532620192307739</v>
      </c>
      <c r="AI12" s="78" t="s">
        <v>95</v>
      </c>
      <c r="AJ12" s="322" t="s">
        <v>94</v>
      </c>
      <c r="AK12" s="333" t="s">
        <v>14</v>
      </c>
      <c r="AL12" s="124">
        <v>5</v>
      </c>
      <c r="AM12" s="115">
        <f t="shared" si="4"/>
        <v>6.0534550195567132</v>
      </c>
      <c r="AN12" s="126">
        <v>1</v>
      </c>
      <c r="AO12" s="118">
        <f t="shared" si="5"/>
        <v>30.267275097783568</v>
      </c>
      <c r="AP12" s="119">
        <f t="shared" si="6"/>
        <v>30.267275097783568</v>
      </c>
      <c r="AQ12" s="1126">
        <f>VLOOKUP(AJ12,Marination_Ordering!$A:$J,6,FALSE)</f>
        <v>1</v>
      </c>
      <c r="AR12" s="1126">
        <f>VLOOKUP(AJ12,Marination_Ordering!$A:$J,10,FALSE)</f>
        <v>0.74</v>
      </c>
      <c r="AS12" s="553">
        <f t="shared" si="12"/>
        <v>30.267275097783568</v>
      </c>
      <c r="AT12" s="1126">
        <f t="shared" si="13"/>
        <v>2.2397783572359841E-2</v>
      </c>
    </row>
    <row r="13" spans="1:46" ht="14.25" customHeight="1" x14ac:dyDescent="0.3">
      <c r="A13" s="127" t="s">
        <v>56</v>
      </c>
      <c r="B13" s="113" t="s">
        <v>55</v>
      </c>
      <c r="C13" s="123" t="s">
        <v>14</v>
      </c>
      <c r="D13" s="124">
        <v>40</v>
      </c>
      <c r="E13" s="115">
        <f t="shared" si="9"/>
        <v>11.161057692307704</v>
      </c>
      <c r="F13" s="126">
        <v>0.6</v>
      </c>
      <c r="G13" s="118">
        <f t="shared" si="0"/>
        <v>446.44230769230819</v>
      </c>
      <c r="H13" s="119">
        <f t="shared" si="1"/>
        <v>267.86538461538493</v>
      </c>
      <c r="I13" s="80">
        <f>VLOOKUP(B13,All_Ingredients!$A$1:$F$149,6,FALSE())</f>
        <v>0.87</v>
      </c>
      <c r="J13" s="118">
        <f>VLOOKUP(B13,All_Ingredients!$A$1:$J$149,10,FALSE())</f>
        <v>7</v>
      </c>
      <c r="K13" s="121">
        <f t="shared" si="7"/>
        <v>0.30789124668435053</v>
      </c>
      <c r="L13" s="121">
        <f t="shared" si="8"/>
        <v>2.1552387267904538</v>
      </c>
      <c r="AI13" s="78" t="s">
        <v>215</v>
      </c>
      <c r="AJ13" s="322" t="s">
        <v>216</v>
      </c>
      <c r="AK13" s="333" t="s">
        <v>14</v>
      </c>
      <c r="AL13" s="115">
        <v>5</v>
      </c>
      <c r="AM13" s="115">
        <f t="shared" si="4"/>
        <v>6.0534550195567132</v>
      </c>
      <c r="AN13" s="126">
        <v>1</v>
      </c>
      <c r="AO13" s="118">
        <f t="shared" si="5"/>
        <v>30.267275097783568</v>
      </c>
      <c r="AP13" s="119">
        <f t="shared" si="6"/>
        <v>30.267275097783568</v>
      </c>
      <c r="AQ13" s="1126">
        <f>VLOOKUP(AJ13,Marination_Ordering!$A:$J,6,FALSE)</f>
        <v>1</v>
      </c>
      <c r="AR13" s="1126">
        <f>VLOOKUP(AJ13,Marination_Ordering!$A:$J,10,FALSE)</f>
        <v>35</v>
      </c>
      <c r="AS13" s="553">
        <f t="shared" si="12"/>
        <v>30.267275097783568</v>
      </c>
      <c r="AT13" s="1126">
        <f t="shared" si="13"/>
        <v>1.0593546284224249</v>
      </c>
    </row>
    <row r="14" spans="1:46" ht="14.25" customHeight="1" x14ac:dyDescent="0.3">
      <c r="A14" s="127" t="s">
        <v>62</v>
      </c>
      <c r="B14" s="113" t="s">
        <v>76</v>
      </c>
      <c r="C14" s="123" t="s">
        <v>14</v>
      </c>
      <c r="D14" s="124">
        <v>3</v>
      </c>
      <c r="E14" s="115">
        <f t="shared" si="9"/>
        <v>11.161057692307704</v>
      </c>
      <c r="F14" s="126">
        <v>1</v>
      </c>
      <c r="G14" s="118">
        <f t="shared" si="0"/>
        <v>33.483173076923109</v>
      </c>
      <c r="H14" s="119">
        <f t="shared" si="1"/>
        <v>33.483173076923109</v>
      </c>
      <c r="I14" s="80">
        <f>VLOOKUP(B14,All_Ingredients!$A$1:$F$149,6,FALSE())</f>
        <v>0.6</v>
      </c>
      <c r="J14" s="118">
        <f>VLOOKUP(B14,All_Ingredients!$A$1:$J$149,10,FALSE())</f>
        <v>90</v>
      </c>
      <c r="K14" s="121">
        <f t="shared" si="7"/>
        <v>5.5805288461538517E-2</v>
      </c>
      <c r="L14" s="121">
        <f t="shared" si="8"/>
        <v>5.0224759615384666</v>
      </c>
      <c r="AI14" s="78" t="s">
        <v>95</v>
      </c>
      <c r="AJ14" s="322" t="s">
        <v>129</v>
      </c>
      <c r="AK14" s="333" t="s">
        <v>14</v>
      </c>
      <c r="AL14" s="115">
        <v>5</v>
      </c>
      <c r="AM14" s="115">
        <f t="shared" si="4"/>
        <v>6.0534550195567132</v>
      </c>
      <c r="AN14" s="126">
        <v>1</v>
      </c>
      <c r="AO14" s="118">
        <f t="shared" si="5"/>
        <v>30.267275097783568</v>
      </c>
      <c r="AP14" s="119">
        <f t="shared" si="6"/>
        <v>30.267275097783568</v>
      </c>
      <c r="AQ14" s="1126">
        <f>VLOOKUP(AJ14,Marination_Ordering!$A:$J,6,FALSE)</f>
        <v>1</v>
      </c>
      <c r="AR14" s="1126">
        <f>VLOOKUP(AJ14,Marination_Ordering!$A:$J,10,FALSE)</f>
        <v>107</v>
      </c>
      <c r="AS14" s="553">
        <f t="shared" si="12"/>
        <v>30.267275097783568</v>
      </c>
      <c r="AT14" s="1126">
        <f t="shared" si="13"/>
        <v>3.2385984354628419</v>
      </c>
    </row>
    <row r="15" spans="1:46" ht="14.25" customHeight="1" x14ac:dyDescent="0.3">
      <c r="A15" s="127" t="s">
        <v>62</v>
      </c>
      <c r="B15" s="113" t="s">
        <v>61</v>
      </c>
      <c r="C15" s="123" t="s">
        <v>14</v>
      </c>
      <c r="D15" s="124">
        <v>28</v>
      </c>
      <c r="E15" s="115">
        <f t="shared" si="9"/>
        <v>11.161057692307704</v>
      </c>
      <c r="F15" s="126">
        <v>1</v>
      </c>
      <c r="G15" s="118">
        <f t="shared" si="0"/>
        <v>312.5096153846157</v>
      </c>
      <c r="H15" s="119">
        <f t="shared" si="1"/>
        <v>312.5096153846157</v>
      </c>
      <c r="I15" s="80">
        <f>VLOOKUP(B15,All_Ingredients!$A$1:$F$149,6,FALSE())</f>
        <v>0.94</v>
      </c>
      <c r="J15" s="118">
        <f>VLOOKUP(B15,All_Ingredients!$A$1:$J$149,10,FALSE())</f>
        <v>3.6363636363636367</v>
      </c>
      <c r="K15" s="121">
        <f t="shared" si="7"/>
        <v>0.33245703764320822</v>
      </c>
      <c r="L15" s="121">
        <f t="shared" si="8"/>
        <v>1.2089346823389391</v>
      </c>
      <c r="AI15" s="78" t="s">
        <v>95</v>
      </c>
      <c r="AJ15" s="322" t="s">
        <v>125</v>
      </c>
      <c r="AK15" s="333" t="s">
        <v>14</v>
      </c>
      <c r="AL15" s="115">
        <v>7</v>
      </c>
      <c r="AM15" s="115">
        <f t="shared" si="4"/>
        <v>6.0534550195567132</v>
      </c>
      <c r="AN15" s="126">
        <v>1</v>
      </c>
      <c r="AO15" s="118">
        <f t="shared" si="5"/>
        <v>42.37418513689699</v>
      </c>
      <c r="AP15" s="119">
        <f t="shared" si="6"/>
        <v>42.37418513689699</v>
      </c>
      <c r="AQ15" s="1126">
        <f>VLOOKUP(AJ15,Marination_Ordering!$A:$J,6,FALSE)</f>
        <v>1</v>
      </c>
      <c r="AR15" s="1126">
        <f>VLOOKUP(AJ15,Marination_Ordering!$A:$J,10,FALSE)</f>
        <v>37</v>
      </c>
      <c r="AS15" s="553">
        <f t="shared" si="12"/>
        <v>42.37418513689699</v>
      </c>
      <c r="AT15" s="1126">
        <f t="shared" si="13"/>
        <v>1.5678448500651885</v>
      </c>
    </row>
    <row r="16" spans="1:46" ht="14.25" customHeight="1" x14ac:dyDescent="0.3">
      <c r="A16" s="127" t="s">
        <v>95</v>
      </c>
      <c r="B16" s="113" t="s">
        <v>116</v>
      </c>
      <c r="C16" s="123" t="s">
        <v>14</v>
      </c>
      <c r="D16" s="124">
        <v>12</v>
      </c>
      <c r="E16" s="115">
        <f t="shared" si="9"/>
        <v>11.161057692307704</v>
      </c>
      <c r="F16" s="126">
        <v>0.75</v>
      </c>
      <c r="G16" s="118">
        <f t="shared" si="0"/>
        <v>133.93269230769243</v>
      </c>
      <c r="H16" s="119">
        <f t="shared" si="1"/>
        <v>100.44951923076933</v>
      </c>
      <c r="I16" s="80">
        <f>VLOOKUP(B16,All_Ingredients!$A$1:$F$149,6,FALSE())</f>
        <v>1</v>
      </c>
      <c r="J16" s="118">
        <f>VLOOKUP(B16,All_Ingredients!$A$1:$J$149,10,FALSE())</f>
        <v>14.5</v>
      </c>
      <c r="K16" s="121">
        <f t="shared" si="7"/>
        <v>0.10044951923076932</v>
      </c>
      <c r="L16" s="121">
        <f t="shared" si="8"/>
        <v>1.4565180288461552</v>
      </c>
      <c r="AI16" s="78" t="s">
        <v>56</v>
      </c>
      <c r="AJ16" s="322" t="s">
        <v>55</v>
      </c>
      <c r="AK16" s="333" t="s">
        <v>14</v>
      </c>
      <c r="AL16" s="124">
        <v>100</v>
      </c>
      <c r="AM16" s="115">
        <f t="shared" si="4"/>
        <v>6.0534550195567132</v>
      </c>
      <c r="AN16" s="126">
        <v>1</v>
      </c>
      <c r="AO16" s="118">
        <f t="shared" si="5"/>
        <v>605.34550195567135</v>
      </c>
      <c r="AP16" s="119">
        <f t="shared" si="6"/>
        <v>605.34550195567135</v>
      </c>
      <c r="AQ16" s="1126">
        <f>VLOOKUP(AJ16,Marination_Ordering!$A:$J,6,FALSE)</f>
        <v>0.87</v>
      </c>
      <c r="AR16" s="1126">
        <f>VLOOKUP(AJ16,Marination_Ordering!$A:$J,10,FALSE)</f>
        <v>3.2</v>
      </c>
      <c r="AS16" s="553">
        <f t="shared" si="12"/>
        <v>695.79942753525438</v>
      </c>
      <c r="AT16" s="1126">
        <f t="shared" si="13"/>
        <v>2.2265581681128142</v>
      </c>
    </row>
    <row r="17" spans="1:46" ht="14.25" customHeight="1" x14ac:dyDescent="0.3">
      <c r="A17" s="127" t="s">
        <v>154</v>
      </c>
      <c r="B17" s="113" t="s">
        <v>153</v>
      </c>
      <c r="C17" s="123" t="s">
        <v>14</v>
      </c>
      <c r="D17" s="124">
        <v>25</v>
      </c>
      <c r="E17" s="115">
        <f t="shared" si="9"/>
        <v>11.161057692307704</v>
      </c>
      <c r="F17" s="126">
        <v>1</v>
      </c>
      <c r="G17" s="118">
        <f t="shared" si="0"/>
        <v>279.02644230769261</v>
      </c>
      <c r="H17" s="119">
        <f t="shared" si="1"/>
        <v>279.02644230769261</v>
      </c>
      <c r="I17" s="80">
        <f>VLOOKUP(B17,All_Ingredients!$A$1:$F$149,6,FALSE())</f>
        <v>1</v>
      </c>
      <c r="J17" s="118">
        <f>VLOOKUP(B17,All_Ingredients!$A$1:$J$149,10,FALSE())</f>
        <v>30</v>
      </c>
      <c r="K17" s="121">
        <f t="shared" si="7"/>
        <v>0.27902644230769258</v>
      </c>
      <c r="L17" s="121">
        <f t="shared" si="8"/>
        <v>8.3707932692307772</v>
      </c>
      <c r="AI17" s="78" t="s">
        <v>13</v>
      </c>
      <c r="AJ17" s="322" t="s">
        <v>762</v>
      </c>
      <c r="AK17" s="333" t="s">
        <v>14</v>
      </c>
      <c r="AL17" s="115">
        <v>150</v>
      </c>
      <c r="AM17" s="115">
        <f t="shared" si="4"/>
        <v>6.0534550195567132</v>
      </c>
      <c r="AN17" s="126">
        <v>1</v>
      </c>
      <c r="AO17" s="118">
        <f t="shared" si="5"/>
        <v>908.01825293350703</v>
      </c>
      <c r="AP17" s="119">
        <f t="shared" si="6"/>
        <v>908.01825293350703</v>
      </c>
      <c r="AQ17" s="1126">
        <f>VLOOKUP(AJ17,Marination_Ordering!$A:$J,6,FALSE)</f>
        <v>1</v>
      </c>
      <c r="AR17" s="1126">
        <f>VLOOKUP(AJ17,Marination_Ordering!$A:$J,10,FALSE)</f>
        <v>10.5</v>
      </c>
      <c r="AS17" s="553">
        <f t="shared" si="12"/>
        <v>908.01825293350703</v>
      </c>
      <c r="AT17" s="1126">
        <f t="shared" si="13"/>
        <v>9.5341916558018234</v>
      </c>
    </row>
    <row r="18" spans="1:46" ht="14.25" customHeight="1" x14ac:dyDescent="0.3">
      <c r="A18" s="127" t="s">
        <v>95</v>
      </c>
      <c r="B18" s="113" t="s">
        <v>94</v>
      </c>
      <c r="C18" s="123" t="s">
        <v>14</v>
      </c>
      <c r="D18" s="124">
        <v>7</v>
      </c>
      <c r="E18" s="115">
        <f t="shared" si="9"/>
        <v>11.161057692307704</v>
      </c>
      <c r="F18" s="126">
        <v>0.75</v>
      </c>
      <c r="G18" s="118">
        <f t="shared" si="0"/>
        <v>78.127403846153925</v>
      </c>
      <c r="H18" s="119">
        <f t="shared" si="1"/>
        <v>58.595552884615444</v>
      </c>
      <c r="I18" s="80">
        <f>VLOOKUP(B18,All_Ingredients!$A$1:$F$149,6,FALSE())</f>
        <v>1</v>
      </c>
      <c r="J18" s="118">
        <f>VLOOKUP(B18,All_Ingredients!$A$1:$J$149,10,FALSE())</f>
        <v>0.74</v>
      </c>
      <c r="K18" s="121">
        <f t="shared" si="7"/>
        <v>5.8595552884615446E-2</v>
      </c>
      <c r="L18" s="121">
        <f t="shared" si="8"/>
        <v>4.3360709134615427E-2</v>
      </c>
      <c r="AI18" s="78" t="s">
        <v>206</v>
      </c>
      <c r="AJ18" s="322" t="s">
        <v>214</v>
      </c>
      <c r="AK18" s="333" t="s">
        <v>161</v>
      </c>
      <c r="AL18" s="115">
        <v>300</v>
      </c>
      <c r="AM18" s="115">
        <f t="shared" si="4"/>
        <v>6.0534550195567132</v>
      </c>
      <c r="AN18" s="126">
        <v>1</v>
      </c>
      <c r="AO18" s="118">
        <f t="shared" si="5"/>
        <v>1816.0365058670141</v>
      </c>
      <c r="AP18" s="119">
        <f t="shared" si="6"/>
        <v>1816.0365058670141</v>
      </c>
      <c r="AQ18" s="1126">
        <f>VLOOKUP(AJ18,Marination_Ordering!$A:$J,6,FALSE)</f>
        <v>1</v>
      </c>
      <c r="AR18" s="1126">
        <f>VLOOKUP(AJ18,Marination_Ordering!$A:$J,10,FALSE)</f>
        <v>5</v>
      </c>
      <c r="AS18" s="553">
        <f t="shared" si="12"/>
        <v>1816.0365058670141</v>
      </c>
      <c r="AT18" s="1126">
        <f t="shared" si="13"/>
        <v>9.0801825293350706</v>
      </c>
    </row>
    <row r="19" spans="1:46" ht="14.25" customHeight="1" x14ac:dyDescent="0.3">
      <c r="A19" s="127" t="s">
        <v>215</v>
      </c>
      <c r="B19" s="113" t="s">
        <v>216</v>
      </c>
      <c r="C19" s="123" t="s">
        <v>14</v>
      </c>
      <c r="D19" s="124">
        <v>2.5</v>
      </c>
      <c r="E19" s="115">
        <f t="shared" si="9"/>
        <v>11.161057692307704</v>
      </c>
      <c r="F19" s="126">
        <v>1</v>
      </c>
      <c r="G19" s="118">
        <f t="shared" si="0"/>
        <v>27.902644230769262</v>
      </c>
      <c r="H19" s="119">
        <f t="shared" si="1"/>
        <v>27.902644230769262</v>
      </c>
      <c r="I19" s="80">
        <f>VLOOKUP(B19,All_Ingredients!$A$1:$F$149,6,FALSE())</f>
        <v>1</v>
      </c>
      <c r="J19" s="118">
        <f>VLOOKUP(B19,All_Ingredients!$A$1:$J$149,10,FALSE())</f>
        <v>35</v>
      </c>
      <c r="K19" s="121">
        <f t="shared" si="7"/>
        <v>2.7902644230769262E-2</v>
      </c>
      <c r="L19" s="121">
        <f t="shared" si="8"/>
        <v>0.97659254807692419</v>
      </c>
      <c r="AI19" s="78" t="s">
        <v>206</v>
      </c>
      <c r="AJ19" s="322" t="s">
        <v>210</v>
      </c>
      <c r="AK19" s="123" t="s">
        <v>161</v>
      </c>
      <c r="AL19" s="115">
        <v>50</v>
      </c>
      <c r="AM19" s="115">
        <f t="shared" si="4"/>
        <v>6.0534550195567132</v>
      </c>
      <c r="AN19" s="126">
        <v>1</v>
      </c>
      <c r="AO19" s="118">
        <f t="shared" si="5"/>
        <v>302.67275097783568</v>
      </c>
      <c r="AP19" s="119">
        <f t="shared" si="6"/>
        <v>302.67275097783568</v>
      </c>
      <c r="AQ19" s="1126">
        <f>VLOOKUP(AJ19,Marination_Ordering!$A:$J,6,FALSE)</f>
        <v>1</v>
      </c>
      <c r="AR19" s="1126">
        <f>VLOOKUP(AJ19,Marination_Ordering!$A:$J,10,FALSE)</f>
        <v>2.1621621621621623</v>
      </c>
      <c r="AS19" s="553">
        <f t="shared" si="12"/>
        <v>302.67275097783568</v>
      </c>
      <c r="AT19" s="1126">
        <f t="shared" si="13"/>
        <v>0.65442756968180693</v>
      </c>
    </row>
    <row r="20" spans="1:46" ht="14.25" customHeight="1" x14ac:dyDescent="0.3">
      <c r="A20" s="127" t="s">
        <v>13</v>
      </c>
      <c r="B20" s="113" t="s">
        <v>17</v>
      </c>
      <c r="C20" s="123" t="s">
        <v>14</v>
      </c>
      <c r="D20" s="393">
        <v>400</v>
      </c>
      <c r="E20" s="115">
        <f t="shared" si="9"/>
        <v>11.161057692307704</v>
      </c>
      <c r="F20" s="394">
        <v>0.95</v>
      </c>
      <c r="G20" s="118">
        <f t="shared" si="0"/>
        <v>4464.4230769230817</v>
      </c>
      <c r="H20" s="119">
        <f t="shared" si="1"/>
        <v>4241.2019230769274</v>
      </c>
      <c r="I20" s="80">
        <f>VLOOKUP(B20,All_Ingredients!$A$1:$F$149,6,FALSE())</f>
        <v>0.98</v>
      </c>
      <c r="J20" s="118">
        <f>VLOOKUP(B20,All_Ingredients!$A$1:$J$149,10,FALSE())</f>
        <v>3.5</v>
      </c>
      <c r="K20" s="121">
        <f t="shared" si="7"/>
        <v>4.3277570643642118</v>
      </c>
      <c r="L20" s="121">
        <f t="shared" si="8"/>
        <v>15.14714972527474</v>
      </c>
    </row>
    <row r="21" spans="1:46" ht="14.25" customHeight="1" x14ac:dyDescent="0.3">
      <c r="B21" s="99"/>
      <c r="C21" s="170"/>
      <c r="D21" s="170"/>
      <c r="E21" s="345"/>
      <c r="F21" s="99"/>
      <c r="G21" s="170"/>
      <c r="L21" s="296"/>
    </row>
    <row r="22" spans="1:46" ht="14.25" customHeight="1" x14ac:dyDescent="0.3">
      <c r="L22" s="296"/>
    </row>
    <row r="23" spans="1:46" ht="14.25" customHeight="1" x14ac:dyDescent="0.3">
      <c r="L23" s="296"/>
      <c r="R23"/>
    </row>
    <row r="24" spans="1:46" ht="14.25" customHeight="1" x14ac:dyDescent="0.3">
      <c r="L24" s="296"/>
      <c r="Z24" s="1208"/>
    </row>
    <row r="25" spans="1:46" ht="15.75" customHeight="1" x14ac:dyDescent="0.35">
      <c r="L25" s="296"/>
      <c r="R25" s="1440" t="s">
        <v>364</v>
      </c>
      <c r="S25" s="1444"/>
      <c r="T25" s="1444"/>
      <c r="U25" s="1444"/>
      <c r="V25" s="1132"/>
      <c r="Z25" s="140" t="s">
        <v>256</v>
      </c>
      <c r="AA25" s="141">
        <v>1</v>
      </c>
      <c r="AB25" s="140" t="s">
        <v>253</v>
      </c>
      <c r="AC25" s="142">
        <f>(AA25*AE30)+(AA30*(AB28/R1))</f>
        <v>2.7729510335216548E-2</v>
      </c>
    </row>
    <row r="26" spans="1:46" ht="14.25" customHeight="1" x14ac:dyDescent="0.3">
      <c r="L26" s="296"/>
      <c r="R26" s="1445" t="s">
        <v>365</v>
      </c>
      <c r="S26" s="1446"/>
      <c r="T26" s="1446"/>
      <c r="U26" s="1446"/>
      <c r="V26" s="1132"/>
    </row>
    <row r="27" spans="1:46" ht="33.5" customHeight="1" thickBot="1" x14ac:dyDescent="0.35">
      <c r="R27" s="144" t="s">
        <v>258</v>
      </c>
      <c r="S27" s="145" t="s">
        <v>259</v>
      </c>
      <c r="T27" s="145" t="s">
        <v>260</v>
      </c>
      <c r="U27" s="145" t="s">
        <v>266</v>
      </c>
      <c r="V27" s="145" t="s">
        <v>808</v>
      </c>
      <c r="W27" s="145" t="s">
        <v>817</v>
      </c>
      <c r="Z27" s="140" t="s">
        <v>262</v>
      </c>
      <c r="AA27" s="1166" t="s">
        <v>316</v>
      </c>
      <c r="AB27" s="146" t="s">
        <v>263</v>
      </c>
      <c r="AC27" s="146" t="s">
        <v>264</v>
      </c>
      <c r="AD27" s="1167" t="s">
        <v>817</v>
      </c>
      <c r="AE27" s="146" t="s">
        <v>266</v>
      </c>
    </row>
    <row r="28" spans="1:46" ht="14.25" customHeight="1" thickBot="1" x14ac:dyDescent="0.35">
      <c r="R28" s="147" t="s">
        <v>267</v>
      </c>
      <c r="S28" s="1371">
        <f>U28*S40</f>
        <v>35330.76923076922</v>
      </c>
      <c r="T28" s="1371">
        <f>U28*U40</f>
        <v>10599.23076923078</v>
      </c>
      <c r="U28" s="1342">
        <f>$Z$1</f>
        <v>45930</v>
      </c>
      <c r="V28" s="148">
        <f>SUM(AP5:AP13)</f>
        <v>1937.1056062581483</v>
      </c>
      <c r="W28" s="148">
        <f>H37</f>
        <v>22.820000000000004</v>
      </c>
      <c r="Z28" s="150"/>
      <c r="AA28" s="1169"/>
      <c r="AB28" s="151">
        <f>AA25*$S$40</f>
        <v>0.76923076923076905</v>
      </c>
      <c r="AC28" s="151">
        <f>AA25-AB28</f>
        <v>0.23076923076923095</v>
      </c>
      <c r="AD28" s="1169"/>
      <c r="AE28" s="153">
        <f>SUM(AB28:AC28)</f>
        <v>1</v>
      </c>
    </row>
    <row r="29" spans="1:46" ht="14.25" customHeight="1" thickBot="1" x14ac:dyDescent="0.35">
      <c r="R29" s="147" t="s">
        <v>268</v>
      </c>
      <c r="S29" s="1374"/>
      <c r="T29" s="148"/>
      <c r="U29" s="1371">
        <f>T29</f>
        <v>0</v>
      </c>
      <c r="V29" s="148"/>
      <c r="W29" s="148"/>
      <c r="Z29" s="150"/>
      <c r="AA29" s="1173"/>
      <c r="AB29" s="155">
        <f>AB28/$AE$28</f>
        <v>0.76923076923076905</v>
      </c>
      <c r="AC29" s="155">
        <f>AC28/$AE$28</f>
        <v>0.23076923076923095</v>
      </c>
      <c r="AD29" s="1173"/>
      <c r="AE29" s="155">
        <f>AE28/$AE$28</f>
        <v>1</v>
      </c>
    </row>
    <row r="30" spans="1:46" ht="19.25" customHeight="1" thickBot="1" x14ac:dyDescent="0.35">
      <c r="R30" s="147" t="s">
        <v>269</v>
      </c>
      <c r="S30" s="1382">
        <f>U30*S40</f>
        <v>384.61538461538453</v>
      </c>
      <c r="T30" s="1382">
        <f>U30*U40</f>
        <v>115.3846153846155</v>
      </c>
      <c r="U30" s="1342">
        <f>$AB$1</f>
        <v>500</v>
      </c>
      <c r="V30" s="1124"/>
      <c r="W30" s="1124"/>
      <c r="Z30" s="140" t="s">
        <v>270</v>
      </c>
      <c r="AA30" s="1177">
        <f>V35/(S32/R1)</f>
        <v>2.9577E-4</v>
      </c>
      <c r="AB30" s="156">
        <f>S35/(S28)</f>
        <v>3.4068097834608221E-2</v>
      </c>
      <c r="AC30" s="157">
        <f>T35/T32</f>
        <v>4.7824206172539709E-3</v>
      </c>
      <c r="AD30" s="1180">
        <f>W35/U32</f>
        <v>3.4026408654881631E-5</v>
      </c>
      <c r="AE30" s="1182">
        <f>SUMPRODUCT(AB30:AC30,AB29:AC29)+AD30</f>
        <v>2.7343891039258269E-2</v>
      </c>
    </row>
    <row r="31" spans="1:46" ht="14.25" customHeight="1" thickBot="1" x14ac:dyDescent="0.35">
      <c r="L31" s="99"/>
      <c r="M31" s="99"/>
      <c r="N31" s="99"/>
      <c r="O31" s="99"/>
      <c r="P31" s="99"/>
      <c r="Q31" s="99"/>
      <c r="R31" s="147" t="s">
        <v>271</v>
      </c>
      <c r="S31" s="154"/>
      <c r="T31" s="148"/>
      <c r="U31" s="148"/>
      <c r="V31" s="148"/>
      <c r="W31" s="148"/>
      <c r="X31" s="14" t="s">
        <v>314</v>
      </c>
    </row>
    <row r="32" spans="1:46" ht="14.25" customHeight="1" thickBot="1" x14ac:dyDescent="0.35">
      <c r="R32" s="159" t="s">
        <v>261</v>
      </c>
      <c r="S32" s="148">
        <f>SUM(S28:S30)</f>
        <v>35715.384615384603</v>
      </c>
      <c r="T32" s="148">
        <f>SUM(T28:T30)</f>
        <v>10714.615384615396</v>
      </c>
      <c r="U32" s="148">
        <f>SUM(U28:U30)</f>
        <v>46430</v>
      </c>
      <c r="V32" s="148"/>
      <c r="W32" s="148">
        <f>SUM(W28:W30)</f>
        <v>22.820000000000004</v>
      </c>
    </row>
    <row r="33" spans="2:23" ht="14.25" customHeight="1" thickBot="1" x14ac:dyDescent="0.35">
      <c r="R33" s="160" t="s">
        <v>272</v>
      </c>
      <c r="S33" s="154"/>
      <c r="T33" s="154"/>
      <c r="U33" s="154"/>
      <c r="V33" s="154"/>
      <c r="W33" s="154"/>
    </row>
    <row r="34" spans="2:23" ht="14.25" customHeight="1" thickBot="1" x14ac:dyDescent="0.35">
      <c r="R34" s="161" t="s">
        <v>273</v>
      </c>
      <c r="S34" s="154"/>
      <c r="T34" s="148"/>
      <c r="U34" s="154"/>
      <c r="V34" s="154"/>
      <c r="W34" s="154"/>
    </row>
    <row r="35" spans="2:23" ht="14.25" customHeight="1" thickBot="1" x14ac:dyDescent="0.35">
      <c r="B35" s="1484" t="s">
        <v>660</v>
      </c>
      <c r="C35" s="1484"/>
      <c r="D35" s="1484"/>
      <c r="E35" s="1484"/>
      <c r="F35" s="1484"/>
      <c r="G35" s="877"/>
      <c r="H35" s="877"/>
      <c r="I35" s="877"/>
      <c r="J35" s="877"/>
      <c r="K35" s="877"/>
      <c r="L35" s="877"/>
      <c r="R35" s="162" t="s">
        <v>253</v>
      </c>
      <c r="S35" s="163">
        <f>$L$5</f>
        <v>1203.6521027258116</v>
      </c>
      <c r="T35" s="163">
        <f>SUM(L6:L13)</f>
        <v>51.241797521331257</v>
      </c>
      <c r="U35" s="163">
        <f>S35+T35+V35+W35</f>
        <v>1274.3780503123319</v>
      </c>
      <c r="V35" s="1125">
        <f>SUM(AT6:AT13)</f>
        <v>17.90430391134289</v>
      </c>
      <c r="W35" s="1125">
        <f>L37</f>
        <v>1.5798461538461541</v>
      </c>
    </row>
    <row r="36" spans="2:23" ht="46.5" x14ac:dyDescent="0.3">
      <c r="B36" s="848" t="s">
        <v>245</v>
      </c>
      <c r="C36" s="848" t="s">
        <v>321</v>
      </c>
      <c r="D36" s="850" t="s">
        <v>645</v>
      </c>
      <c r="E36" s="847" t="s">
        <v>646</v>
      </c>
      <c r="F36" s="850" t="s">
        <v>647</v>
      </c>
      <c r="G36" s="870"/>
      <c r="H36" s="850" t="s">
        <v>647</v>
      </c>
      <c r="I36" s="850" t="s">
        <v>250</v>
      </c>
      <c r="J36" s="850" t="s">
        <v>251</v>
      </c>
      <c r="K36" s="850" t="s">
        <v>252</v>
      </c>
      <c r="L36" s="850" t="s">
        <v>253</v>
      </c>
    </row>
    <row r="37" spans="2:23" x14ac:dyDescent="0.3">
      <c r="B37" s="843" t="s">
        <v>716</v>
      </c>
      <c r="C37" s="844" t="s">
        <v>14</v>
      </c>
      <c r="D37" s="845">
        <v>7.0000000000000007E-2</v>
      </c>
      <c r="E37" s="843">
        <f>$AD$1</f>
        <v>326</v>
      </c>
      <c r="F37" s="843">
        <f>D37*E37</f>
        <v>22.820000000000004</v>
      </c>
      <c r="G37"/>
      <c r="H37" s="843">
        <f>F37</f>
        <v>22.820000000000004</v>
      </c>
      <c r="I37" s="843">
        <f>VLOOKUP(B37,All_Ingredients!$A$1:$F$149,6,FALSE())</f>
        <v>0.65</v>
      </c>
      <c r="J37" s="843">
        <f>VLOOKUP(B37,All_Ingredients!$A$1:$J$149,10,FALSE())</f>
        <v>45</v>
      </c>
      <c r="K37" s="843">
        <f>(H37/I37)/1000</f>
        <v>3.5107692307692312E-2</v>
      </c>
      <c r="L37" s="843">
        <f t="shared" ref="L37" si="14">K37*J37</f>
        <v>1.5798461538461541</v>
      </c>
    </row>
    <row r="40" spans="2:23" ht="10.25" customHeight="1" x14ac:dyDescent="0.3">
      <c r="R40" s="164" t="s">
        <v>274</v>
      </c>
      <c r="S40" s="165">
        <v>0.76923076923076905</v>
      </c>
      <c r="T40" s="164" t="s">
        <v>275</v>
      </c>
      <c r="U40" s="166">
        <v>0.230769230769231</v>
      </c>
      <c r="V40" s="167">
        <f>S40+U40</f>
        <v>1</v>
      </c>
    </row>
    <row r="41" spans="2:23" ht="14.25" customHeight="1" x14ac:dyDescent="0.3">
      <c r="U41" s="168"/>
    </row>
    <row r="43" spans="2:23" ht="14.25" customHeight="1" x14ac:dyDescent="0.3">
      <c r="Q43" s="169" t="s">
        <v>276</v>
      </c>
      <c r="R43" s="169" t="s">
        <v>277</v>
      </c>
      <c r="S43" s="169" t="s">
        <v>278</v>
      </c>
      <c r="T43" s="169" t="s">
        <v>279</v>
      </c>
      <c r="U43" s="169" t="s">
        <v>280</v>
      </c>
      <c r="V43" s="169" t="s">
        <v>281</v>
      </c>
      <c r="W43" s="257" t="s">
        <v>282</v>
      </c>
    </row>
    <row r="44" spans="2:23" ht="14.25" customHeight="1" x14ac:dyDescent="0.3">
      <c r="Q44" s="171">
        <v>43334</v>
      </c>
      <c r="R44" s="172">
        <f>D51</f>
        <v>10000</v>
      </c>
      <c r="S44" s="173">
        <v>1</v>
      </c>
      <c r="T44" s="173">
        <v>0</v>
      </c>
      <c r="U44" s="241">
        <f>R44*S44</f>
        <v>10000</v>
      </c>
      <c r="V44" s="175">
        <f>R44*T44</f>
        <v>0</v>
      </c>
      <c r="W44" s="259">
        <f>Q44-U44</f>
        <v>33334</v>
      </c>
    </row>
    <row r="48" spans="2:23" ht="14.25" customHeight="1" x14ac:dyDescent="0.3"/>
    <row r="49" spans="1:10" ht="14.25" customHeight="1" x14ac:dyDescent="0.3"/>
    <row r="50" spans="1:10" ht="14" customHeight="1" x14ac:dyDescent="0.3">
      <c r="B50" s="144"/>
      <c r="C50" s="144" t="s">
        <v>237</v>
      </c>
      <c r="D50" s="144" t="s">
        <v>283</v>
      </c>
      <c r="E50" s="182"/>
      <c r="F50" s="99"/>
      <c r="G50" s="144" t="s">
        <v>284</v>
      </c>
      <c r="H50" s="144" t="s">
        <v>237</v>
      </c>
      <c r="I50" s="144" t="s">
        <v>285</v>
      </c>
      <c r="J50" s="144" t="s">
        <v>286</v>
      </c>
    </row>
    <row r="51" spans="1:10" ht="14" customHeight="1" x14ac:dyDescent="0.3">
      <c r="B51" s="179" t="s">
        <v>287</v>
      </c>
      <c r="C51" s="180">
        <f>10/$K$1</f>
        <v>10.416666666666668</v>
      </c>
      <c r="D51" s="181">
        <f>$C$1*10</f>
        <v>10000</v>
      </c>
      <c r="E51" s="182"/>
      <c r="F51" s="99"/>
      <c r="G51" s="179" t="s">
        <v>287</v>
      </c>
      <c r="H51" s="276">
        <f>I51/$D$5</f>
        <v>10</v>
      </c>
      <c r="I51" s="180">
        <f>J51/$R$1</f>
        <v>56498.305084745763</v>
      </c>
      <c r="J51" s="180">
        <f>$W$44</f>
        <v>33334</v>
      </c>
    </row>
    <row r="52" spans="1:10" ht="14.25" customHeight="1" x14ac:dyDescent="0.3">
      <c r="B52" s="230" t="s">
        <v>266</v>
      </c>
      <c r="C52" s="231">
        <f>$I$1</f>
        <v>11.161057692307704</v>
      </c>
      <c r="D52" s="232">
        <f>$E$1</f>
        <v>10714.615384615396</v>
      </c>
      <c r="E52" s="99"/>
      <c r="F52" s="99"/>
      <c r="G52" s="147" t="s">
        <v>266</v>
      </c>
      <c r="H52" s="209">
        <f>I52/$D$5</f>
        <v>10.71440109659345</v>
      </c>
      <c r="I52" s="175">
        <f>J52/$R$1</f>
        <v>60534.550195567128</v>
      </c>
      <c r="J52" s="183">
        <f>$S$32</f>
        <v>35715.384615384603</v>
      </c>
    </row>
    <row r="53" spans="1:10" ht="14.25" customHeight="1" x14ac:dyDescent="0.3">
      <c r="B53" s="230" t="s">
        <v>288</v>
      </c>
      <c r="C53" s="233">
        <f>MIN(C52, C51)</f>
        <v>10.416666666666668</v>
      </c>
      <c r="D53" s="232">
        <f>(C53*$K$1)*$C$1</f>
        <v>10000</v>
      </c>
      <c r="E53" s="99"/>
      <c r="F53" s="99"/>
      <c r="G53" s="147" t="s">
        <v>288</v>
      </c>
      <c r="H53" s="186">
        <f>MIN(H52,H51)</f>
        <v>10</v>
      </c>
      <c r="I53" s="175">
        <f>J53/$R$1</f>
        <v>56498.305084745763</v>
      </c>
      <c r="J53" s="175">
        <f>MIN(J52,J51)</f>
        <v>33334</v>
      </c>
    </row>
    <row r="54" spans="1:10" x14ac:dyDescent="0.3">
      <c r="B54" s="230" t="s">
        <v>289</v>
      </c>
      <c r="C54" s="233">
        <f>MIN(MAX(C52-C53,0),C51)</f>
        <v>0.74439102564103621</v>
      </c>
      <c r="D54" s="232">
        <f>(C54*$K$1)*$C$1</f>
        <v>714.61538461539476</v>
      </c>
      <c r="E54" s="99"/>
      <c r="F54" s="99"/>
      <c r="G54" s="147" t="s">
        <v>289</v>
      </c>
      <c r="H54" s="186">
        <f>MIN(MAX(H52-H53),H51)</f>
        <v>0.71440109659345019</v>
      </c>
      <c r="I54" s="175">
        <f>J54/$R$1</f>
        <v>4036.2451108213604</v>
      </c>
      <c r="J54" s="175">
        <f>MIN(MAX(J52-J53),J51)</f>
        <v>2381.3846153846025</v>
      </c>
    </row>
    <row r="55" spans="1:10" x14ac:dyDescent="0.3">
      <c r="B55" s="230" t="s">
        <v>290</v>
      </c>
      <c r="C55" s="233">
        <f>MIN(MAX(C52-C53-C54,0),C51)</f>
        <v>0</v>
      </c>
      <c r="D55" s="232">
        <f>(C55*$K$1)*$C$1</f>
        <v>0</v>
      </c>
      <c r="E55" s="99"/>
      <c r="F55" s="99"/>
      <c r="G55" s="144" t="s">
        <v>290</v>
      </c>
      <c r="H55" s="186">
        <f>MIN(MAX(H52-H53-H54),H51)</f>
        <v>0</v>
      </c>
      <c r="I55" s="175">
        <f>J55/$R$1</f>
        <v>0</v>
      </c>
      <c r="J55" s="175">
        <f>MIN(MAX(J52-J53-J54),J51)</f>
        <v>0</v>
      </c>
    </row>
    <row r="62" spans="1:10" ht="17.75" customHeight="1" x14ac:dyDescent="0.3">
      <c r="A62" s="922"/>
      <c r="B62" s="1447" t="str">
        <f>"دجاج 65   1 / " &amp; COUNTIF($C$53:$C$55, "&gt;0")</f>
        <v>دجاج 65   1 / 2</v>
      </c>
      <c r="C62" s="1461"/>
      <c r="D62" s="1461"/>
      <c r="E62" s="1486"/>
      <c r="F62" s="1461"/>
      <c r="G62" s="1461"/>
      <c r="H62" s="1461"/>
    </row>
    <row r="63" spans="1:10" ht="17.75" customHeight="1" x14ac:dyDescent="0.3">
      <c r="A63" s="922"/>
      <c r="B63" s="1438" t="str">
        <f>"  Chicken 65   1 / " &amp; COUNTIF($C$53:$C$55, "&gt;0")</f>
        <v xml:space="preserve">  Chicken 65   1 / 2</v>
      </c>
      <c r="C63" s="1439"/>
      <c r="D63" s="1439"/>
      <c r="E63" s="1439"/>
      <c r="F63" s="1439"/>
      <c r="G63" s="1439"/>
      <c r="H63" s="1439"/>
    </row>
    <row r="64" spans="1:10" ht="25.5" customHeight="1" x14ac:dyDescent="0.25">
      <c r="A64" s="90"/>
      <c r="B64" s="90" t="s">
        <v>245</v>
      </c>
      <c r="C64" s="106" t="s">
        <v>246</v>
      </c>
      <c r="D64" s="90" t="s">
        <v>235</v>
      </c>
      <c r="E64" s="107" t="s">
        <v>238</v>
      </c>
      <c r="F64" s="107" t="s">
        <v>247</v>
      </c>
      <c r="G64" s="90" t="s">
        <v>248</v>
      </c>
      <c r="H64" s="108" t="s">
        <v>249</v>
      </c>
    </row>
    <row r="65" spans="1:8" ht="14.25" customHeight="1" x14ac:dyDescent="0.3">
      <c r="A65" s="127" t="s">
        <v>225</v>
      </c>
      <c r="B65" s="122" t="str">
        <f t="shared" ref="B65:D80" si="15">B5</f>
        <v>Chicken - دجاج</v>
      </c>
      <c r="C65" s="122" t="str">
        <f t="shared" si="15"/>
        <v>gm</v>
      </c>
      <c r="D65" s="262">
        <f t="shared" si="15"/>
        <v>5649.8305084745762</v>
      </c>
      <c r="E65" s="196">
        <f>H53</f>
        <v>10</v>
      </c>
      <c r="F65" s="126">
        <f t="shared" ref="F65:F80" si="16">F5</f>
        <v>1</v>
      </c>
      <c r="G65" s="118">
        <f t="shared" ref="G65:G80" si="17">D65*E65</f>
        <v>56498.305084745763</v>
      </c>
      <c r="H65" s="119">
        <f t="shared" ref="H65:H80" si="18">G65*F65</f>
        <v>56498.305084745763</v>
      </c>
    </row>
    <row r="66" spans="1:8" ht="14.25" customHeight="1" x14ac:dyDescent="0.3">
      <c r="A66" s="127" t="s">
        <v>192</v>
      </c>
      <c r="B66" s="122" t="str">
        <f t="shared" si="15"/>
        <v>Tomato Ketchup - كاتشب طماطم</v>
      </c>
      <c r="C66" s="122" t="str">
        <f t="shared" si="15"/>
        <v>ml</v>
      </c>
      <c r="D66" s="122">
        <f t="shared" si="15"/>
        <v>400</v>
      </c>
      <c r="E66" s="196">
        <f t="shared" ref="E66:E80" si="19">$C$53</f>
        <v>10.416666666666668</v>
      </c>
      <c r="F66" s="126">
        <f t="shared" si="16"/>
        <v>1</v>
      </c>
      <c r="G66" s="118">
        <f t="shared" si="17"/>
        <v>4166.666666666667</v>
      </c>
      <c r="H66" s="119">
        <f t="shared" si="18"/>
        <v>4166.666666666667</v>
      </c>
    </row>
    <row r="67" spans="1:8" ht="14.25" customHeight="1" x14ac:dyDescent="0.3">
      <c r="A67" s="127" t="s">
        <v>192</v>
      </c>
      <c r="B67" s="122" t="str">
        <f t="shared" si="15"/>
        <v>Sriracha Sauce - صوص سريراتشا</v>
      </c>
      <c r="C67" s="122" t="str">
        <f t="shared" si="15"/>
        <v>ml</v>
      </c>
      <c r="D67" s="122">
        <f t="shared" si="15"/>
        <v>33</v>
      </c>
      <c r="E67" s="196">
        <f t="shared" si="19"/>
        <v>10.416666666666668</v>
      </c>
      <c r="F67" s="126">
        <f t="shared" si="16"/>
        <v>0.75</v>
      </c>
      <c r="G67" s="118">
        <f t="shared" si="17"/>
        <v>343.75000000000006</v>
      </c>
      <c r="H67" s="119">
        <f t="shared" si="18"/>
        <v>257.81250000000006</v>
      </c>
    </row>
    <row r="68" spans="1:8" ht="14.25" customHeight="1" x14ac:dyDescent="0.3">
      <c r="A68" s="127" t="s">
        <v>95</v>
      </c>
      <c r="B68" s="122" t="str">
        <f t="shared" si="15"/>
        <v>Honey - عسل</v>
      </c>
      <c r="C68" s="122" t="str">
        <f t="shared" si="15"/>
        <v>gm</v>
      </c>
      <c r="D68" s="122">
        <f t="shared" si="15"/>
        <v>20</v>
      </c>
      <c r="E68" s="196">
        <f t="shared" si="19"/>
        <v>10.416666666666668</v>
      </c>
      <c r="F68" s="126">
        <f t="shared" si="16"/>
        <v>1</v>
      </c>
      <c r="G68" s="118">
        <f t="shared" si="17"/>
        <v>208.33333333333337</v>
      </c>
      <c r="H68" s="119">
        <f t="shared" si="18"/>
        <v>208.33333333333337</v>
      </c>
    </row>
    <row r="69" spans="1:8" ht="14.25" customHeight="1" x14ac:dyDescent="0.3">
      <c r="A69" s="127" t="s">
        <v>206</v>
      </c>
      <c r="B69" s="122" t="str">
        <f t="shared" si="15"/>
        <v>Water - ماء</v>
      </c>
      <c r="C69" s="122" t="str">
        <f t="shared" si="15"/>
        <v>ml</v>
      </c>
      <c r="D69" s="122">
        <f t="shared" si="15"/>
        <v>280</v>
      </c>
      <c r="E69" s="196">
        <f t="shared" si="19"/>
        <v>10.416666666666668</v>
      </c>
      <c r="F69" s="126">
        <f t="shared" si="16"/>
        <v>1</v>
      </c>
      <c r="G69" s="118">
        <f t="shared" si="17"/>
        <v>2916.666666666667</v>
      </c>
      <c r="H69" s="119">
        <f t="shared" si="18"/>
        <v>2916.666666666667</v>
      </c>
    </row>
    <row r="70" spans="1:8" ht="14.25" customHeight="1" x14ac:dyDescent="0.3">
      <c r="A70" s="127" t="s">
        <v>188</v>
      </c>
      <c r="B70" s="122" t="str">
        <f t="shared" si="15"/>
        <v>Corn Starch - نشا ذرة</v>
      </c>
      <c r="C70" s="122" t="str">
        <f t="shared" si="15"/>
        <v>gm</v>
      </c>
      <c r="D70" s="122">
        <f t="shared" si="15"/>
        <v>40</v>
      </c>
      <c r="E70" s="196">
        <f t="shared" si="19"/>
        <v>10.416666666666668</v>
      </c>
      <c r="F70" s="126">
        <f t="shared" si="16"/>
        <v>0.5</v>
      </c>
      <c r="G70" s="118">
        <f t="shared" si="17"/>
        <v>416.66666666666674</v>
      </c>
      <c r="H70" s="119">
        <f t="shared" si="18"/>
        <v>208.33333333333337</v>
      </c>
    </row>
    <row r="71" spans="1:8" ht="14.25" customHeight="1" x14ac:dyDescent="0.3">
      <c r="A71" s="127" t="s">
        <v>13</v>
      </c>
      <c r="B71" s="122" t="str">
        <f t="shared" si="15"/>
        <v>Onion - بصل</v>
      </c>
      <c r="C71" s="122" t="str">
        <f t="shared" si="15"/>
        <v>gm</v>
      </c>
      <c r="D71" s="122">
        <f t="shared" si="15"/>
        <v>270</v>
      </c>
      <c r="E71" s="196">
        <f t="shared" si="19"/>
        <v>10.416666666666668</v>
      </c>
      <c r="F71" s="126">
        <f t="shared" si="16"/>
        <v>0.95</v>
      </c>
      <c r="G71" s="118">
        <f t="shared" si="17"/>
        <v>2812.5000000000005</v>
      </c>
      <c r="H71" s="119">
        <f t="shared" si="18"/>
        <v>2671.8750000000005</v>
      </c>
    </row>
    <row r="72" spans="1:8" ht="14.25" customHeight="1" x14ac:dyDescent="0.3">
      <c r="A72" s="127" t="s">
        <v>13</v>
      </c>
      <c r="B72" s="122" t="str">
        <f t="shared" si="15"/>
        <v>Garlic - ثوم مقشر</v>
      </c>
      <c r="C72" s="122" t="str">
        <f t="shared" si="15"/>
        <v>gm</v>
      </c>
      <c r="D72" s="122">
        <f t="shared" si="15"/>
        <v>40</v>
      </c>
      <c r="E72" s="196">
        <f t="shared" si="19"/>
        <v>10.416666666666668</v>
      </c>
      <c r="F72" s="126">
        <f t="shared" si="16"/>
        <v>0.95</v>
      </c>
      <c r="G72" s="118">
        <f t="shared" si="17"/>
        <v>416.66666666666674</v>
      </c>
      <c r="H72" s="119">
        <f t="shared" si="18"/>
        <v>395.83333333333337</v>
      </c>
    </row>
    <row r="73" spans="1:8" ht="14.25" customHeight="1" x14ac:dyDescent="0.3">
      <c r="A73" s="127" t="s">
        <v>56</v>
      </c>
      <c r="B73" s="122" t="str">
        <f t="shared" si="15"/>
        <v>Ginger - زنجبيل</v>
      </c>
      <c r="C73" s="122" t="str">
        <f t="shared" si="15"/>
        <v>gm</v>
      </c>
      <c r="D73" s="122">
        <f t="shared" si="15"/>
        <v>40</v>
      </c>
      <c r="E73" s="196">
        <f t="shared" si="19"/>
        <v>10.416666666666668</v>
      </c>
      <c r="F73" s="126">
        <f t="shared" si="16"/>
        <v>0.6</v>
      </c>
      <c r="G73" s="118">
        <f t="shared" si="17"/>
        <v>416.66666666666674</v>
      </c>
      <c r="H73" s="119">
        <f t="shared" si="18"/>
        <v>250.00000000000003</v>
      </c>
    </row>
    <row r="74" spans="1:8" ht="14.25" customHeight="1" x14ac:dyDescent="0.3">
      <c r="A74" s="127" t="s">
        <v>62</v>
      </c>
      <c r="B74" s="122" t="str">
        <f t="shared" si="15"/>
        <v>Curry Leaves - أوراق الكاري</v>
      </c>
      <c r="C74" s="122" t="str">
        <f t="shared" si="15"/>
        <v>gm</v>
      </c>
      <c r="D74" s="122">
        <f t="shared" si="15"/>
        <v>3</v>
      </c>
      <c r="E74" s="196">
        <f t="shared" si="19"/>
        <v>10.416666666666668</v>
      </c>
      <c r="F74" s="126">
        <f t="shared" si="16"/>
        <v>1</v>
      </c>
      <c r="G74" s="118">
        <f t="shared" si="17"/>
        <v>31.250000000000004</v>
      </c>
      <c r="H74" s="119">
        <f t="shared" si="18"/>
        <v>31.250000000000004</v>
      </c>
    </row>
    <row r="75" spans="1:8" ht="14.25" customHeight="1" x14ac:dyDescent="0.3">
      <c r="A75" s="127" t="s">
        <v>62</v>
      </c>
      <c r="B75" s="122" t="str">
        <f t="shared" si="15"/>
        <v>Coriander Leaves - كزبرة خضراء</v>
      </c>
      <c r="C75" s="122" t="str">
        <f t="shared" si="15"/>
        <v>gm</v>
      </c>
      <c r="D75" s="122">
        <f t="shared" si="15"/>
        <v>28</v>
      </c>
      <c r="E75" s="196">
        <f t="shared" si="19"/>
        <v>10.416666666666668</v>
      </c>
      <c r="F75" s="126">
        <f t="shared" si="16"/>
        <v>1</v>
      </c>
      <c r="G75" s="118">
        <f t="shared" si="17"/>
        <v>291.66666666666669</v>
      </c>
      <c r="H75" s="119">
        <f t="shared" si="18"/>
        <v>291.66666666666669</v>
      </c>
    </row>
    <row r="76" spans="1:8" ht="14.25" customHeight="1" x14ac:dyDescent="0.3">
      <c r="A76" s="127" t="s">
        <v>95</v>
      </c>
      <c r="B76" s="122" t="str">
        <f t="shared" si="15"/>
        <v>Kashmiri Red Chilli Whole - فلفل كشميري أحمر كامل</v>
      </c>
      <c r="C76" s="122" t="str">
        <f t="shared" si="15"/>
        <v>gm</v>
      </c>
      <c r="D76" s="122">
        <f t="shared" si="15"/>
        <v>12</v>
      </c>
      <c r="E76" s="196">
        <f t="shared" si="19"/>
        <v>10.416666666666668</v>
      </c>
      <c r="F76" s="126">
        <f t="shared" si="16"/>
        <v>0.75</v>
      </c>
      <c r="G76" s="118">
        <f t="shared" si="17"/>
        <v>125.00000000000001</v>
      </c>
      <c r="H76" s="119">
        <f t="shared" si="18"/>
        <v>93.750000000000014</v>
      </c>
    </row>
    <row r="77" spans="1:8" ht="14.25" customHeight="1" x14ac:dyDescent="0.3">
      <c r="A77" s="127" t="s">
        <v>154</v>
      </c>
      <c r="B77" s="122" t="str">
        <f t="shared" si="15"/>
        <v>Butter - زبدة</v>
      </c>
      <c r="C77" s="122" t="str">
        <f t="shared" si="15"/>
        <v>gm</v>
      </c>
      <c r="D77" s="122">
        <f t="shared" si="15"/>
        <v>25</v>
      </c>
      <c r="E77" s="196">
        <f t="shared" si="19"/>
        <v>10.416666666666668</v>
      </c>
      <c r="F77" s="126">
        <f t="shared" si="16"/>
        <v>1</v>
      </c>
      <c r="G77" s="118">
        <f t="shared" si="17"/>
        <v>260.41666666666669</v>
      </c>
      <c r="H77" s="119">
        <f t="shared" si="18"/>
        <v>260.41666666666669</v>
      </c>
    </row>
    <row r="78" spans="1:8" ht="14.25" customHeight="1" x14ac:dyDescent="0.3">
      <c r="A78" s="127" t="s">
        <v>95</v>
      </c>
      <c r="B78" s="122" t="str">
        <f t="shared" si="15"/>
        <v>Salt - ملح</v>
      </c>
      <c r="C78" s="122" t="str">
        <f t="shared" si="15"/>
        <v>gm</v>
      </c>
      <c r="D78" s="122">
        <f t="shared" si="15"/>
        <v>7</v>
      </c>
      <c r="E78" s="196">
        <f t="shared" si="19"/>
        <v>10.416666666666668</v>
      </c>
      <c r="F78" s="126">
        <f t="shared" si="16"/>
        <v>0.75</v>
      </c>
      <c r="G78" s="118">
        <f t="shared" si="17"/>
        <v>72.916666666666671</v>
      </c>
      <c r="H78" s="119">
        <f t="shared" si="18"/>
        <v>54.6875</v>
      </c>
    </row>
    <row r="79" spans="1:8" ht="14.25" customHeight="1" x14ac:dyDescent="0.3">
      <c r="A79" s="127" t="s">
        <v>215</v>
      </c>
      <c r="B79" s="122" t="str">
        <f t="shared" si="15"/>
        <v>Orange Color - لون برتقالي</v>
      </c>
      <c r="C79" s="122" t="str">
        <f t="shared" si="15"/>
        <v>gm</v>
      </c>
      <c r="D79" s="122">
        <f t="shared" si="15"/>
        <v>2.5</v>
      </c>
      <c r="E79" s="196">
        <f t="shared" si="19"/>
        <v>10.416666666666668</v>
      </c>
      <c r="F79" s="126">
        <f t="shared" si="16"/>
        <v>1</v>
      </c>
      <c r="G79" s="118">
        <f t="shared" si="17"/>
        <v>26.041666666666671</v>
      </c>
      <c r="H79" s="119">
        <f t="shared" si="18"/>
        <v>26.041666666666671</v>
      </c>
    </row>
    <row r="80" spans="1:8" ht="14.25" customHeight="1" x14ac:dyDescent="0.3">
      <c r="A80" s="127" t="s">
        <v>13</v>
      </c>
      <c r="B80" s="122" t="str">
        <f t="shared" si="15"/>
        <v>Tomato - طماطم</v>
      </c>
      <c r="C80" s="122" t="str">
        <f t="shared" si="15"/>
        <v>gm</v>
      </c>
      <c r="D80" s="122">
        <f t="shared" si="15"/>
        <v>400</v>
      </c>
      <c r="E80" s="196">
        <f t="shared" si="19"/>
        <v>10.416666666666668</v>
      </c>
      <c r="F80" s="126">
        <f t="shared" si="16"/>
        <v>0.95</v>
      </c>
      <c r="G80" s="118">
        <f t="shared" si="17"/>
        <v>4166.666666666667</v>
      </c>
      <c r="H80" s="119">
        <f t="shared" si="18"/>
        <v>3958.3333333333335</v>
      </c>
    </row>
    <row r="81" spans="1:8" ht="20.25" customHeight="1" x14ac:dyDescent="0.3">
      <c r="A81" s="210"/>
      <c r="B81" s="197" t="s">
        <v>291</v>
      </c>
      <c r="C81" s="199" t="s">
        <v>277</v>
      </c>
      <c r="E81" s="199" t="s">
        <v>292</v>
      </c>
      <c r="G81" s="878" t="s">
        <v>268</v>
      </c>
      <c r="H81" s="878" t="s">
        <v>703</v>
      </c>
    </row>
    <row r="82" spans="1:8" ht="21.5" customHeight="1" x14ac:dyDescent="0.4">
      <c r="A82" s="210"/>
      <c r="B82" s="198">
        <f>$J$53</f>
        <v>33334</v>
      </c>
      <c r="C82" s="198">
        <f>E82+G82</f>
        <v>10000</v>
      </c>
      <c r="D82" s="915"/>
      <c r="E82" s="198">
        <f>$D$53*$S$44</f>
        <v>10000</v>
      </c>
      <c r="F82" s="919"/>
      <c r="G82" s="198">
        <f>$D$53*$T$44</f>
        <v>0</v>
      </c>
      <c r="H82" s="198">
        <f>B82+E82</f>
        <v>43334</v>
      </c>
    </row>
    <row r="83" spans="1:8" ht="21.5" customHeight="1" x14ac:dyDescent="0.3">
      <c r="B83" s="99"/>
      <c r="E83" s="345"/>
      <c r="F83" s="99"/>
    </row>
    <row r="84" spans="1:8" ht="14.25" customHeight="1" x14ac:dyDescent="0.3">
      <c r="B84" s="99"/>
      <c r="C84" s="99"/>
      <c r="D84" s="99"/>
      <c r="E84" s="99"/>
      <c r="F84" s="99"/>
      <c r="G84" s="99"/>
      <c r="H84" s="99"/>
    </row>
    <row r="85" spans="1:8" ht="14.25" customHeight="1" x14ac:dyDescent="0.3">
      <c r="B85" s="99"/>
      <c r="C85" s="99"/>
      <c r="D85" s="99"/>
      <c r="E85" s="99"/>
      <c r="F85" s="99"/>
      <c r="G85" s="99"/>
      <c r="H85" s="99"/>
    </row>
    <row r="86" spans="1:8" ht="14.25" customHeight="1" x14ac:dyDescent="0.3">
      <c r="B86" s="99"/>
      <c r="C86" s="99"/>
      <c r="D86" s="99"/>
      <c r="E86" s="99"/>
      <c r="F86" s="99"/>
      <c r="G86" s="99"/>
      <c r="H86" s="99"/>
    </row>
    <row r="87" spans="1:8" ht="17.75" customHeight="1" x14ac:dyDescent="0.3">
      <c r="A87" s="922"/>
      <c r="B87" s="1447" t="str">
        <f>"دجاج 65 2 / " &amp; COUNTIF($C$53:$C$55, "&gt;0")</f>
        <v>دجاج 65 2 / 2</v>
      </c>
      <c r="C87" s="1461"/>
      <c r="D87" s="1461"/>
      <c r="E87" s="1486"/>
      <c r="F87" s="1461"/>
      <c r="G87" s="1461"/>
      <c r="H87" s="1461"/>
    </row>
    <row r="88" spans="1:8" ht="17.75" customHeight="1" x14ac:dyDescent="0.3">
      <c r="A88" s="922"/>
      <c r="B88" s="1438" t="str">
        <f>"  Chicken 65   2 / " &amp; COUNTIF($C$53:$C$55, "&gt;0")</f>
        <v xml:space="preserve">  Chicken 65   2 / 2</v>
      </c>
      <c r="C88" s="1439"/>
      <c r="D88" s="1439"/>
      <c r="E88" s="1439"/>
      <c r="F88" s="1439"/>
      <c r="G88" s="1439"/>
      <c r="H88" s="1439"/>
    </row>
    <row r="89" spans="1:8" ht="25.5" customHeight="1" x14ac:dyDescent="0.25">
      <c r="A89" s="90"/>
      <c r="B89" s="90" t="s">
        <v>245</v>
      </c>
      <c r="C89" s="106" t="s">
        <v>246</v>
      </c>
      <c r="D89" s="90" t="s">
        <v>235</v>
      </c>
      <c r="E89" s="107" t="s">
        <v>238</v>
      </c>
      <c r="F89" s="107" t="s">
        <v>247</v>
      </c>
      <c r="G89" s="90" t="s">
        <v>248</v>
      </c>
      <c r="H89" s="108" t="s">
        <v>249</v>
      </c>
    </row>
    <row r="90" spans="1:8" ht="14.25" customHeight="1" x14ac:dyDescent="0.3">
      <c r="A90" s="78" t="s">
        <v>225</v>
      </c>
      <c r="B90" s="122" t="str">
        <f t="shared" ref="B90:D105" si="20">B5</f>
        <v>Chicken - دجاج</v>
      </c>
      <c r="C90" s="122" t="str">
        <f t="shared" si="20"/>
        <v>gm</v>
      </c>
      <c r="D90" s="262">
        <f>D5</f>
        <v>5649.8305084745762</v>
      </c>
      <c r="E90" s="196">
        <f>H54</f>
        <v>0.71440109659345019</v>
      </c>
      <c r="F90" s="126">
        <f t="shared" ref="F90:F105" si="21">F5</f>
        <v>1</v>
      </c>
      <c r="G90" s="120">
        <f t="shared" ref="G90:G105" si="22">D90*E90</f>
        <v>4036.2451108213677</v>
      </c>
      <c r="H90" s="119">
        <f t="shared" ref="H90:H105" si="23">G90*F90</f>
        <v>4036.2451108213677</v>
      </c>
    </row>
    <row r="91" spans="1:8" ht="14.25" customHeight="1" x14ac:dyDescent="0.3">
      <c r="A91" s="78" t="s">
        <v>192</v>
      </c>
      <c r="B91" s="122" t="str">
        <f t="shared" si="20"/>
        <v>Tomato Ketchup - كاتشب طماطم</v>
      </c>
      <c r="C91" s="122" t="str">
        <f t="shared" si="20"/>
        <v>ml</v>
      </c>
      <c r="D91" s="122">
        <f t="shared" si="20"/>
        <v>400</v>
      </c>
      <c r="E91" s="196">
        <f t="shared" ref="E91:E105" si="24">$C$54</f>
        <v>0.74439102564103621</v>
      </c>
      <c r="F91" s="126">
        <f t="shared" si="21"/>
        <v>1</v>
      </c>
      <c r="G91" s="120">
        <f t="shared" si="22"/>
        <v>297.75641025641448</v>
      </c>
      <c r="H91" s="119">
        <f t="shared" si="23"/>
        <v>297.75641025641448</v>
      </c>
    </row>
    <row r="92" spans="1:8" ht="14.25" customHeight="1" x14ac:dyDescent="0.3">
      <c r="A92" s="78" t="s">
        <v>192</v>
      </c>
      <c r="B92" s="122" t="str">
        <f t="shared" si="20"/>
        <v>Sriracha Sauce - صوص سريراتشا</v>
      </c>
      <c r="C92" s="122" t="str">
        <f t="shared" si="20"/>
        <v>ml</v>
      </c>
      <c r="D92" s="122">
        <f t="shared" si="20"/>
        <v>33</v>
      </c>
      <c r="E92" s="196">
        <f t="shared" si="24"/>
        <v>0.74439102564103621</v>
      </c>
      <c r="F92" s="126">
        <f t="shared" si="21"/>
        <v>0.75</v>
      </c>
      <c r="G92" s="120">
        <f t="shared" si="22"/>
        <v>24.564903846154195</v>
      </c>
      <c r="H92" s="119">
        <f t="shared" si="23"/>
        <v>18.423677884615646</v>
      </c>
    </row>
    <row r="93" spans="1:8" ht="14.25" customHeight="1" x14ac:dyDescent="0.3">
      <c r="A93" s="78" t="s">
        <v>95</v>
      </c>
      <c r="B93" s="122" t="str">
        <f t="shared" si="20"/>
        <v>Honey - عسل</v>
      </c>
      <c r="C93" s="122" t="str">
        <f t="shared" si="20"/>
        <v>gm</v>
      </c>
      <c r="D93" s="122">
        <f t="shared" si="20"/>
        <v>20</v>
      </c>
      <c r="E93" s="196">
        <f t="shared" si="24"/>
        <v>0.74439102564103621</v>
      </c>
      <c r="F93" s="126">
        <f t="shared" si="21"/>
        <v>1</v>
      </c>
      <c r="G93" s="120">
        <f t="shared" si="22"/>
        <v>14.887820512820724</v>
      </c>
      <c r="H93" s="119">
        <f t="shared" si="23"/>
        <v>14.887820512820724</v>
      </c>
    </row>
    <row r="94" spans="1:8" ht="14.25" customHeight="1" x14ac:dyDescent="0.3">
      <c r="A94" s="78" t="s">
        <v>206</v>
      </c>
      <c r="B94" s="122" t="str">
        <f t="shared" si="20"/>
        <v>Water - ماء</v>
      </c>
      <c r="C94" s="122" t="str">
        <f t="shared" si="20"/>
        <v>ml</v>
      </c>
      <c r="D94" s="122">
        <f t="shared" si="20"/>
        <v>280</v>
      </c>
      <c r="E94" s="196">
        <f t="shared" si="24"/>
        <v>0.74439102564103621</v>
      </c>
      <c r="F94" s="126">
        <f t="shared" si="21"/>
        <v>1</v>
      </c>
      <c r="G94" s="120">
        <f t="shared" si="22"/>
        <v>208.42948717949014</v>
      </c>
      <c r="H94" s="119">
        <f t="shared" si="23"/>
        <v>208.42948717949014</v>
      </c>
    </row>
    <row r="95" spans="1:8" ht="14.25" customHeight="1" x14ac:dyDescent="0.3">
      <c r="A95" s="78" t="s">
        <v>188</v>
      </c>
      <c r="B95" s="122" t="str">
        <f t="shared" si="20"/>
        <v>Corn Starch - نشا ذرة</v>
      </c>
      <c r="C95" s="122" t="str">
        <f t="shared" si="20"/>
        <v>gm</v>
      </c>
      <c r="D95" s="122">
        <f t="shared" si="20"/>
        <v>40</v>
      </c>
      <c r="E95" s="196">
        <f t="shared" si="24"/>
        <v>0.74439102564103621</v>
      </c>
      <c r="F95" s="126">
        <f t="shared" si="21"/>
        <v>0.5</v>
      </c>
      <c r="G95" s="120">
        <f t="shared" si="22"/>
        <v>29.775641025641448</v>
      </c>
      <c r="H95" s="119">
        <f t="shared" si="23"/>
        <v>14.887820512820724</v>
      </c>
    </row>
    <row r="96" spans="1:8" ht="14.25" customHeight="1" x14ac:dyDescent="0.3">
      <c r="A96" s="78" t="s">
        <v>13</v>
      </c>
      <c r="B96" s="122" t="str">
        <f t="shared" si="20"/>
        <v>Onion - بصل</v>
      </c>
      <c r="C96" s="122" t="str">
        <f t="shared" si="20"/>
        <v>gm</v>
      </c>
      <c r="D96" s="122">
        <f t="shared" si="20"/>
        <v>270</v>
      </c>
      <c r="E96" s="196">
        <f t="shared" si="24"/>
        <v>0.74439102564103621</v>
      </c>
      <c r="F96" s="126">
        <f t="shared" si="21"/>
        <v>0.95</v>
      </c>
      <c r="G96" s="120">
        <f t="shared" si="22"/>
        <v>200.98557692307978</v>
      </c>
      <c r="H96" s="119">
        <f t="shared" si="23"/>
        <v>190.93629807692577</v>
      </c>
    </row>
    <row r="97" spans="1:10" ht="14.25" customHeight="1" x14ac:dyDescent="0.3">
      <c r="A97" s="78" t="s">
        <v>13</v>
      </c>
      <c r="B97" s="122" t="str">
        <f t="shared" si="20"/>
        <v>Garlic - ثوم مقشر</v>
      </c>
      <c r="C97" s="122" t="str">
        <f t="shared" si="20"/>
        <v>gm</v>
      </c>
      <c r="D97" s="122">
        <f t="shared" si="20"/>
        <v>40</v>
      </c>
      <c r="E97" s="196">
        <f t="shared" si="24"/>
        <v>0.74439102564103621</v>
      </c>
      <c r="F97" s="126">
        <f t="shared" si="21"/>
        <v>0.95</v>
      </c>
      <c r="G97" s="120">
        <f t="shared" si="22"/>
        <v>29.775641025641448</v>
      </c>
      <c r="H97" s="119">
        <f t="shared" si="23"/>
        <v>28.286858974359376</v>
      </c>
    </row>
    <row r="98" spans="1:10" ht="14.25" customHeight="1" x14ac:dyDescent="0.3">
      <c r="A98" s="78" t="s">
        <v>56</v>
      </c>
      <c r="B98" s="122" t="str">
        <f t="shared" si="20"/>
        <v>Ginger - زنجبيل</v>
      </c>
      <c r="C98" s="122" t="str">
        <f t="shared" si="20"/>
        <v>gm</v>
      </c>
      <c r="D98" s="122">
        <f t="shared" si="20"/>
        <v>40</v>
      </c>
      <c r="E98" s="196">
        <f t="shared" si="24"/>
        <v>0.74439102564103621</v>
      </c>
      <c r="F98" s="126">
        <f t="shared" si="21"/>
        <v>0.6</v>
      </c>
      <c r="G98" s="120">
        <f t="shared" si="22"/>
        <v>29.775641025641448</v>
      </c>
      <c r="H98" s="119">
        <f t="shared" si="23"/>
        <v>17.865384615384869</v>
      </c>
    </row>
    <row r="99" spans="1:10" ht="14.25" customHeight="1" x14ac:dyDescent="0.3">
      <c r="A99" s="78" t="s">
        <v>62</v>
      </c>
      <c r="B99" s="122" t="str">
        <f t="shared" si="20"/>
        <v>Curry Leaves - أوراق الكاري</v>
      </c>
      <c r="C99" s="122" t="str">
        <f t="shared" si="20"/>
        <v>gm</v>
      </c>
      <c r="D99" s="122">
        <f t="shared" si="20"/>
        <v>3</v>
      </c>
      <c r="E99" s="196">
        <f t="shared" si="24"/>
        <v>0.74439102564103621</v>
      </c>
      <c r="F99" s="126">
        <f t="shared" si="21"/>
        <v>1</v>
      </c>
      <c r="G99" s="120">
        <f t="shared" si="22"/>
        <v>2.2331730769231086</v>
      </c>
      <c r="H99" s="119">
        <f t="shared" si="23"/>
        <v>2.2331730769231086</v>
      </c>
    </row>
    <row r="100" spans="1:10" ht="14.25" customHeight="1" x14ac:dyDescent="0.3">
      <c r="A100" s="78" t="s">
        <v>62</v>
      </c>
      <c r="B100" s="122" t="str">
        <f t="shared" si="20"/>
        <v>Coriander Leaves - كزبرة خضراء</v>
      </c>
      <c r="C100" s="122" t="str">
        <f t="shared" si="20"/>
        <v>gm</v>
      </c>
      <c r="D100" s="122">
        <f t="shared" si="20"/>
        <v>28</v>
      </c>
      <c r="E100" s="196">
        <f t="shared" si="24"/>
        <v>0.74439102564103621</v>
      </c>
      <c r="F100" s="126">
        <f t="shared" si="21"/>
        <v>1</v>
      </c>
      <c r="G100" s="120">
        <f t="shared" si="22"/>
        <v>20.842948717949014</v>
      </c>
      <c r="H100" s="119">
        <f t="shared" si="23"/>
        <v>20.842948717949014</v>
      </c>
    </row>
    <row r="101" spans="1:10" ht="14.25" customHeight="1" x14ac:dyDescent="0.3">
      <c r="A101" s="78" t="s">
        <v>95</v>
      </c>
      <c r="B101" s="122" t="str">
        <f t="shared" si="20"/>
        <v>Kashmiri Red Chilli Whole - فلفل كشميري أحمر كامل</v>
      </c>
      <c r="C101" s="122" t="str">
        <f t="shared" si="20"/>
        <v>gm</v>
      </c>
      <c r="D101" s="122">
        <f t="shared" si="20"/>
        <v>12</v>
      </c>
      <c r="E101" s="196">
        <f t="shared" si="24"/>
        <v>0.74439102564103621</v>
      </c>
      <c r="F101" s="126">
        <f t="shared" si="21"/>
        <v>0.75</v>
      </c>
      <c r="G101" s="120">
        <f t="shared" si="22"/>
        <v>8.9326923076924345</v>
      </c>
      <c r="H101" s="119">
        <f t="shared" si="23"/>
        <v>6.6995192307693259</v>
      </c>
    </row>
    <row r="102" spans="1:10" ht="14.25" customHeight="1" x14ac:dyDescent="0.3">
      <c r="A102" s="78" t="s">
        <v>154</v>
      </c>
      <c r="B102" s="122" t="str">
        <f t="shared" si="20"/>
        <v>Butter - زبدة</v>
      </c>
      <c r="C102" s="122" t="str">
        <f t="shared" si="20"/>
        <v>gm</v>
      </c>
      <c r="D102" s="122">
        <f t="shared" si="20"/>
        <v>25</v>
      </c>
      <c r="E102" s="196">
        <f t="shared" si="24"/>
        <v>0.74439102564103621</v>
      </c>
      <c r="F102" s="126">
        <f t="shared" si="21"/>
        <v>1</v>
      </c>
      <c r="G102" s="120">
        <f t="shared" si="22"/>
        <v>18.609775641025905</v>
      </c>
      <c r="H102" s="119">
        <f t="shared" si="23"/>
        <v>18.609775641025905</v>
      </c>
    </row>
    <row r="103" spans="1:10" ht="14.25" customHeight="1" x14ac:dyDescent="0.3">
      <c r="A103" s="78" t="s">
        <v>95</v>
      </c>
      <c r="B103" s="122" t="str">
        <f t="shared" si="20"/>
        <v>Salt - ملح</v>
      </c>
      <c r="C103" s="122" t="str">
        <f t="shared" si="20"/>
        <v>gm</v>
      </c>
      <c r="D103" s="122">
        <f t="shared" si="20"/>
        <v>7</v>
      </c>
      <c r="E103" s="196">
        <f t="shared" si="24"/>
        <v>0.74439102564103621</v>
      </c>
      <c r="F103" s="126">
        <f t="shared" si="21"/>
        <v>0.75</v>
      </c>
      <c r="G103" s="120">
        <f t="shared" si="22"/>
        <v>5.2107371794872535</v>
      </c>
      <c r="H103" s="119">
        <f t="shared" si="23"/>
        <v>3.9080528846154401</v>
      </c>
    </row>
    <row r="104" spans="1:10" ht="14.25" customHeight="1" x14ac:dyDescent="0.3">
      <c r="A104" s="78" t="s">
        <v>215</v>
      </c>
      <c r="B104" s="122" t="str">
        <f t="shared" si="20"/>
        <v>Orange Color - لون برتقالي</v>
      </c>
      <c r="C104" s="122" t="str">
        <f t="shared" si="20"/>
        <v>gm</v>
      </c>
      <c r="D104" s="122">
        <f t="shared" si="20"/>
        <v>2.5</v>
      </c>
      <c r="E104" s="196">
        <f t="shared" si="24"/>
        <v>0.74439102564103621</v>
      </c>
      <c r="F104" s="126">
        <f t="shared" si="21"/>
        <v>1</v>
      </c>
      <c r="G104" s="120">
        <f t="shared" si="22"/>
        <v>1.8609775641025905</v>
      </c>
      <c r="H104" s="119">
        <f t="shared" si="23"/>
        <v>1.8609775641025905</v>
      </c>
    </row>
    <row r="105" spans="1:10" ht="14.25" customHeight="1" x14ac:dyDescent="0.3">
      <c r="A105" s="78" t="s">
        <v>13</v>
      </c>
      <c r="B105" s="122" t="str">
        <f t="shared" si="20"/>
        <v>Tomato - طماطم</v>
      </c>
      <c r="C105" s="122" t="str">
        <f t="shared" si="20"/>
        <v>gm</v>
      </c>
      <c r="D105" s="122">
        <f t="shared" si="20"/>
        <v>400</v>
      </c>
      <c r="E105" s="196">
        <f t="shared" si="24"/>
        <v>0.74439102564103621</v>
      </c>
      <c r="F105" s="126">
        <f t="shared" si="21"/>
        <v>0.95</v>
      </c>
      <c r="G105" s="120">
        <f t="shared" si="22"/>
        <v>297.75641025641448</v>
      </c>
      <c r="H105" s="119">
        <f t="shared" si="23"/>
        <v>282.86858974359376</v>
      </c>
    </row>
    <row r="106" spans="1:10" ht="20.25" customHeight="1" x14ac:dyDescent="0.4">
      <c r="A106" s="210"/>
      <c r="B106" s="197" t="s">
        <v>291</v>
      </c>
      <c r="C106" s="199" t="s">
        <v>277</v>
      </c>
      <c r="E106" s="199" t="s">
        <v>292</v>
      </c>
      <c r="G106" s="878" t="s">
        <v>268</v>
      </c>
      <c r="H106" s="878" t="s">
        <v>703</v>
      </c>
      <c r="I106" s="203"/>
      <c r="J106" s="202"/>
    </row>
    <row r="107" spans="1:10" ht="20" x14ac:dyDescent="0.4">
      <c r="A107" s="210"/>
      <c r="B107" s="198">
        <f>$J$54</f>
        <v>2381.3846153846025</v>
      </c>
      <c r="C107" s="198">
        <f>E107+G107</f>
        <v>714.61538461539476</v>
      </c>
      <c r="D107" s="915"/>
      <c r="E107" s="198">
        <f>$D$54*$S$44</f>
        <v>714.61538461539476</v>
      </c>
      <c r="F107" s="919"/>
      <c r="G107" s="198">
        <f>$D$54*$T$44</f>
        <v>0</v>
      </c>
      <c r="H107" s="198">
        <f>B107+E107</f>
        <v>3095.9999999999973</v>
      </c>
    </row>
  </sheetData>
  <mergeCells count="10">
    <mergeCell ref="AK2:AM2"/>
    <mergeCell ref="AE2:AG3"/>
    <mergeCell ref="B88:H88"/>
    <mergeCell ref="R26:U26"/>
    <mergeCell ref="B87:H87"/>
    <mergeCell ref="R25:U25"/>
    <mergeCell ref="B62:H62"/>
    <mergeCell ref="B2:K3"/>
    <mergeCell ref="B63:H63"/>
    <mergeCell ref="B35:F35"/>
  </mergeCells>
  <printOptions horizontalCentered="1"/>
  <pageMargins left="0.4" right="0.4" top="1" bottom="0.5" header="0.3" footer="0.511811023622047"/>
  <pageSetup paperSize="9" scale="46" orientation="landscape" r:id="rId1"/>
  <legacy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rgb="FF2E75B6"/>
    <pageSetUpPr fitToPage="1"/>
  </sheetPr>
  <dimension ref="A1:AG124"/>
  <sheetViews>
    <sheetView topLeftCell="H9" zoomScale="115" zoomScaleNormal="115" workbookViewId="0">
      <selection activeCell="AC25" sqref="AC25"/>
    </sheetView>
  </sheetViews>
  <sheetFormatPr defaultColWidth="12.5" defaultRowHeight="14" x14ac:dyDescent="0.3"/>
  <cols>
    <col min="1" max="1" width="12.5" style="1" customWidth="1"/>
    <col min="2" max="2" width="34.83203125" customWidth="1"/>
    <col min="3" max="3" width="16.75" customWidth="1"/>
    <col min="4" max="4" width="18.4140625" customWidth="1"/>
    <col min="5" max="5" width="15.58203125" customWidth="1"/>
    <col min="6" max="6" width="17.1640625" customWidth="1"/>
    <col min="7" max="7" width="17.25" customWidth="1"/>
    <col min="8" max="8" width="30.5" customWidth="1"/>
    <col min="10" max="10" width="11" customWidth="1"/>
    <col min="12" max="12" width="8.33203125" customWidth="1"/>
    <col min="13" max="14" width="4.08203125" customWidth="1"/>
    <col min="15" max="15" width="8.58203125" customWidth="1"/>
    <col min="16" max="16" width="7.5" customWidth="1"/>
    <col min="18" max="18" width="30.5" customWidth="1"/>
    <col min="26" max="26" width="9.33203125" bestFit="1" customWidth="1"/>
    <col min="27" max="27" width="21.33203125" customWidth="1"/>
    <col min="28" max="28" width="11.58203125" bestFit="1" customWidth="1"/>
    <col min="29" max="29" width="13.1640625" bestFit="1" customWidth="1"/>
  </cols>
  <sheetData>
    <row r="1" spans="1:33" ht="38.75" customHeight="1" x14ac:dyDescent="0.3">
      <c r="B1" s="79" t="s">
        <v>235</v>
      </c>
      <c r="C1" s="80">
        <v>1000</v>
      </c>
      <c r="D1" s="81" t="s">
        <v>236</v>
      </c>
      <c r="E1" s="116">
        <f>T32</f>
        <v>12457.692307692312</v>
      </c>
      <c r="F1" s="79" t="s">
        <v>237</v>
      </c>
      <c r="G1" s="120">
        <f>E1/C1</f>
        <v>12.457692307692312</v>
      </c>
      <c r="H1" s="79" t="s">
        <v>238</v>
      </c>
      <c r="I1" s="281">
        <f>G1/K1</f>
        <v>12.711930926216644</v>
      </c>
      <c r="J1" s="85" t="s">
        <v>239</v>
      </c>
      <c r="K1" s="80">
        <f>9.8/10</f>
        <v>0.98000000000000009</v>
      </c>
      <c r="L1" s="99"/>
      <c r="M1" s="88"/>
      <c r="N1" s="89"/>
      <c r="O1" s="90" t="s">
        <v>240</v>
      </c>
      <c r="P1" s="91" t="s">
        <v>293</v>
      </c>
      <c r="Q1" s="92" t="s">
        <v>242</v>
      </c>
      <c r="R1" s="91">
        <v>0.51</v>
      </c>
      <c r="Y1" s="90" t="s">
        <v>463</v>
      </c>
      <c r="Z1" s="835">
        <v>19750</v>
      </c>
      <c r="AA1" s="90" t="s">
        <v>578</v>
      </c>
      <c r="AB1" s="835">
        <v>0</v>
      </c>
      <c r="AC1" s="90" t="s">
        <v>567</v>
      </c>
      <c r="AD1" s="835">
        <v>130</v>
      </c>
      <c r="AE1" s="249"/>
      <c r="AF1" s="251"/>
      <c r="AG1" s="91"/>
    </row>
    <row r="2" spans="1:33" ht="14.25" customHeight="1" x14ac:dyDescent="0.3">
      <c r="A2" s="264"/>
      <c r="B2" s="1450" t="s">
        <v>51</v>
      </c>
      <c r="C2" s="1458"/>
      <c r="D2" s="1458"/>
      <c r="E2" s="1458"/>
      <c r="F2" s="1458"/>
      <c r="G2" s="1458"/>
      <c r="H2" s="1458"/>
      <c r="I2" s="1458"/>
      <c r="J2" s="1458"/>
      <c r="K2" s="1458"/>
      <c r="L2" s="292"/>
      <c r="M2" s="99"/>
      <c r="N2" s="99"/>
      <c r="O2" s="99"/>
      <c r="P2" s="99"/>
      <c r="Q2" s="99"/>
      <c r="R2" s="99"/>
    </row>
    <row r="3" spans="1:33" ht="14.25" customHeight="1" x14ac:dyDescent="0.3">
      <c r="A3" s="264"/>
      <c r="B3" s="1444"/>
      <c r="C3" s="1444"/>
      <c r="D3" s="1444"/>
      <c r="E3" s="1444"/>
      <c r="F3" s="1444"/>
      <c r="G3" s="1444"/>
      <c r="H3" s="1444"/>
      <c r="I3" s="1444"/>
      <c r="J3" s="1444"/>
      <c r="K3" s="1444"/>
      <c r="L3" s="292"/>
      <c r="M3" s="99"/>
      <c r="N3" s="99"/>
      <c r="O3" s="99"/>
      <c r="P3" s="99"/>
      <c r="Q3" s="99"/>
      <c r="R3" s="99"/>
    </row>
    <row r="4" spans="1:33" ht="36.75" customHeight="1" x14ac:dyDescent="0.3">
      <c r="A4" s="90" t="s">
        <v>1</v>
      </c>
      <c r="B4" s="90" t="s">
        <v>245</v>
      </c>
      <c r="C4" s="106" t="s">
        <v>246</v>
      </c>
      <c r="D4" s="90" t="s">
        <v>235</v>
      </c>
      <c r="E4" s="107" t="s">
        <v>238</v>
      </c>
      <c r="F4" s="107" t="s">
        <v>247</v>
      </c>
      <c r="G4" s="90" t="s">
        <v>248</v>
      </c>
      <c r="H4" s="108" t="s">
        <v>249</v>
      </c>
      <c r="I4" s="90" t="s">
        <v>250</v>
      </c>
      <c r="J4" s="90" t="s">
        <v>251</v>
      </c>
      <c r="K4" s="90" t="s">
        <v>252</v>
      </c>
      <c r="L4" s="90" t="s">
        <v>253</v>
      </c>
      <c r="M4" s="99"/>
      <c r="N4" s="99"/>
      <c r="O4" s="99"/>
      <c r="P4" s="99"/>
      <c r="AA4" s="250"/>
      <c r="AB4" s="252"/>
    </row>
    <row r="5" spans="1:33" ht="14.25" customHeight="1" x14ac:dyDescent="0.3">
      <c r="A5" s="265" t="s">
        <v>225</v>
      </c>
      <c r="B5" s="382" t="s">
        <v>227</v>
      </c>
      <c r="C5" s="114" t="s">
        <v>14</v>
      </c>
      <c r="D5" s="120">
        <f>I51/10</f>
        <v>2391.2509803921566</v>
      </c>
      <c r="E5" s="116">
        <f>H52</f>
        <v>12.457428708500835</v>
      </c>
      <c r="F5" s="126">
        <v>1</v>
      </c>
      <c r="G5" s="118">
        <f t="shared" ref="G5:G19" si="0">D5*E5</f>
        <v>29788.838612368021</v>
      </c>
      <c r="H5" s="119">
        <f t="shared" ref="H5:H19" si="1">G5*F5</f>
        <v>29788.838612368021</v>
      </c>
      <c r="I5" s="80">
        <f>VLOOKUP(B5,All_Ingredients!$A$1:$F$149,6,FALSE())</f>
        <v>0.55000000000000004</v>
      </c>
      <c r="J5" s="118">
        <f>VLOOKUP(B5,All_Ingredients!$A$1:$J$149,10,FALSE())</f>
        <v>14.361111111111111</v>
      </c>
      <c r="K5" s="121">
        <f t="shared" ref="K5" si="2">(H5/I5)/1000</f>
        <v>54.161524749760034</v>
      </c>
      <c r="L5" s="121">
        <f t="shared" ref="L5" si="3">K5*J5</f>
        <v>777.81967487849829</v>
      </c>
      <c r="M5" s="99"/>
      <c r="N5" s="99"/>
      <c r="O5" s="99"/>
      <c r="P5" s="99"/>
      <c r="AA5" s="91"/>
      <c r="AB5" s="132"/>
      <c r="AE5" s="135"/>
    </row>
    <row r="6" spans="1:33" ht="14.25" customHeight="1" x14ac:dyDescent="0.3">
      <c r="A6" s="269" t="s">
        <v>13</v>
      </c>
      <c r="B6" s="382" t="s">
        <v>12</v>
      </c>
      <c r="C6" s="123" t="s">
        <v>14</v>
      </c>
      <c r="D6" s="124">
        <v>300</v>
      </c>
      <c r="E6" s="222">
        <f t="shared" ref="E6:E19" si="4">$I$1</f>
        <v>12.711930926216644</v>
      </c>
      <c r="F6" s="126">
        <v>1</v>
      </c>
      <c r="G6" s="118">
        <f t="shared" si="0"/>
        <v>3813.5792778649929</v>
      </c>
      <c r="H6" s="119">
        <f t="shared" si="1"/>
        <v>3813.5792778649929</v>
      </c>
      <c r="I6" s="80">
        <f>VLOOKUP(B6,All_Ingredients!$A$1:$F$149,6,FALSE())</f>
        <v>0.9</v>
      </c>
      <c r="J6" s="118">
        <f>VLOOKUP(B6,All_Ingredients!$A$1:$J$149,10,FALSE())</f>
        <v>3</v>
      </c>
      <c r="K6" s="121">
        <f t="shared" ref="K6:K19" si="5">(H6/I6)/1000</f>
        <v>4.2373103087388806</v>
      </c>
      <c r="L6" s="121">
        <f t="shared" ref="L6:L19" si="6">K6*J6</f>
        <v>12.711930926216642</v>
      </c>
    </row>
    <row r="7" spans="1:33" ht="14.25" customHeight="1" x14ac:dyDescent="0.3">
      <c r="A7" s="269" t="s">
        <v>13</v>
      </c>
      <c r="B7" s="221" t="s">
        <v>17</v>
      </c>
      <c r="C7" s="123" t="s">
        <v>14</v>
      </c>
      <c r="D7" s="124">
        <v>200</v>
      </c>
      <c r="E7" s="222">
        <f t="shared" si="4"/>
        <v>12.711930926216644</v>
      </c>
      <c r="F7" s="126">
        <v>1</v>
      </c>
      <c r="G7" s="118">
        <f t="shared" si="0"/>
        <v>2542.3861852433288</v>
      </c>
      <c r="H7" s="119">
        <f t="shared" si="1"/>
        <v>2542.3861852433288</v>
      </c>
      <c r="I7" s="80">
        <f>VLOOKUP(B7,All_Ingredients!$A$1:$F$149,6,FALSE())</f>
        <v>0.98</v>
      </c>
      <c r="J7" s="118">
        <f>VLOOKUP(B7,All_Ingredients!$A$1:$J$149,10,FALSE())</f>
        <v>3.5</v>
      </c>
      <c r="K7" s="121">
        <f t="shared" si="5"/>
        <v>2.5942716175952336</v>
      </c>
      <c r="L7" s="121">
        <f t="shared" si="6"/>
        <v>9.0799506615833181</v>
      </c>
    </row>
    <row r="8" spans="1:33" ht="14.25" customHeight="1" x14ac:dyDescent="0.3">
      <c r="A8" s="269" t="s">
        <v>13</v>
      </c>
      <c r="B8" s="221" t="s">
        <v>762</v>
      </c>
      <c r="C8" s="123" t="s">
        <v>14</v>
      </c>
      <c r="D8" s="124">
        <v>35</v>
      </c>
      <c r="E8" s="222">
        <f t="shared" si="4"/>
        <v>12.711930926216644</v>
      </c>
      <c r="F8" s="126">
        <v>1</v>
      </c>
      <c r="G8" s="118">
        <f t="shared" si="0"/>
        <v>444.91758241758254</v>
      </c>
      <c r="H8" s="119">
        <f t="shared" si="1"/>
        <v>444.91758241758254</v>
      </c>
      <c r="I8" s="80">
        <f>VLOOKUP(B8,All_Ingredients!$A$1:$F$149,6,FALSE())</f>
        <v>1</v>
      </c>
      <c r="J8" s="118">
        <f>VLOOKUP(B8,All_Ingredients!$A$1:$J$149,10,FALSE())</f>
        <v>10.5</v>
      </c>
      <c r="K8" s="121">
        <f t="shared" si="5"/>
        <v>0.44491758241758256</v>
      </c>
      <c r="L8" s="121">
        <f t="shared" si="6"/>
        <v>4.6716346153846171</v>
      </c>
    </row>
    <row r="9" spans="1:33" ht="14.25" customHeight="1" x14ac:dyDescent="0.3">
      <c r="A9" s="269" t="s">
        <v>95</v>
      </c>
      <c r="B9" s="221" t="s">
        <v>100</v>
      </c>
      <c r="C9" s="123" t="s">
        <v>14</v>
      </c>
      <c r="D9" s="124">
        <v>3</v>
      </c>
      <c r="E9" s="222">
        <f t="shared" si="4"/>
        <v>12.711930926216644</v>
      </c>
      <c r="F9" s="126">
        <v>1</v>
      </c>
      <c r="G9" s="118">
        <f t="shared" si="0"/>
        <v>38.135792778649929</v>
      </c>
      <c r="H9" s="119">
        <f t="shared" si="1"/>
        <v>38.135792778649929</v>
      </c>
      <c r="I9" s="80">
        <f>VLOOKUP(B9,All_Ingredients!$A$1:$F$149,6,FALSE())</f>
        <v>1</v>
      </c>
      <c r="J9" s="118">
        <f>VLOOKUP(B9,All_Ingredients!$A$1:$J$149,10,FALSE())</f>
        <v>31</v>
      </c>
      <c r="K9" s="121">
        <f t="shared" si="5"/>
        <v>3.8135792778649931E-2</v>
      </c>
      <c r="L9" s="121">
        <f t="shared" si="6"/>
        <v>1.1822095761381479</v>
      </c>
    </row>
    <row r="10" spans="1:33" ht="14.25" customHeight="1" x14ac:dyDescent="0.3">
      <c r="A10" s="269" t="s">
        <v>95</v>
      </c>
      <c r="B10" s="221" t="s">
        <v>106</v>
      </c>
      <c r="C10" s="123" t="s">
        <v>14</v>
      </c>
      <c r="D10" s="124">
        <v>5</v>
      </c>
      <c r="E10" s="222">
        <f t="shared" si="4"/>
        <v>12.711930926216644</v>
      </c>
      <c r="F10" s="126">
        <v>0.75</v>
      </c>
      <c r="G10" s="118">
        <f t="shared" si="0"/>
        <v>63.55965463108322</v>
      </c>
      <c r="H10" s="119">
        <f t="shared" si="1"/>
        <v>47.669740973312415</v>
      </c>
      <c r="I10" s="80">
        <f>VLOOKUP(B10,All_Ingredients!$A$1:$F$149,6,FALSE())</f>
        <v>1</v>
      </c>
      <c r="J10" s="118">
        <f>VLOOKUP(B10,All_Ingredients!$A$1:$J$149,10,FALSE())</f>
        <v>15</v>
      </c>
      <c r="K10" s="121">
        <f t="shared" si="5"/>
        <v>4.7669740973312412E-2</v>
      </c>
      <c r="L10" s="121">
        <f t="shared" si="6"/>
        <v>0.71504611459968614</v>
      </c>
    </row>
    <row r="11" spans="1:33" ht="14.25" customHeight="1" x14ac:dyDescent="0.3">
      <c r="A11" s="269" t="s">
        <v>95</v>
      </c>
      <c r="B11" s="221" t="s">
        <v>108</v>
      </c>
      <c r="C11" s="123" t="s">
        <v>14</v>
      </c>
      <c r="D11" s="124">
        <v>5</v>
      </c>
      <c r="E11" s="222">
        <f t="shared" si="4"/>
        <v>12.711930926216644</v>
      </c>
      <c r="F11" s="126">
        <v>0.75</v>
      </c>
      <c r="G11" s="118">
        <f t="shared" si="0"/>
        <v>63.55965463108322</v>
      </c>
      <c r="H11" s="119">
        <f t="shared" si="1"/>
        <v>47.669740973312415</v>
      </c>
      <c r="I11" s="80">
        <f>VLOOKUP(B11,All_Ingredients!$A$1:$F$149,6,FALSE())</f>
        <v>1</v>
      </c>
      <c r="J11" s="118">
        <f>VLOOKUP(B11,All_Ingredients!$A$1:$J$149,10,FALSE())</f>
        <v>8</v>
      </c>
      <c r="K11" s="121">
        <f t="shared" si="5"/>
        <v>4.7669740973312412E-2</v>
      </c>
      <c r="L11" s="121">
        <f t="shared" si="6"/>
        <v>0.3813579277864993</v>
      </c>
    </row>
    <row r="12" spans="1:33" ht="14.25" customHeight="1" x14ac:dyDescent="0.3">
      <c r="A12" s="269" t="s">
        <v>95</v>
      </c>
      <c r="B12" s="221" t="s">
        <v>123</v>
      </c>
      <c r="C12" s="123" t="s">
        <v>14</v>
      </c>
      <c r="D12" s="124">
        <v>6</v>
      </c>
      <c r="E12" s="222">
        <f t="shared" si="4"/>
        <v>12.711930926216644</v>
      </c>
      <c r="F12" s="126">
        <v>0.75</v>
      </c>
      <c r="G12" s="118">
        <f t="shared" si="0"/>
        <v>76.271585557299858</v>
      </c>
      <c r="H12" s="119">
        <f t="shared" si="1"/>
        <v>57.203689167974893</v>
      </c>
      <c r="I12" s="80">
        <f>VLOOKUP(B12,All_Ingredients!$A$1:$F$149,6,FALSE())</f>
        <v>1</v>
      </c>
      <c r="J12" s="118">
        <f>VLOOKUP(B12,All_Ingredients!$A$1:$J$149,10,FALSE())</f>
        <v>14</v>
      </c>
      <c r="K12" s="121">
        <f t="shared" si="5"/>
        <v>5.7203689167974893E-2</v>
      </c>
      <c r="L12" s="121">
        <f t="shared" si="6"/>
        <v>0.80085164835164846</v>
      </c>
    </row>
    <row r="13" spans="1:33" ht="14.25" customHeight="1" x14ac:dyDescent="0.3">
      <c r="A13" s="269" t="s">
        <v>95</v>
      </c>
      <c r="B13" s="221" t="s">
        <v>94</v>
      </c>
      <c r="C13" s="123" t="s">
        <v>14</v>
      </c>
      <c r="D13" s="124">
        <v>11</v>
      </c>
      <c r="E13" s="222">
        <f t="shared" si="4"/>
        <v>12.711930926216644</v>
      </c>
      <c r="F13" s="126">
        <v>0.75</v>
      </c>
      <c r="G13" s="118">
        <f t="shared" si="0"/>
        <v>139.83124018838308</v>
      </c>
      <c r="H13" s="119">
        <f t="shared" si="1"/>
        <v>104.87343014128732</v>
      </c>
      <c r="I13" s="80">
        <f>VLOOKUP(B13,All_Ingredients!$A$1:$F$149,6,FALSE())</f>
        <v>1</v>
      </c>
      <c r="J13" s="118">
        <f>VLOOKUP(B13,All_Ingredients!$A$1:$J$149,10,FALSE())</f>
        <v>0.74</v>
      </c>
      <c r="K13" s="121">
        <f t="shared" si="5"/>
        <v>0.10487343014128732</v>
      </c>
      <c r="L13" s="121">
        <f t="shared" si="6"/>
        <v>7.7606338304552616E-2</v>
      </c>
    </row>
    <row r="14" spans="1:33" ht="14.25" customHeight="1" x14ac:dyDescent="0.3">
      <c r="A14" s="269" t="s">
        <v>192</v>
      </c>
      <c r="B14" s="221" t="s">
        <v>731</v>
      </c>
      <c r="C14" s="123" t="s">
        <v>14</v>
      </c>
      <c r="D14" s="124">
        <v>300</v>
      </c>
      <c r="E14" s="222">
        <f t="shared" si="4"/>
        <v>12.711930926216644</v>
      </c>
      <c r="F14" s="126">
        <v>1</v>
      </c>
      <c r="G14" s="118">
        <f t="shared" si="0"/>
        <v>3813.5792778649929</v>
      </c>
      <c r="H14" s="119">
        <f t="shared" si="1"/>
        <v>3813.5792778649929</v>
      </c>
      <c r="I14" s="80">
        <f>VLOOKUP(B14,All_Ingredients!$A$1:$F$149,6,FALSE())</f>
        <v>1</v>
      </c>
      <c r="J14" s="118">
        <f>VLOOKUP(B14,All_Ingredients!$A$1:$J$149,10,FALSE())</f>
        <v>8.1520833333333336</v>
      </c>
      <c r="K14" s="121">
        <f t="shared" si="5"/>
        <v>3.8135792778649931</v>
      </c>
      <c r="L14" s="121">
        <f t="shared" si="6"/>
        <v>31.088616071428579</v>
      </c>
    </row>
    <row r="15" spans="1:33" ht="14.25" customHeight="1" x14ac:dyDescent="0.3">
      <c r="A15" s="269" t="s">
        <v>206</v>
      </c>
      <c r="B15" s="221" t="s">
        <v>209</v>
      </c>
      <c r="C15" s="123" t="s">
        <v>14</v>
      </c>
      <c r="D15" s="124">
        <v>500</v>
      </c>
      <c r="E15" s="222">
        <f t="shared" si="4"/>
        <v>12.711930926216644</v>
      </c>
      <c r="F15" s="126">
        <v>1</v>
      </c>
      <c r="G15" s="118">
        <f t="shared" si="0"/>
        <v>6355.9654631083222</v>
      </c>
      <c r="H15" s="119">
        <f t="shared" si="1"/>
        <v>6355.9654631083222</v>
      </c>
      <c r="I15" s="80">
        <f>VLOOKUP(B15,All_Ingredients!$A$1:$F$149,6,FALSE())</f>
        <v>1</v>
      </c>
      <c r="J15" s="118">
        <f>VLOOKUP(B15,All_Ingredients!$A$1:$J$149,10,FALSE())</f>
        <v>0</v>
      </c>
      <c r="K15" s="121">
        <f t="shared" si="5"/>
        <v>6.3559654631083218</v>
      </c>
      <c r="L15" s="121">
        <f t="shared" si="6"/>
        <v>0</v>
      </c>
    </row>
    <row r="16" spans="1:33" ht="14.25" customHeight="1" x14ac:dyDescent="0.3">
      <c r="A16" s="269" t="s">
        <v>154</v>
      </c>
      <c r="B16" s="221" t="s">
        <v>153</v>
      </c>
      <c r="C16" s="123" t="s">
        <v>14</v>
      </c>
      <c r="D16" s="124">
        <v>15</v>
      </c>
      <c r="E16" s="222">
        <f t="shared" si="4"/>
        <v>12.711930926216644</v>
      </c>
      <c r="F16" s="126">
        <v>1</v>
      </c>
      <c r="G16" s="118">
        <f t="shared" si="0"/>
        <v>190.67896389324966</v>
      </c>
      <c r="H16" s="119">
        <f t="shared" si="1"/>
        <v>190.67896389324966</v>
      </c>
      <c r="I16" s="80">
        <f>VLOOKUP(B16,All_Ingredients!$A$1:$F$149,6,FALSE())</f>
        <v>1</v>
      </c>
      <c r="J16" s="118">
        <f>VLOOKUP(B16,All_Ingredients!$A$1:$J$149,10,FALSE())</f>
        <v>30</v>
      </c>
      <c r="K16" s="121">
        <f t="shared" si="5"/>
        <v>0.19067896389324965</v>
      </c>
      <c r="L16" s="121">
        <f t="shared" si="6"/>
        <v>5.7203689167974892</v>
      </c>
    </row>
    <row r="17" spans="1:31" ht="14.25" customHeight="1" x14ac:dyDescent="0.3">
      <c r="A17" s="269" t="s">
        <v>95</v>
      </c>
      <c r="B17" s="221" t="s">
        <v>140</v>
      </c>
      <c r="C17" s="123" t="s">
        <v>14</v>
      </c>
      <c r="D17" s="124">
        <v>10</v>
      </c>
      <c r="E17" s="222">
        <f t="shared" si="4"/>
        <v>12.711930926216644</v>
      </c>
      <c r="F17" s="126">
        <v>0.75</v>
      </c>
      <c r="G17" s="118">
        <f t="shared" si="0"/>
        <v>127.11930926216644</v>
      </c>
      <c r="H17" s="119">
        <f t="shared" si="1"/>
        <v>95.339481946624829</v>
      </c>
      <c r="I17" s="80">
        <f>VLOOKUP(B17,All_Ingredients!$A$1:$F$149,6,FALSE())</f>
        <v>1</v>
      </c>
      <c r="J17" s="118">
        <f>VLOOKUP(B17,All_Ingredients!$A$1:$J$149,10,FALSE())</f>
        <v>15.277777777777779</v>
      </c>
      <c r="K17" s="121">
        <f t="shared" si="5"/>
        <v>9.5339481946624824E-2</v>
      </c>
      <c r="L17" s="121">
        <f t="shared" si="6"/>
        <v>1.4565754186289905</v>
      </c>
    </row>
    <row r="18" spans="1:31" ht="14.25" customHeight="1" x14ac:dyDescent="0.3">
      <c r="A18" s="269" t="s">
        <v>188</v>
      </c>
      <c r="B18" s="221" t="s">
        <v>189</v>
      </c>
      <c r="C18" s="123" t="s">
        <v>14</v>
      </c>
      <c r="D18" s="124">
        <v>60</v>
      </c>
      <c r="E18" s="222">
        <f t="shared" si="4"/>
        <v>12.711930926216644</v>
      </c>
      <c r="F18" s="126">
        <v>0.75</v>
      </c>
      <c r="G18" s="118">
        <f t="shared" si="0"/>
        <v>762.71585557299863</v>
      </c>
      <c r="H18" s="119">
        <f t="shared" si="1"/>
        <v>572.03689167974903</v>
      </c>
      <c r="I18" s="80">
        <f>VLOOKUP(B18,All_Ingredients!$A$1:$F$149,6,FALSE())</f>
        <v>0.9</v>
      </c>
      <c r="J18" s="118">
        <f>VLOOKUP(B18,All_Ingredients!$A$1:$J$149,10,FALSE())</f>
        <v>2.3199999999999998</v>
      </c>
      <c r="K18" s="121">
        <f t="shared" si="5"/>
        <v>0.63559654631083218</v>
      </c>
      <c r="L18" s="121">
        <f t="shared" si="6"/>
        <v>1.4745839874411306</v>
      </c>
    </row>
    <row r="19" spans="1:31" ht="14.25" customHeight="1" x14ac:dyDescent="0.3">
      <c r="A19" s="269"/>
      <c r="B19" s="221" t="s">
        <v>94</v>
      </c>
      <c r="C19" s="123" t="s">
        <v>14</v>
      </c>
      <c r="D19" s="124">
        <v>5</v>
      </c>
      <c r="E19" s="222">
        <f t="shared" si="4"/>
        <v>12.711930926216644</v>
      </c>
      <c r="F19" s="126">
        <v>1</v>
      </c>
      <c r="G19" s="118">
        <f t="shared" si="0"/>
        <v>63.55965463108322</v>
      </c>
      <c r="H19" s="119">
        <f t="shared" si="1"/>
        <v>63.55965463108322</v>
      </c>
      <c r="I19" s="80">
        <f>VLOOKUP(B19,All_Ingredients!$A$1:$F$149,6,FALSE())</f>
        <v>1</v>
      </c>
      <c r="J19" s="118">
        <f>VLOOKUP(B19,All_Ingredients!$A$1:$J$149,10,FALSE())</f>
        <v>0.74</v>
      </c>
      <c r="K19" s="121">
        <f t="shared" si="5"/>
        <v>6.3559654631083221E-2</v>
      </c>
      <c r="L19" s="121">
        <f t="shared" si="6"/>
        <v>4.703414442700158E-2</v>
      </c>
    </row>
    <row r="20" spans="1:31" ht="14.25" customHeight="1" x14ac:dyDescent="0.3">
      <c r="B20" s="99"/>
      <c r="E20" s="99"/>
      <c r="F20" s="99"/>
      <c r="L20" s="208"/>
    </row>
    <row r="21" spans="1:31" ht="14.25" customHeight="1" x14ac:dyDescent="0.3">
      <c r="B21" s="99"/>
      <c r="E21" s="182"/>
      <c r="F21" s="99"/>
      <c r="L21" s="208"/>
    </row>
    <row r="22" spans="1:31" ht="14.25" customHeight="1" x14ac:dyDescent="0.3">
      <c r="L22" s="208"/>
    </row>
    <row r="23" spans="1:31" ht="14.25" customHeight="1" x14ac:dyDescent="0.3">
      <c r="L23" s="208"/>
    </row>
    <row r="24" spans="1:31" ht="14.25" customHeight="1" x14ac:dyDescent="0.3">
      <c r="L24" s="208"/>
      <c r="R24" s="5"/>
      <c r="Z24" s="1265"/>
    </row>
    <row r="25" spans="1:31" ht="14.25" customHeight="1" x14ac:dyDescent="0.35">
      <c r="L25" s="208"/>
      <c r="R25" s="1440" t="s">
        <v>366</v>
      </c>
      <c r="S25" s="1444"/>
      <c r="T25" s="1444"/>
      <c r="U25" s="1444"/>
      <c r="Z25" s="140" t="s">
        <v>256</v>
      </c>
      <c r="AA25" s="141">
        <v>1</v>
      </c>
      <c r="AB25" s="140" t="s">
        <v>253</v>
      </c>
      <c r="AC25" s="1210">
        <f>(AA25*(1.4))*AE30</f>
        <v>4.2949864414074307E-2</v>
      </c>
      <c r="AD25" s="14"/>
    </row>
    <row r="26" spans="1:31" ht="14.25" customHeight="1" x14ac:dyDescent="0.3">
      <c r="L26" s="208"/>
      <c r="R26" s="1459" t="s">
        <v>309</v>
      </c>
      <c r="S26" s="1444"/>
      <c r="T26" s="1444"/>
      <c r="U26" s="1444"/>
      <c r="Z26" s="14"/>
      <c r="AA26" s="14"/>
      <c r="AB26" s="14"/>
      <c r="AC26" s="14"/>
      <c r="AD26" s="14"/>
    </row>
    <row r="27" spans="1:31" ht="14.25" customHeight="1" thickBot="1" x14ac:dyDescent="0.35">
      <c r="R27" s="144" t="s">
        <v>258</v>
      </c>
      <c r="S27" s="145" t="s">
        <v>310</v>
      </c>
      <c r="T27" s="145" t="s">
        <v>260</v>
      </c>
      <c r="U27" s="145" t="s">
        <v>266</v>
      </c>
      <c r="V27" s="145" t="s">
        <v>817</v>
      </c>
      <c r="Z27" s="140" t="s">
        <v>262</v>
      </c>
      <c r="AA27" s="146" t="s">
        <v>263</v>
      </c>
      <c r="AB27" s="146" t="s">
        <v>264</v>
      </c>
      <c r="AC27" s="146" t="s">
        <v>265</v>
      </c>
      <c r="AD27" s="1167" t="s">
        <v>817</v>
      </c>
      <c r="AE27" s="146" t="s">
        <v>266</v>
      </c>
    </row>
    <row r="28" spans="1:31" ht="14.25" customHeight="1" thickBot="1" x14ac:dyDescent="0.35">
      <c r="B28" s="99"/>
      <c r="E28" s="99"/>
      <c r="F28" s="99"/>
      <c r="R28" s="147" t="s">
        <v>267</v>
      </c>
      <c r="S28" s="1371">
        <f>U28*S40</f>
        <v>15192.30769230769</v>
      </c>
      <c r="T28" s="1371">
        <f>U28*U40</f>
        <v>4557.6923076923122</v>
      </c>
      <c r="U28" s="1342">
        <f>$Z$1</f>
        <v>19750</v>
      </c>
      <c r="V28" s="148">
        <f>SUM(H37:H38)</f>
        <v>139.1</v>
      </c>
      <c r="Z28" s="150"/>
      <c r="AA28" s="151">
        <f>AA25*$S$40</f>
        <v>0.76923076923076905</v>
      </c>
      <c r="AB28" s="151">
        <f>AA25*$U$40</f>
        <v>0.230769230769231</v>
      </c>
      <c r="AC28" s="152">
        <f>AA25*(0.4)</f>
        <v>0.4</v>
      </c>
      <c r="AD28" s="1169"/>
      <c r="AE28" s="153">
        <f>SUM(AA28:AC28)</f>
        <v>1.4</v>
      </c>
    </row>
    <row r="29" spans="1:31" ht="14.25" customHeight="1" thickBot="1" x14ac:dyDescent="0.35">
      <c r="B29" s="99"/>
      <c r="E29" s="99"/>
      <c r="F29" s="99"/>
      <c r="R29" s="147" t="s">
        <v>268</v>
      </c>
      <c r="S29" s="1374"/>
      <c r="T29" s="148">
        <f>U28*0.4</f>
        <v>7900</v>
      </c>
      <c r="U29" s="1371">
        <f>T29</f>
        <v>7900</v>
      </c>
      <c r="V29" s="148"/>
      <c r="Z29" s="150"/>
      <c r="AA29" s="155">
        <f>AA28/$AE$28</f>
        <v>0.54945054945054939</v>
      </c>
      <c r="AB29" s="155">
        <f>AB28/$AE$28</f>
        <v>0.16483516483516503</v>
      </c>
      <c r="AC29" s="155">
        <f>AC28/$AE$28</f>
        <v>0.28571428571428575</v>
      </c>
      <c r="AD29" s="1173"/>
      <c r="AE29" s="155">
        <f>AE28/$AE$28</f>
        <v>1</v>
      </c>
    </row>
    <row r="30" spans="1:31" ht="14.25" customHeight="1" thickBot="1" x14ac:dyDescent="0.35">
      <c r="R30" s="147" t="s">
        <v>269</v>
      </c>
      <c r="S30" s="1370">
        <f>U30*S40</f>
        <v>0</v>
      </c>
      <c r="T30" s="1383">
        <f>(U30*U40)+(U30*0.4)</f>
        <v>0</v>
      </c>
      <c r="U30" s="1384">
        <f>$AB$1</f>
        <v>0</v>
      </c>
      <c r="V30" s="1124"/>
      <c r="Z30" s="140" t="s">
        <v>270</v>
      </c>
      <c r="AA30" s="156">
        <f>S35/(S32)</f>
        <v>5.1198257080610023E-2</v>
      </c>
      <c r="AB30" s="157">
        <f>T35/T32</f>
        <v>5.5714786200194355E-3</v>
      </c>
      <c r="AC30" s="157">
        <f>T35/T32</f>
        <v>5.5714786200194355E-3</v>
      </c>
      <c r="AD30" s="1268">
        <f>V35/(U32)</f>
        <v>3.7337466632222519E-5</v>
      </c>
      <c r="AE30" s="1182">
        <f>SUMPRODUCT(AA30:AC30,AA29:AC29)+(AD30)</f>
        <v>3.0678474581481648E-2</v>
      </c>
    </row>
    <row r="31" spans="1:31" ht="59" customHeight="1" thickBot="1" x14ac:dyDescent="0.35">
      <c r="R31" s="147" t="s">
        <v>271</v>
      </c>
      <c r="S31" s="154"/>
      <c r="T31" s="148"/>
      <c r="U31" s="148"/>
      <c r="V31" s="148"/>
      <c r="AA31">
        <f>AA28*AA30</f>
        <v>3.9383274677392319E-2</v>
      </c>
      <c r="AB31">
        <f>AB28*AB30</f>
        <v>1.2857258353891018E-3</v>
      </c>
      <c r="AC31">
        <f>AC28*AC30</f>
        <v>2.2285914480077744E-3</v>
      </c>
    </row>
    <row r="32" spans="1:31" ht="20.25" customHeight="1" thickBot="1" x14ac:dyDescent="0.35">
      <c r="M32" s="397"/>
      <c r="N32" s="397"/>
      <c r="R32" s="159" t="s">
        <v>261</v>
      </c>
      <c r="S32" s="148">
        <f>SUM(S28:S30)</f>
        <v>15192.30769230769</v>
      </c>
      <c r="T32" s="1198">
        <f>SUM(T28:T30)</f>
        <v>12457.692307692312</v>
      </c>
      <c r="U32" s="148">
        <f>SUM(U28:U29)+S30+T30</f>
        <v>27650</v>
      </c>
      <c r="V32" s="148">
        <f>SUM(V28:V30)</f>
        <v>139.1</v>
      </c>
      <c r="AB32">
        <f>AB31+AC31</f>
        <v>3.5143172833968762E-3</v>
      </c>
    </row>
    <row r="33" spans="2:23" ht="14.25" customHeight="1" thickBot="1" x14ac:dyDescent="0.35">
      <c r="R33" s="160" t="s">
        <v>272</v>
      </c>
      <c r="S33" s="154"/>
      <c r="T33" s="154">
        <f>F81+F103</f>
        <v>0</v>
      </c>
      <c r="U33" s="154"/>
      <c r="V33" s="154"/>
    </row>
    <row r="34" spans="2:23" ht="14.25" customHeight="1" thickBot="1" x14ac:dyDescent="0.35">
      <c r="E34" s="99"/>
      <c r="F34" s="99"/>
      <c r="R34" s="161" t="s">
        <v>273</v>
      </c>
      <c r="S34" s="154"/>
      <c r="T34" s="148">
        <f>T33-(T28+T29)</f>
        <v>-12457.692307692312</v>
      </c>
      <c r="U34" s="154"/>
      <c r="V34" s="154"/>
    </row>
    <row r="35" spans="2:23" ht="14.25" customHeight="1" thickBot="1" x14ac:dyDescent="0.35">
      <c r="B35" s="1484" t="s">
        <v>661</v>
      </c>
      <c r="C35" s="1484"/>
      <c r="D35" s="1484"/>
      <c r="E35" s="1484"/>
      <c r="F35" s="1484"/>
      <c r="G35" s="877"/>
      <c r="H35" s="877"/>
      <c r="I35" s="877"/>
      <c r="J35" s="877"/>
      <c r="K35" s="877"/>
      <c r="L35" s="877"/>
      <c r="R35" s="162" t="s">
        <v>253</v>
      </c>
      <c r="S35" s="1125">
        <f>$L$5</f>
        <v>777.81967487849829</v>
      </c>
      <c r="T35" s="1269">
        <f>SUM(L6:L19)</f>
        <v>69.407766347088298</v>
      </c>
      <c r="U35" s="1213">
        <f>S35+T35+V35</f>
        <v>848.25982217796764</v>
      </c>
      <c r="V35" s="1184">
        <f>SUM(L37:L38)</f>
        <v>1.0323809523809526</v>
      </c>
    </row>
    <row r="36" spans="2:23" ht="46.5" x14ac:dyDescent="0.3">
      <c r="B36" s="848" t="s">
        <v>245</v>
      </c>
      <c r="C36" s="848" t="s">
        <v>321</v>
      </c>
      <c r="D36" s="850" t="s">
        <v>645</v>
      </c>
      <c r="E36" s="847" t="s">
        <v>646</v>
      </c>
      <c r="F36" s="850" t="s">
        <v>647</v>
      </c>
      <c r="G36" s="870"/>
      <c r="H36" s="850" t="s">
        <v>647</v>
      </c>
      <c r="I36" s="850" t="s">
        <v>250</v>
      </c>
      <c r="J36" s="850" t="s">
        <v>251</v>
      </c>
      <c r="K36" s="850" t="s">
        <v>252</v>
      </c>
      <c r="L36" s="850" t="s">
        <v>253</v>
      </c>
    </row>
    <row r="37" spans="2:23" x14ac:dyDescent="0.3">
      <c r="B37" s="843" t="s">
        <v>716</v>
      </c>
      <c r="C37" s="844" t="s">
        <v>14</v>
      </c>
      <c r="D37" s="845">
        <v>7.0000000000000007E-2</v>
      </c>
      <c r="E37" s="843">
        <f>$AD$1</f>
        <v>130</v>
      </c>
      <c r="F37" s="843">
        <f>D37*E37</f>
        <v>9.1000000000000014</v>
      </c>
      <c r="H37" s="843">
        <f>F37</f>
        <v>9.1000000000000014</v>
      </c>
      <c r="I37" s="843">
        <f>VLOOKUP(B37,All_Ingredients!$A$1:$F$149,6,FALSE())</f>
        <v>0.65</v>
      </c>
      <c r="J37" s="843">
        <f>VLOOKUP(B37,All_Ingredients!$A$1:$J$149,10,FALSE())</f>
        <v>45</v>
      </c>
      <c r="K37" s="843">
        <f>(H37/I37)/1000</f>
        <v>1.4000000000000002E-2</v>
      </c>
      <c r="L37" s="843">
        <f t="shared" ref="L37" si="7">K37*J37</f>
        <v>0.63000000000000012</v>
      </c>
    </row>
    <row r="38" spans="2:23" x14ac:dyDescent="0.3">
      <c r="B38" s="843" t="s">
        <v>19</v>
      </c>
      <c r="C38" s="844" t="s">
        <v>14</v>
      </c>
      <c r="D38" s="845">
        <v>1</v>
      </c>
      <c r="E38" s="843">
        <f>$AD$1</f>
        <v>130</v>
      </c>
      <c r="F38" s="843">
        <f>D38*E38</f>
        <v>130</v>
      </c>
      <c r="H38" s="843">
        <f>F38</f>
        <v>130</v>
      </c>
      <c r="I38" s="843">
        <f>VLOOKUP(B38,All_Ingredients!$A$1:$F$149,6,FALSE())</f>
        <v>0.84</v>
      </c>
      <c r="J38" s="843">
        <f>VLOOKUP(B38,All_Ingredients!$A$1:$J$149,10,FALSE())</f>
        <v>2.6</v>
      </c>
      <c r="K38" s="843">
        <f>(H38/I38)/1000</f>
        <v>0.15476190476190477</v>
      </c>
      <c r="L38" s="843">
        <f t="shared" ref="L38" si="8">K38*J38</f>
        <v>0.40238095238095239</v>
      </c>
    </row>
    <row r="40" spans="2:23" ht="15" customHeight="1" x14ac:dyDescent="0.3">
      <c r="Q40" s="14"/>
      <c r="R40" s="164" t="s">
        <v>274</v>
      </c>
      <c r="S40" s="165">
        <v>0.76923076923076905</v>
      </c>
      <c r="T40" s="164" t="s">
        <v>275</v>
      </c>
      <c r="U40" s="166">
        <v>0.230769230769231</v>
      </c>
      <c r="V40" s="167">
        <f>S40+U40</f>
        <v>1</v>
      </c>
      <c r="W40" s="14"/>
    </row>
    <row r="41" spans="2:23" ht="14.25" customHeight="1" x14ac:dyDescent="0.3">
      <c r="Q41" s="14"/>
      <c r="R41" s="14"/>
      <c r="S41" s="14"/>
      <c r="T41" s="14"/>
      <c r="V41" s="14"/>
      <c r="W41" s="14"/>
    </row>
    <row r="42" spans="2:23" ht="14.25" customHeight="1" x14ac:dyDescent="0.3">
      <c r="Q42" s="14"/>
      <c r="R42" s="14"/>
      <c r="S42" s="14"/>
      <c r="T42" s="168"/>
      <c r="U42" s="14"/>
      <c r="V42" s="14"/>
      <c r="W42" s="14"/>
    </row>
    <row r="43" spans="2:23" ht="14.25" customHeight="1" x14ac:dyDescent="0.3">
      <c r="Q43" s="169" t="s">
        <v>276</v>
      </c>
      <c r="R43" s="169" t="s">
        <v>277</v>
      </c>
      <c r="S43" s="169" t="s">
        <v>278</v>
      </c>
      <c r="T43" s="169" t="s">
        <v>279</v>
      </c>
      <c r="U43" s="169" t="s">
        <v>280</v>
      </c>
      <c r="V43" s="169" t="s">
        <v>281</v>
      </c>
      <c r="W43" s="257" t="s">
        <v>282</v>
      </c>
    </row>
    <row r="44" spans="2:23" ht="14.25" customHeight="1" x14ac:dyDescent="0.3">
      <c r="Q44" s="171">
        <v>15854</v>
      </c>
      <c r="R44" s="172">
        <f>D51</f>
        <v>10000</v>
      </c>
      <c r="S44" s="173">
        <v>0.36586200000000002</v>
      </c>
      <c r="T44" s="173">
        <v>0.63415999999999995</v>
      </c>
      <c r="U44" s="241">
        <f>R44*S44</f>
        <v>3658.6200000000003</v>
      </c>
      <c r="V44" s="175">
        <f>R44*T44</f>
        <v>6341.5999999999995</v>
      </c>
      <c r="W44" s="259">
        <f>Q44-U44</f>
        <v>12195.38</v>
      </c>
    </row>
    <row r="50" spans="1:10" x14ac:dyDescent="0.3">
      <c r="B50" s="144"/>
      <c r="C50" s="144" t="s">
        <v>237</v>
      </c>
      <c r="D50" s="144" t="s">
        <v>283</v>
      </c>
      <c r="E50" s="397"/>
      <c r="F50" s="99"/>
      <c r="G50" s="144" t="s">
        <v>284</v>
      </c>
      <c r="H50" s="144" t="s">
        <v>237</v>
      </c>
      <c r="I50" s="144" t="s">
        <v>285</v>
      </c>
      <c r="J50" s="144" t="s">
        <v>286</v>
      </c>
    </row>
    <row r="51" spans="1:10" ht="18" customHeight="1" x14ac:dyDescent="0.3">
      <c r="B51" s="179" t="s">
        <v>287</v>
      </c>
      <c r="C51" s="180">
        <f>10/$K$1</f>
        <v>10.204081632653061</v>
      </c>
      <c r="D51" s="181">
        <f>$C$1*10</f>
        <v>10000</v>
      </c>
      <c r="E51" s="182"/>
      <c r="F51" s="99"/>
      <c r="G51" s="179" t="s">
        <v>287</v>
      </c>
      <c r="H51" s="276">
        <f>I51/$D$5</f>
        <v>10</v>
      </c>
      <c r="I51" s="180">
        <f>J51/$R$1</f>
        <v>23912.509803921566</v>
      </c>
      <c r="J51" s="180">
        <v>12195.38</v>
      </c>
    </row>
    <row r="52" spans="1:10" ht="19.5" customHeight="1" x14ac:dyDescent="0.3">
      <c r="B52" s="230" t="s">
        <v>266</v>
      </c>
      <c r="C52" s="231">
        <f>$I$1</f>
        <v>12.711930926216644</v>
      </c>
      <c r="D52" s="232">
        <f>$E$1</f>
        <v>12457.692307692312</v>
      </c>
      <c r="E52" s="99"/>
      <c r="F52" s="99"/>
      <c r="G52" s="147" t="s">
        <v>266</v>
      </c>
      <c r="H52" s="209">
        <f>I52/$D$5</f>
        <v>12.457428708500835</v>
      </c>
      <c r="I52" s="175">
        <f>J52/$R$1</f>
        <v>29788.838612368017</v>
      </c>
      <c r="J52" s="183">
        <f>$S$32</f>
        <v>15192.30769230769</v>
      </c>
    </row>
    <row r="53" spans="1:10" x14ac:dyDescent="0.3">
      <c r="B53" s="230" t="s">
        <v>288</v>
      </c>
      <c r="C53" s="233">
        <f>MIN(C52, C51)</f>
        <v>10.204081632653061</v>
      </c>
      <c r="D53" s="232">
        <f>(C53*$K$1)*$C$1</f>
        <v>10000</v>
      </c>
      <c r="E53" s="99"/>
      <c r="F53" s="99"/>
      <c r="G53" s="147" t="s">
        <v>288</v>
      </c>
      <c r="H53" s="186">
        <f>MIN(H52,H51)</f>
        <v>10</v>
      </c>
      <c r="I53" s="175">
        <f>J53/$R$1</f>
        <v>23912.509803921566</v>
      </c>
      <c r="J53" s="175">
        <f>MIN(J52,J51)</f>
        <v>12195.38</v>
      </c>
    </row>
    <row r="54" spans="1:10" x14ac:dyDescent="0.3">
      <c r="B54" s="230" t="s">
        <v>289</v>
      </c>
      <c r="C54" s="233">
        <f>MIN(MAX(C52-C53,0),C51)</f>
        <v>2.5078492935635825</v>
      </c>
      <c r="D54" s="232">
        <f>(C54*$K$1)*$C$1</f>
        <v>2457.6923076923108</v>
      </c>
      <c r="E54" s="99"/>
      <c r="F54" s="99"/>
      <c r="G54" s="147" t="s">
        <v>289</v>
      </c>
      <c r="H54" s="186">
        <f>MIN(MAX(H52-H53),H51)</f>
        <v>2.4574287085008351</v>
      </c>
      <c r="I54" s="175">
        <f>J54/$R$1</f>
        <v>5876.3288084464521</v>
      </c>
      <c r="J54" s="175">
        <f>MIN(MAX(J52-J53),J51)</f>
        <v>2996.9276923076904</v>
      </c>
    </row>
    <row r="55" spans="1:10" x14ac:dyDescent="0.3">
      <c r="B55" s="230" t="s">
        <v>290</v>
      </c>
      <c r="C55" s="233">
        <f>MIN(MAX(C52-C53-C54,0),C51)</f>
        <v>0</v>
      </c>
      <c r="D55" s="232">
        <f>(C55*$K$1)*$C$1</f>
        <v>0</v>
      </c>
      <c r="E55" s="99"/>
      <c r="F55" s="99"/>
      <c r="G55" s="144" t="s">
        <v>290</v>
      </c>
      <c r="H55" s="186">
        <f>MIN(MAX(H52-H53-H54),H51)</f>
        <v>0</v>
      </c>
      <c r="I55" s="175">
        <f>J55/$R$1</f>
        <v>0</v>
      </c>
      <c r="J55" s="175">
        <f>MIN(MAX(J52-J53-J54),J51)</f>
        <v>0</v>
      </c>
    </row>
    <row r="62" spans="1:10" ht="17.75" customHeight="1" x14ac:dyDescent="0.3">
      <c r="A62" s="923"/>
      <c r="B62" s="1438" t="str">
        <f>"  مختوم لحم  1 / " &amp; COUNTIF($C$53:$C$55, "&gt;0")</f>
        <v xml:space="preserve">  مختوم لحم  1 / 2</v>
      </c>
      <c r="C62" s="1439"/>
      <c r="D62" s="1439"/>
      <c r="E62" s="1439"/>
      <c r="F62" s="1439"/>
      <c r="G62" s="1439"/>
      <c r="H62" s="1439"/>
    </row>
    <row r="63" spans="1:10" ht="17.75" customHeight="1" x14ac:dyDescent="0.3">
      <c r="A63" s="923"/>
      <c r="B63" s="1490" t="str">
        <f>" Mkhtoum Lahm 1  / " &amp; COUNTIF($C$53:$C$55, "&gt;0")</f>
        <v xml:space="preserve"> Mkhtoum Lahm 1  / 2</v>
      </c>
      <c r="C63" s="1437"/>
      <c r="D63" s="1437"/>
      <c r="E63" s="1437"/>
      <c r="F63" s="1437"/>
      <c r="G63" s="1437"/>
      <c r="H63" s="1437"/>
    </row>
    <row r="64" spans="1:10" ht="44" customHeight="1" x14ac:dyDescent="0.3">
      <c r="A64" s="90"/>
      <c r="B64" s="90" t="s">
        <v>245</v>
      </c>
      <c r="C64" s="106" t="s">
        <v>246</v>
      </c>
      <c r="D64" s="90" t="s">
        <v>235</v>
      </c>
      <c r="E64" s="107" t="s">
        <v>238</v>
      </c>
      <c r="F64" s="107" t="s">
        <v>247</v>
      </c>
      <c r="G64" s="90" t="s">
        <v>248</v>
      </c>
      <c r="H64" s="108" t="s">
        <v>249</v>
      </c>
    </row>
    <row r="65" spans="1:8" ht="14.25" customHeight="1" x14ac:dyDescent="0.3">
      <c r="A65" s="269" t="s">
        <v>225</v>
      </c>
      <c r="B65" s="322" t="str">
        <f t="shared" ref="B65:D79" si="9">B5</f>
        <v>Indian Meat Alana  - لحم هندى ألانا</v>
      </c>
      <c r="C65" s="322" t="str">
        <f t="shared" si="9"/>
        <v>gm</v>
      </c>
      <c r="D65" s="323">
        <f t="shared" si="9"/>
        <v>2391.2509803921566</v>
      </c>
      <c r="E65" s="280">
        <f>H53</f>
        <v>10</v>
      </c>
      <c r="F65" s="126">
        <f t="shared" ref="F65:F79" si="10">F5</f>
        <v>1</v>
      </c>
      <c r="G65" s="118">
        <f t="shared" ref="G65:G79" si="11">D65*E65</f>
        <v>23912.509803921566</v>
      </c>
      <c r="H65" s="119">
        <f t="shared" ref="H65:H79" si="12">G65*F65</f>
        <v>23912.509803921566</v>
      </c>
    </row>
    <row r="66" spans="1:8" ht="14.25" customHeight="1" x14ac:dyDescent="0.3">
      <c r="A66" s="269" t="s">
        <v>13</v>
      </c>
      <c r="B66" s="322" t="str">
        <f t="shared" si="9"/>
        <v>Onion - بصل</v>
      </c>
      <c r="C66" s="322" t="str">
        <f t="shared" si="9"/>
        <v>gm</v>
      </c>
      <c r="D66" s="322">
        <f t="shared" si="9"/>
        <v>300</v>
      </c>
      <c r="E66" s="280">
        <f t="shared" ref="E66:E79" si="13">$C$53</f>
        <v>10.204081632653061</v>
      </c>
      <c r="F66" s="126">
        <f t="shared" si="10"/>
        <v>1</v>
      </c>
      <c r="G66" s="118">
        <f t="shared" si="11"/>
        <v>3061.2244897959181</v>
      </c>
      <c r="H66" s="119">
        <f t="shared" si="12"/>
        <v>3061.2244897959181</v>
      </c>
    </row>
    <row r="67" spans="1:8" ht="14.25" customHeight="1" x14ac:dyDescent="0.3">
      <c r="A67" s="269" t="s">
        <v>13</v>
      </c>
      <c r="B67" s="322" t="str">
        <f t="shared" si="9"/>
        <v>Tomato - طماطم</v>
      </c>
      <c r="C67" s="322" t="str">
        <f t="shared" si="9"/>
        <v>gm</v>
      </c>
      <c r="D67" s="322">
        <f t="shared" si="9"/>
        <v>200</v>
      </c>
      <c r="E67" s="280">
        <f t="shared" si="13"/>
        <v>10.204081632653061</v>
      </c>
      <c r="F67" s="126">
        <f t="shared" si="10"/>
        <v>1</v>
      </c>
      <c r="G67" s="118">
        <f t="shared" si="11"/>
        <v>2040.8163265306123</v>
      </c>
      <c r="H67" s="119">
        <f t="shared" si="12"/>
        <v>2040.8163265306123</v>
      </c>
    </row>
    <row r="68" spans="1:8" ht="14.25" customHeight="1" x14ac:dyDescent="0.3">
      <c r="A68" s="269" t="s">
        <v>13</v>
      </c>
      <c r="B68" s="322" t="str">
        <f t="shared" si="9"/>
        <v>Garlic - ثوم مقشر</v>
      </c>
      <c r="C68" s="322" t="str">
        <f t="shared" si="9"/>
        <v>gm</v>
      </c>
      <c r="D68" s="322">
        <f t="shared" si="9"/>
        <v>35</v>
      </c>
      <c r="E68" s="280">
        <f t="shared" si="13"/>
        <v>10.204081632653061</v>
      </c>
      <c r="F68" s="126">
        <f t="shared" si="10"/>
        <v>1</v>
      </c>
      <c r="G68" s="118">
        <f t="shared" si="11"/>
        <v>357.14285714285711</v>
      </c>
      <c r="H68" s="119">
        <f t="shared" si="12"/>
        <v>357.14285714285711</v>
      </c>
    </row>
    <row r="69" spans="1:8" ht="14.25" customHeight="1" x14ac:dyDescent="0.3">
      <c r="A69" s="269" t="s">
        <v>95</v>
      </c>
      <c r="B69" s="322" t="str">
        <f t="shared" si="9"/>
        <v>Black Pepper Powder - فلفل أسود مطحون</v>
      </c>
      <c r="C69" s="322" t="str">
        <f t="shared" si="9"/>
        <v>gm</v>
      </c>
      <c r="D69" s="322">
        <f t="shared" si="9"/>
        <v>3</v>
      </c>
      <c r="E69" s="280">
        <f t="shared" si="13"/>
        <v>10.204081632653061</v>
      </c>
      <c r="F69" s="126">
        <f t="shared" si="10"/>
        <v>1</v>
      </c>
      <c r="G69" s="118">
        <f t="shared" si="11"/>
        <v>30.612244897959183</v>
      </c>
      <c r="H69" s="119">
        <f t="shared" si="12"/>
        <v>30.612244897959183</v>
      </c>
    </row>
    <row r="70" spans="1:8" ht="14.25" customHeight="1" x14ac:dyDescent="0.3">
      <c r="A70" s="269" t="s">
        <v>95</v>
      </c>
      <c r="B70" s="322" t="str">
        <f t="shared" si="9"/>
        <v>Cumin Powder - كمون مطحون</v>
      </c>
      <c r="C70" s="322" t="str">
        <f t="shared" si="9"/>
        <v>gm</v>
      </c>
      <c r="D70" s="322">
        <f t="shared" si="9"/>
        <v>5</v>
      </c>
      <c r="E70" s="280">
        <f t="shared" si="13"/>
        <v>10.204081632653061</v>
      </c>
      <c r="F70" s="126">
        <f t="shared" si="10"/>
        <v>0.75</v>
      </c>
      <c r="G70" s="118">
        <f t="shared" si="11"/>
        <v>51.020408163265301</v>
      </c>
      <c r="H70" s="119">
        <f t="shared" si="12"/>
        <v>38.265306122448976</v>
      </c>
    </row>
    <row r="71" spans="1:8" ht="14.25" customHeight="1" x14ac:dyDescent="0.3">
      <c r="A71" s="269" t="s">
        <v>95</v>
      </c>
      <c r="B71" s="322" t="str">
        <f t="shared" si="9"/>
        <v>Coriander Powder - كزبرة مطحونة</v>
      </c>
      <c r="C71" s="322" t="str">
        <f t="shared" si="9"/>
        <v>gm</v>
      </c>
      <c r="D71" s="322">
        <f t="shared" si="9"/>
        <v>5</v>
      </c>
      <c r="E71" s="280">
        <f t="shared" si="13"/>
        <v>10.204081632653061</v>
      </c>
      <c r="F71" s="126">
        <f t="shared" si="10"/>
        <v>0.75</v>
      </c>
      <c r="G71" s="118">
        <f t="shared" si="11"/>
        <v>51.020408163265301</v>
      </c>
      <c r="H71" s="119">
        <f t="shared" si="12"/>
        <v>38.265306122448976</v>
      </c>
    </row>
    <row r="72" spans="1:8" ht="14.25" customHeight="1" x14ac:dyDescent="0.3">
      <c r="A72" s="269" t="s">
        <v>95</v>
      </c>
      <c r="B72" s="322" t="str">
        <f t="shared" si="9"/>
        <v>Cinnamon Powder - قرفة مطحونة</v>
      </c>
      <c r="C72" s="322" t="str">
        <f t="shared" si="9"/>
        <v>gm</v>
      </c>
      <c r="D72" s="322">
        <f t="shared" si="9"/>
        <v>6</v>
      </c>
      <c r="E72" s="280">
        <f t="shared" si="13"/>
        <v>10.204081632653061</v>
      </c>
      <c r="F72" s="126">
        <f t="shared" si="10"/>
        <v>0.75</v>
      </c>
      <c r="G72" s="118">
        <f t="shared" si="11"/>
        <v>61.224489795918366</v>
      </c>
      <c r="H72" s="119">
        <f t="shared" si="12"/>
        <v>45.918367346938773</v>
      </c>
    </row>
    <row r="73" spans="1:8" ht="14.25" customHeight="1" x14ac:dyDescent="0.3">
      <c r="A73" s="269" t="s">
        <v>95</v>
      </c>
      <c r="B73" s="322" t="str">
        <f t="shared" si="9"/>
        <v>Salt - ملح</v>
      </c>
      <c r="C73" s="322" t="str">
        <f t="shared" si="9"/>
        <v>gm</v>
      </c>
      <c r="D73" s="322">
        <f t="shared" si="9"/>
        <v>11</v>
      </c>
      <c r="E73" s="280">
        <f t="shared" si="13"/>
        <v>10.204081632653061</v>
      </c>
      <c r="F73" s="126">
        <f t="shared" si="10"/>
        <v>0.75</v>
      </c>
      <c r="G73" s="118">
        <f t="shared" si="11"/>
        <v>112.24489795918367</v>
      </c>
      <c r="H73" s="119">
        <f t="shared" si="12"/>
        <v>84.183673469387756</v>
      </c>
    </row>
    <row r="74" spans="1:8" ht="14.25" customHeight="1" x14ac:dyDescent="0.3">
      <c r="A74" s="269" t="s">
        <v>192</v>
      </c>
      <c r="B74" s="322" t="str">
        <f t="shared" si="9"/>
        <v>Tomato Paste - صلصة طماطم</v>
      </c>
      <c r="C74" s="322" t="str">
        <f t="shared" si="9"/>
        <v>gm</v>
      </c>
      <c r="D74" s="322">
        <f t="shared" si="9"/>
        <v>300</v>
      </c>
      <c r="E74" s="280">
        <f t="shared" si="13"/>
        <v>10.204081632653061</v>
      </c>
      <c r="F74" s="126">
        <f t="shared" si="10"/>
        <v>1</v>
      </c>
      <c r="G74" s="118">
        <f t="shared" si="11"/>
        <v>3061.2244897959181</v>
      </c>
      <c r="H74" s="119">
        <f t="shared" si="12"/>
        <v>3061.2244897959181</v>
      </c>
    </row>
    <row r="75" spans="1:8" ht="14.25" customHeight="1" x14ac:dyDescent="0.3">
      <c r="A75" s="269" t="s">
        <v>206</v>
      </c>
      <c r="B75" s="322" t="str">
        <f t="shared" si="9"/>
        <v>Beef Stock - مرق لحم بقري</v>
      </c>
      <c r="C75" s="322" t="str">
        <f t="shared" si="9"/>
        <v>gm</v>
      </c>
      <c r="D75" s="322">
        <f t="shared" si="9"/>
        <v>500</v>
      </c>
      <c r="E75" s="280">
        <f t="shared" si="13"/>
        <v>10.204081632653061</v>
      </c>
      <c r="F75" s="126">
        <f t="shared" si="10"/>
        <v>1</v>
      </c>
      <c r="G75" s="118">
        <f t="shared" si="11"/>
        <v>5102.0408163265301</v>
      </c>
      <c r="H75" s="119">
        <f t="shared" si="12"/>
        <v>5102.0408163265301</v>
      </c>
    </row>
    <row r="76" spans="1:8" ht="14.25" customHeight="1" x14ac:dyDescent="0.3">
      <c r="A76" s="269" t="s">
        <v>154</v>
      </c>
      <c r="B76" s="322" t="str">
        <f t="shared" si="9"/>
        <v>Butter - زبدة</v>
      </c>
      <c r="C76" s="322" t="str">
        <f t="shared" si="9"/>
        <v>gm</v>
      </c>
      <c r="D76" s="322">
        <f t="shared" si="9"/>
        <v>15</v>
      </c>
      <c r="E76" s="398">
        <f t="shared" si="13"/>
        <v>10.204081632653061</v>
      </c>
      <c r="F76" s="126">
        <f t="shared" si="10"/>
        <v>1</v>
      </c>
      <c r="G76" s="118">
        <f t="shared" si="11"/>
        <v>153.0612244897959</v>
      </c>
      <c r="H76" s="119">
        <f t="shared" si="12"/>
        <v>153.0612244897959</v>
      </c>
    </row>
    <row r="77" spans="1:8" ht="14.25" customHeight="1" x14ac:dyDescent="0.3">
      <c r="A77" s="269" t="s">
        <v>95</v>
      </c>
      <c r="B77" s="322" t="str">
        <f t="shared" si="9"/>
        <v>Maggi Cubes - مكعبات ماجي</v>
      </c>
      <c r="C77" s="322" t="str">
        <f t="shared" si="9"/>
        <v>gm</v>
      </c>
      <c r="D77" s="322">
        <f t="shared" si="9"/>
        <v>10</v>
      </c>
      <c r="E77" s="398">
        <f t="shared" si="13"/>
        <v>10.204081632653061</v>
      </c>
      <c r="F77" s="126">
        <f t="shared" si="10"/>
        <v>0.75</v>
      </c>
      <c r="G77" s="118">
        <f t="shared" si="11"/>
        <v>102.0408163265306</v>
      </c>
      <c r="H77" s="119">
        <f t="shared" si="12"/>
        <v>76.530612244897952</v>
      </c>
    </row>
    <row r="78" spans="1:8" ht="14.25" customHeight="1" x14ac:dyDescent="0.3">
      <c r="A78" s="269" t="s">
        <v>188</v>
      </c>
      <c r="B78" s="322" t="str">
        <f t="shared" si="9"/>
        <v>Corn Starch - نشا ذرة</v>
      </c>
      <c r="C78" s="322" t="str">
        <f t="shared" si="9"/>
        <v>gm</v>
      </c>
      <c r="D78" s="322">
        <f t="shared" si="9"/>
        <v>60</v>
      </c>
      <c r="E78" s="280">
        <f t="shared" si="13"/>
        <v>10.204081632653061</v>
      </c>
      <c r="F78" s="126">
        <f t="shared" si="10"/>
        <v>0.75</v>
      </c>
      <c r="G78" s="118">
        <f t="shared" si="11"/>
        <v>612.24489795918362</v>
      </c>
      <c r="H78" s="119">
        <f t="shared" si="12"/>
        <v>459.18367346938771</v>
      </c>
    </row>
    <row r="79" spans="1:8" ht="14.25" customHeight="1" x14ac:dyDescent="0.3">
      <c r="A79" s="269" t="s">
        <v>188</v>
      </c>
      <c r="B79" s="322" t="str">
        <f t="shared" si="9"/>
        <v>Salt - ملح</v>
      </c>
      <c r="C79" s="322" t="str">
        <f t="shared" si="9"/>
        <v>gm</v>
      </c>
      <c r="D79" s="322">
        <f t="shared" si="9"/>
        <v>5</v>
      </c>
      <c r="E79" s="280">
        <f t="shared" si="13"/>
        <v>10.204081632653061</v>
      </c>
      <c r="F79" s="126">
        <f t="shared" si="10"/>
        <v>1</v>
      </c>
      <c r="G79" s="118">
        <f t="shared" si="11"/>
        <v>51.020408163265301</v>
      </c>
      <c r="H79" s="119">
        <f t="shared" si="12"/>
        <v>51.020408163265301</v>
      </c>
    </row>
    <row r="80" spans="1:8" ht="20.25" customHeight="1" x14ac:dyDescent="0.3">
      <c r="A80" s="210"/>
      <c r="B80" s="197" t="s">
        <v>291</v>
      </c>
      <c r="C80" s="199" t="s">
        <v>277</v>
      </c>
      <c r="D80" s="14"/>
      <c r="E80" s="199" t="s">
        <v>292</v>
      </c>
      <c r="F80" s="14"/>
      <c r="G80" s="878" t="s">
        <v>268</v>
      </c>
      <c r="H80" s="878" t="s">
        <v>703</v>
      </c>
    </row>
    <row r="81" spans="1:8" ht="22.25" customHeight="1" x14ac:dyDescent="0.4">
      <c r="A81" s="210"/>
      <c r="B81" s="198">
        <f>$J$53</f>
        <v>12195.38</v>
      </c>
      <c r="C81" s="198">
        <f>E81+G81</f>
        <v>10000.219999999999</v>
      </c>
      <c r="D81" s="915"/>
      <c r="E81" s="198">
        <f>$D$53*$S$44</f>
        <v>3658.6200000000003</v>
      </c>
      <c r="F81" s="919"/>
      <c r="G81" s="198">
        <f>$D$53*$T$44</f>
        <v>6341.5999999999995</v>
      </c>
      <c r="H81" s="198">
        <f>B81+E81</f>
        <v>15854</v>
      </c>
    </row>
    <row r="82" spans="1:8" ht="14.25" customHeight="1" x14ac:dyDescent="0.3">
      <c r="B82" s="99"/>
      <c r="E82" s="99"/>
      <c r="F82" s="99"/>
    </row>
    <row r="83" spans="1:8" ht="14.25" customHeight="1" x14ac:dyDescent="0.3">
      <c r="B83" s="99"/>
      <c r="E83" s="99"/>
      <c r="F83" s="99"/>
    </row>
    <row r="84" spans="1:8" ht="17.75" customHeight="1" x14ac:dyDescent="0.3">
      <c r="A84" s="923"/>
      <c r="B84" s="1438" t="str">
        <f>"  مختوم لحم  2 / " &amp; COUNTIF($C$53:$C$55, "&gt;0")</f>
        <v xml:space="preserve">  مختوم لحم  2 / 2</v>
      </c>
      <c r="C84" s="1439"/>
      <c r="D84" s="1439"/>
      <c r="E84" s="1439"/>
      <c r="F84" s="1439"/>
      <c r="G84" s="1439"/>
      <c r="H84" s="1439"/>
    </row>
    <row r="85" spans="1:8" ht="17.75" customHeight="1" x14ac:dyDescent="0.3">
      <c r="A85" s="923"/>
      <c r="B85" s="1490" t="str">
        <f>" Mkhtoum Lahm 2  / " &amp; COUNTIF($C$53:$C$55, "&gt;0")</f>
        <v xml:space="preserve"> Mkhtoum Lahm 2  / 2</v>
      </c>
      <c r="C85" s="1437"/>
      <c r="D85" s="1437"/>
      <c r="E85" s="1437"/>
      <c r="F85" s="1437"/>
      <c r="G85" s="1437"/>
      <c r="H85" s="1437"/>
    </row>
    <row r="86" spans="1:8" ht="44.75" customHeight="1" x14ac:dyDescent="0.3">
      <c r="A86" s="90"/>
      <c r="B86" s="90" t="s">
        <v>245</v>
      </c>
      <c r="C86" s="106" t="s">
        <v>246</v>
      </c>
      <c r="D86" s="90" t="s">
        <v>235</v>
      </c>
      <c r="E86" s="107" t="s">
        <v>238</v>
      </c>
      <c r="F86" s="107" t="s">
        <v>247</v>
      </c>
      <c r="G86" s="90" t="s">
        <v>248</v>
      </c>
      <c r="H86" s="108" t="s">
        <v>249</v>
      </c>
    </row>
    <row r="87" spans="1:8" ht="14.25" customHeight="1" x14ac:dyDescent="0.3">
      <c r="A87" s="269" t="s">
        <v>225</v>
      </c>
      <c r="B87" s="122" t="str">
        <f t="shared" ref="B87:D101" si="14">B5</f>
        <v>Indian Meat Alana  - لحم هندى ألانا</v>
      </c>
      <c r="C87" s="122" t="str">
        <f t="shared" si="14"/>
        <v>gm</v>
      </c>
      <c r="D87" s="122">
        <f t="shared" si="14"/>
        <v>2391.2509803921566</v>
      </c>
      <c r="E87" s="222">
        <f>H54</f>
        <v>2.4574287085008351</v>
      </c>
      <c r="F87" s="126">
        <f t="shared" ref="F87:F101" si="15">F5</f>
        <v>1</v>
      </c>
      <c r="G87" s="118">
        <f t="shared" ref="G87:G101" si="16">D87*E87</f>
        <v>5876.328808446453</v>
      </c>
      <c r="H87" s="119">
        <f t="shared" ref="H87:H101" si="17">G87*F87</f>
        <v>5876.328808446453</v>
      </c>
    </row>
    <row r="88" spans="1:8" ht="14.25" customHeight="1" x14ac:dyDescent="0.3">
      <c r="A88" s="269" t="s">
        <v>13</v>
      </c>
      <c r="B88" s="122" t="str">
        <f t="shared" si="14"/>
        <v>Onion - بصل</v>
      </c>
      <c r="C88" s="122" t="str">
        <f t="shared" si="14"/>
        <v>gm</v>
      </c>
      <c r="D88" s="122">
        <f t="shared" si="14"/>
        <v>300</v>
      </c>
      <c r="E88" s="222">
        <f t="shared" ref="E88:E101" si="18">$C$54</f>
        <v>2.5078492935635825</v>
      </c>
      <c r="F88" s="126">
        <f t="shared" si="15"/>
        <v>1</v>
      </c>
      <c r="G88" s="118">
        <f t="shared" si="16"/>
        <v>752.35478806907474</v>
      </c>
      <c r="H88" s="119">
        <f t="shared" si="17"/>
        <v>752.35478806907474</v>
      </c>
    </row>
    <row r="89" spans="1:8" ht="14.25" customHeight="1" x14ac:dyDescent="0.3">
      <c r="A89" s="269" t="s">
        <v>13</v>
      </c>
      <c r="B89" s="122" t="str">
        <f t="shared" si="14"/>
        <v>Tomato - طماطم</v>
      </c>
      <c r="C89" s="122" t="str">
        <f t="shared" si="14"/>
        <v>gm</v>
      </c>
      <c r="D89" s="122">
        <f t="shared" si="14"/>
        <v>200</v>
      </c>
      <c r="E89" s="222">
        <f t="shared" si="18"/>
        <v>2.5078492935635825</v>
      </c>
      <c r="F89" s="126">
        <f t="shared" si="15"/>
        <v>1</v>
      </c>
      <c r="G89" s="118">
        <f t="shared" si="16"/>
        <v>501.5698587127165</v>
      </c>
      <c r="H89" s="119">
        <f t="shared" si="17"/>
        <v>501.5698587127165</v>
      </c>
    </row>
    <row r="90" spans="1:8" ht="14.25" customHeight="1" x14ac:dyDescent="0.3">
      <c r="A90" s="269" t="s">
        <v>13</v>
      </c>
      <c r="B90" s="122" t="str">
        <f t="shared" si="14"/>
        <v>Garlic - ثوم مقشر</v>
      </c>
      <c r="C90" s="122" t="str">
        <f t="shared" si="14"/>
        <v>gm</v>
      </c>
      <c r="D90" s="122">
        <f t="shared" si="14"/>
        <v>35</v>
      </c>
      <c r="E90" s="222">
        <f t="shared" si="18"/>
        <v>2.5078492935635825</v>
      </c>
      <c r="F90" s="126">
        <f t="shared" si="15"/>
        <v>1</v>
      </c>
      <c r="G90" s="118">
        <f t="shared" si="16"/>
        <v>87.774725274725384</v>
      </c>
      <c r="H90" s="119">
        <f t="shared" si="17"/>
        <v>87.774725274725384</v>
      </c>
    </row>
    <row r="91" spans="1:8" ht="14.25" customHeight="1" x14ac:dyDescent="0.3">
      <c r="A91" s="269" t="s">
        <v>95</v>
      </c>
      <c r="B91" s="122" t="str">
        <f t="shared" si="14"/>
        <v>Black Pepper Powder - فلفل أسود مطحون</v>
      </c>
      <c r="C91" s="122" t="str">
        <f t="shared" si="14"/>
        <v>gm</v>
      </c>
      <c r="D91" s="122">
        <f t="shared" si="14"/>
        <v>3</v>
      </c>
      <c r="E91" s="222">
        <f t="shared" si="18"/>
        <v>2.5078492935635825</v>
      </c>
      <c r="F91" s="126">
        <f t="shared" si="15"/>
        <v>1</v>
      </c>
      <c r="G91" s="118">
        <f t="shared" si="16"/>
        <v>7.5235478806907476</v>
      </c>
      <c r="H91" s="119">
        <f t="shared" si="17"/>
        <v>7.5235478806907476</v>
      </c>
    </row>
    <row r="92" spans="1:8" ht="14.25" customHeight="1" x14ac:dyDescent="0.3">
      <c r="A92" s="269" t="s">
        <v>95</v>
      </c>
      <c r="B92" s="122" t="str">
        <f t="shared" si="14"/>
        <v>Cumin Powder - كمون مطحون</v>
      </c>
      <c r="C92" s="122" t="str">
        <f t="shared" si="14"/>
        <v>gm</v>
      </c>
      <c r="D92" s="122">
        <f t="shared" si="14"/>
        <v>5</v>
      </c>
      <c r="E92" s="222">
        <f t="shared" si="18"/>
        <v>2.5078492935635825</v>
      </c>
      <c r="F92" s="126">
        <f t="shared" si="15"/>
        <v>0.75</v>
      </c>
      <c r="G92" s="118">
        <f t="shared" si="16"/>
        <v>12.539246467817913</v>
      </c>
      <c r="H92" s="119">
        <f t="shared" si="17"/>
        <v>9.404434850863435</v>
      </c>
    </row>
    <row r="93" spans="1:8" ht="14.25" customHeight="1" x14ac:dyDescent="0.3">
      <c r="A93" s="269" t="s">
        <v>95</v>
      </c>
      <c r="B93" s="122" t="str">
        <f t="shared" si="14"/>
        <v>Coriander Powder - كزبرة مطحونة</v>
      </c>
      <c r="C93" s="122" t="str">
        <f t="shared" si="14"/>
        <v>gm</v>
      </c>
      <c r="D93" s="122">
        <f t="shared" si="14"/>
        <v>5</v>
      </c>
      <c r="E93" s="222">
        <f t="shared" si="18"/>
        <v>2.5078492935635825</v>
      </c>
      <c r="F93" s="126">
        <f t="shared" si="15"/>
        <v>0.75</v>
      </c>
      <c r="G93" s="118">
        <f t="shared" si="16"/>
        <v>12.539246467817913</v>
      </c>
      <c r="H93" s="119">
        <f t="shared" si="17"/>
        <v>9.404434850863435</v>
      </c>
    </row>
    <row r="94" spans="1:8" ht="14.25" customHeight="1" x14ac:dyDescent="0.3">
      <c r="A94" s="269" t="s">
        <v>95</v>
      </c>
      <c r="B94" s="122" t="str">
        <f t="shared" si="14"/>
        <v>Cinnamon Powder - قرفة مطحونة</v>
      </c>
      <c r="C94" s="122" t="str">
        <f t="shared" si="14"/>
        <v>gm</v>
      </c>
      <c r="D94" s="122">
        <f t="shared" si="14"/>
        <v>6</v>
      </c>
      <c r="E94" s="222">
        <f t="shared" si="18"/>
        <v>2.5078492935635825</v>
      </c>
      <c r="F94" s="126">
        <f t="shared" si="15"/>
        <v>0.75</v>
      </c>
      <c r="G94" s="118">
        <f t="shared" si="16"/>
        <v>15.047095761381495</v>
      </c>
      <c r="H94" s="119">
        <f t="shared" si="17"/>
        <v>11.285321821036121</v>
      </c>
    </row>
    <row r="95" spans="1:8" ht="14.25" customHeight="1" x14ac:dyDescent="0.3">
      <c r="A95" s="269" t="s">
        <v>95</v>
      </c>
      <c r="B95" s="122" t="str">
        <f t="shared" si="14"/>
        <v>Salt - ملح</v>
      </c>
      <c r="C95" s="122" t="str">
        <f t="shared" si="14"/>
        <v>gm</v>
      </c>
      <c r="D95" s="122">
        <f t="shared" si="14"/>
        <v>11</v>
      </c>
      <c r="E95" s="222">
        <f t="shared" si="18"/>
        <v>2.5078492935635825</v>
      </c>
      <c r="F95" s="126">
        <f t="shared" si="15"/>
        <v>0.75</v>
      </c>
      <c r="G95" s="118">
        <f t="shared" si="16"/>
        <v>27.58634222919941</v>
      </c>
      <c r="H95" s="119">
        <f t="shared" si="17"/>
        <v>20.689756671899559</v>
      </c>
    </row>
    <row r="96" spans="1:8" ht="14.25" customHeight="1" x14ac:dyDescent="0.3">
      <c r="A96" s="269" t="s">
        <v>192</v>
      </c>
      <c r="B96" s="122" t="str">
        <f t="shared" si="14"/>
        <v>Tomato Paste - صلصة طماطم</v>
      </c>
      <c r="C96" s="122" t="str">
        <f t="shared" si="14"/>
        <v>gm</v>
      </c>
      <c r="D96" s="122">
        <f t="shared" si="14"/>
        <v>300</v>
      </c>
      <c r="E96" s="222">
        <f t="shared" si="18"/>
        <v>2.5078492935635825</v>
      </c>
      <c r="F96" s="126">
        <f t="shared" si="15"/>
        <v>1</v>
      </c>
      <c r="G96" s="118">
        <f t="shared" si="16"/>
        <v>752.35478806907474</v>
      </c>
      <c r="H96" s="119">
        <f t="shared" si="17"/>
        <v>752.35478806907474</v>
      </c>
    </row>
    <row r="97" spans="1:8" ht="14.25" customHeight="1" x14ac:dyDescent="0.3">
      <c r="A97" s="269" t="s">
        <v>206</v>
      </c>
      <c r="B97" s="122" t="str">
        <f t="shared" si="14"/>
        <v>Beef Stock - مرق لحم بقري</v>
      </c>
      <c r="C97" s="122" t="str">
        <f t="shared" si="14"/>
        <v>gm</v>
      </c>
      <c r="D97" s="122">
        <f t="shared" si="14"/>
        <v>500</v>
      </c>
      <c r="E97" s="222">
        <f t="shared" si="18"/>
        <v>2.5078492935635825</v>
      </c>
      <c r="F97" s="126">
        <f t="shared" si="15"/>
        <v>1</v>
      </c>
      <c r="G97" s="118">
        <f t="shared" si="16"/>
        <v>1253.9246467817914</v>
      </c>
      <c r="H97" s="119">
        <f t="shared" si="17"/>
        <v>1253.9246467817914</v>
      </c>
    </row>
    <row r="98" spans="1:8" ht="14.25" customHeight="1" x14ac:dyDescent="0.3">
      <c r="A98" s="269" t="s">
        <v>154</v>
      </c>
      <c r="B98" s="122" t="str">
        <f t="shared" si="14"/>
        <v>Butter - زبدة</v>
      </c>
      <c r="C98" s="122" t="str">
        <f t="shared" si="14"/>
        <v>gm</v>
      </c>
      <c r="D98" s="122">
        <f t="shared" si="14"/>
        <v>15</v>
      </c>
      <c r="E98" s="222">
        <f t="shared" si="18"/>
        <v>2.5078492935635825</v>
      </c>
      <c r="F98" s="126">
        <f t="shared" si="15"/>
        <v>1</v>
      </c>
      <c r="G98" s="118">
        <f t="shared" si="16"/>
        <v>37.61773940345374</v>
      </c>
      <c r="H98" s="119">
        <f t="shared" si="17"/>
        <v>37.61773940345374</v>
      </c>
    </row>
    <row r="99" spans="1:8" ht="14.25" customHeight="1" x14ac:dyDescent="0.3">
      <c r="A99" s="269" t="s">
        <v>95</v>
      </c>
      <c r="B99" s="122" t="str">
        <f t="shared" si="14"/>
        <v>Maggi Cubes - مكعبات ماجي</v>
      </c>
      <c r="C99" s="122" t="str">
        <f t="shared" si="14"/>
        <v>gm</v>
      </c>
      <c r="D99" s="122">
        <f t="shared" si="14"/>
        <v>10</v>
      </c>
      <c r="E99" s="222">
        <f t="shared" si="18"/>
        <v>2.5078492935635825</v>
      </c>
      <c r="F99" s="126">
        <f t="shared" si="15"/>
        <v>0.75</v>
      </c>
      <c r="G99" s="118">
        <f t="shared" si="16"/>
        <v>25.078492935635825</v>
      </c>
      <c r="H99" s="119">
        <f t="shared" si="17"/>
        <v>18.80886970172687</v>
      </c>
    </row>
    <row r="100" spans="1:8" ht="14.25" customHeight="1" x14ac:dyDescent="0.3">
      <c r="A100" s="269" t="s">
        <v>188</v>
      </c>
      <c r="B100" s="122" t="str">
        <f t="shared" si="14"/>
        <v>Corn Starch - نشا ذرة</v>
      </c>
      <c r="C100" s="122" t="str">
        <f t="shared" si="14"/>
        <v>gm</v>
      </c>
      <c r="D100" s="122">
        <f t="shared" si="14"/>
        <v>60</v>
      </c>
      <c r="E100" s="222">
        <f t="shared" si="18"/>
        <v>2.5078492935635825</v>
      </c>
      <c r="F100" s="126">
        <f t="shared" si="15"/>
        <v>0.75</v>
      </c>
      <c r="G100" s="118">
        <f t="shared" si="16"/>
        <v>150.47095761381496</v>
      </c>
      <c r="H100" s="119">
        <f t="shared" si="17"/>
        <v>112.85321821036122</v>
      </c>
    </row>
    <row r="101" spans="1:8" ht="14.25" customHeight="1" x14ac:dyDescent="0.3">
      <c r="A101" s="269" t="s">
        <v>188</v>
      </c>
      <c r="B101" s="122" t="str">
        <f t="shared" si="14"/>
        <v>Salt - ملح</v>
      </c>
      <c r="C101" s="122" t="str">
        <f t="shared" si="14"/>
        <v>gm</v>
      </c>
      <c r="D101" s="122">
        <f t="shared" si="14"/>
        <v>5</v>
      </c>
      <c r="E101" s="222">
        <f t="shared" si="18"/>
        <v>2.5078492935635825</v>
      </c>
      <c r="F101" s="126">
        <f t="shared" si="15"/>
        <v>1</v>
      </c>
      <c r="G101" s="118">
        <f t="shared" si="16"/>
        <v>12.539246467817913</v>
      </c>
      <c r="H101" s="119">
        <f t="shared" si="17"/>
        <v>12.539246467817913</v>
      </c>
    </row>
    <row r="102" spans="1:8" ht="20.25" customHeight="1" x14ac:dyDescent="0.3">
      <c r="A102" s="210"/>
      <c r="B102" s="197" t="s">
        <v>291</v>
      </c>
      <c r="C102" s="199" t="s">
        <v>277</v>
      </c>
      <c r="D102" s="14"/>
      <c r="E102" s="199" t="s">
        <v>292</v>
      </c>
      <c r="F102" s="14"/>
      <c r="G102" s="878" t="s">
        <v>268</v>
      </c>
      <c r="H102" s="878" t="s">
        <v>703</v>
      </c>
    </row>
    <row r="103" spans="1:8" ht="20" x14ac:dyDescent="0.4">
      <c r="A103" s="210"/>
      <c r="B103" s="198">
        <f>$J$54</f>
        <v>2996.9276923076904</v>
      </c>
      <c r="C103" s="198">
        <f>E103+G103</f>
        <v>2457.7463769230799</v>
      </c>
      <c r="D103" s="915"/>
      <c r="E103" s="198">
        <f>$D$54*$S$44</f>
        <v>899.17622307692432</v>
      </c>
      <c r="F103" s="919"/>
      <c r="G103" s="198">
        <f>$D$54*$T$44</f>
        <v>1558.5701538461558</v>
      </c>
      <c r="H103" s="198">
        <f>B103+E103</f>
        <v>3896.103915384615</v>
      </c>
    </row>
    <row r="105" spans="1:8" ht="17.75" customHeight="1" x14ac:dyDescent="0.3">
      <c r="A105" s="264"/>
      <c r="B105" s="1438" t="str">
        <f>"  مختوم لحم 3 / " &amp; COUNTIF($C$53:$C$55, "&gt;0")</f>
        <v xml:space="preserve">  مختوم لحم 3 / 2</v>
      </c>
      <c r="C105" s="1444"/>
      <c r="D105" s="1444"/>
      <c r="E105" s="1444"/>
      <c r="F105" s="1444"/>
      <c r="G105" s="1444"/>
      <c r="H105" s="1444"/>
    </row>
    <row r="106" spans="1:8" ht="17.75" customHeight="1" x14ac:dyDescent="0.3">
      <c r="A106" s="264"/>
      <c r="B106" s="1491" t="str">
        <f>" Mkhtoum Lahm 3  / " &amp; COUNTIF($C$53:$C$55, "&gt;0")</f>
        <v xml:space="preserve"> Mkhtoum Lahm 3  / 2</v>
      </c>
      <c r="C106" s="1446"/>
      <c r="D106" s="1446"/>
      <c r="E106" s="1446"/>
      <c r="F106" s="1446"/>
      <c r="G106" s="1446"/>
      <c r="H106" s="1446"/>
    </row>
    <row r="107" spans="1:8" ht="40.25" customHeight="1" x14ac:dyDescent="0.3">
      <c r="A107" s="90"/>
      <c r="B107" s="90" t="s">
        <v>245</v>
      </c>
      <c r="C107" s="106" t="s">
        <v>246</v>
      </c>
      <c r="D107" s="90" t="s">
        <v>235</v>
      </c>
      <c r="E107" s="107" t="s">
        <v>238</v>
      </c>
      <c r="F107" s="107" t="s">
        <v>247</v>
      </c>
      <c r="G107" s="90" t="s">
        <v>248</v>
      </c>
      <c r="H107" s="108" t="s">
        <v>249</v>
      </c>
    </row>
    <row r="108" spans="1:8" ht="14.25" customHeight="1" x14ac:dyDescent="0.3">
      <c r="A108" s="269" t="s">
        <v>225</v>
      </c>
      <c r="B108" s="122" t="str">
        <f t="shared" ref="B108:D122" si="19">B5</f>
        <v>Indian Meat Alana  - لحم هندى ألانا</v>
      </c>
      <c r="C108" s="122" t="str">
        <f t="shared" si="19"/>
        <v>gm</v>
      </c>
      <c r="D108" s="262">
        <f t="shared" si="19"/>
        <v>2391.2509803921566</v>
      </c>
      <c r="E108" s="222">
        <f>H55</f>
        <v>0</v>
      </c>
      <c r="F108" s="126">
        <f t="shared" ref="F108:F122" si="20">F5</f>
        <v>1</v>
      </c>
      <c r="G108" s="118">
        <f t="shared" ref="G108:G122" si="21">D108*E108</f>
        <v>0</v>
      </c>
      <c r="H108" s="119">
        <f t="shared" ref="H108:H122" si="22">G108*F108</f>
        <v>0</v>
      </c>
    </row>
    <row r="109" spans="1:8" ht="14.25" customHeight="1" x14ac:dyDescent="0.3">
      <c r="A109" s="269" t="s">
        <v>13</v>
      </c>
      <c r="B109" s="122" t="str">
        <f t="shared" si="19"/>
        <v>Onion - بصل</v>
      </c>
      <c r="C109" s="122" t="str">
        <f t="shared" si="19"/>
        <v>gm</v>
      </c>
      <c r="D109" s="122">
        <f t="shared" si="19"/>
        <v>300</v>
      </c>
      <c r="E109" s="222">
        <f t="shared" ref="E109:E122" si="23">$C$55</f>
        <v>0</v>
      </c>
      <c r="F109" s="126">
        <f t="shared" si="20"/>
        <v>1</v>
      </c>
      <c r="G109" s="118">
        <f t="shared" si="21"/>
        <v>0</v>
      </c>
      <c r="H109" s="119">
        <f t="shared" si="22"/>
        <v>0</v>
      </c>
    </row>
    <row r="110" spans="1:8" ht="14.25" customHeight="1" x14ac:dyDescent="0.3">
      <c r="A110" s="269" t="s">
        <v>13</v>
      </c>
      <c r="B110" s="122" t="str">
        <f t="shared" si="19"/>
        <v>Tomato - طماطم</v>
      </c>
      <c r="C110" s="122" t="str">
        <f t="shared" si="19"/>
        <v>gm</v>
      </c>
      <c r="D110" s="122">
        <f t="shared" si="19"/>
        <v>200</v>
      </c>
      <c r="E110" s="222">
        <f t="shared" si="23"/>
        <v>0</v>
      </c>
      <c r="F110" s="126">
        <f t="shared" si="20"/>
        <v>1</v>
      </c>
      <c r="G110" s="118">
        <f t="shared" si="21"/>
        <v>0</v>
      </c>
      <c r="H110" s="119">
        <f t="shared" si="22"/>
        <v>0</v>
      </c>
    </row>
    <row r="111" spans="1:8" ht="14.25" customHeight="1" x14ac:dyDescent="0.3">
      <c r="A111" s="269" t="s">
        <v>13</v>
      </c>
      <c r="B111" s="122" t="str">
        <f t="shared" si="19"/>
        <v>Garlic - ثوم مقشر</v>
      </c>
      <c r="C111" s="122" t="str">
        <f t="shared" si="19"/>
        <v>gm</v>
      </c>
      <c r="D111" s="122">
        <f t="shared" si="19"/>
        <v>35</v>
      </c>
      <c r="E111" s="222">
        <f t="shared" si="23"/>
        <v>0</v>
      </c>
      <c r="F111" s="126">
        <f t="shared" si="20"/>
        <v>1</v>
      </c>
      <c r="G111" s="118">
        <f t="shared" si="21"/>
        <v>0</v>
      </c>
      <c r="H111" s="119">
        <f t="shared" si="22"/>
        <v>0</v>
      </c>
    </row>
    <row r="112" spans="1:8" ht="14.25" customHeight="1" x14ac:dyDescent="0.3">
      <c r="A112" s="269" t="s">
        <v>95</v>
      </c>
      <c r="B112" s="122" t="str">
        <f t="shared" si="19"/>
        <v>Black Pepper Powder - فلفل أسود مطحون</v>
      </c>
      <c r="C112" s="122" t="str">
        <f t="shared" si="19"/>
        <v>gm</v>
      </c>
      <c r="D112" s="122">
        <f t="shared" si="19"/>
        <v>3</v>
      </c>
      <c r="E112" s="222">
        <f t="shared" si="23"/>
        <v>0</v>
      </c>
      <c r="F112" s="126">
        <f t="shared" si="20"/>
        <v>1</v>
      </c>
      <c r="G112" s="118">
        <f t="shared" si="21"/>
        <v>0</v>
      </c>
      <c r="H112" s="119">
        <f t="shared" si="22"/>
        <v>0</v>
      </c>
    </row>
    <row r="113" spans="1:10" ht="14.25" customHeight="1" x14ac:dyDescent="0.3">
      <c r="A113" s="269" t="s">
        <v>95</v>
      </c>
      <c r="B113" s="122" t="str">
        <f t="shared" si="19"/>
        <v>Cumin Powder - كمون مطحون</v>
      </c>
      <c r="C113" s="122" t="str">
        <f t="shared" si="19"/>
        <v>gm</v>
      </c>
      <c r="D113" s="122">
        <f t="shared" si="19"/>
        <v>5</v>
      </c>
      <c r="E113" s="222">
        <f t="shared" si="23"/>
        <v>0</v>
      </c>
      <c r="F113" s="126">
        <f t="shared" si="20"/>
        <v>0.75</v>
      </c>
      <c r="G113" s="118">
        <f t="shared" si="21"/>
        <v>0</v>
      </c>
      <c r="H113" s="119">
        <f t="shared" si="22"/>
        <v>0</v>
      </c>
    </row>
    <row r="114" spans="1:10" ht="14.25" customHeight="1" x14ac:dyDescent="0.3">
      <c r="A114" s="269" t="s">
        <v>95</v>
      </c>
      <c r="B114" s="122" t="str">
        <f t="shared" si="19"/>
        <v>Coriander Powder - كزبرة مطحونة</v>
      </c>
      <c r="C114" s="122" t="str">
        <f t="shared" si="19"/>
        <v>gm</v>
      </c>
      <c r="D114" s="122">
        <f t="shared" si="19"/>
        <v>5</v>
      </c>
      <c r="E114" s="222">
        <f t="shared" si="23"/>
        <v>0</v>
      </c>
      <c r="F114" s="126">
        <f t="shared" si="20"/>
        <v>0.75</v>
      </c>
      <c r="G114" s="118">
        <f t="shared" si="21"/>
        <v>0</v>
      </c>
      <c r="H114" s="119">
        <f t="shared" si="22"/>
        <v>0</v>
      </c>
    </row>
    <row r="115" spans="1:10" ht="14.25" customHeight="1" x14ac:dyDescent="0.3">
      <c r="A115" s="269" t="s">
        <v>95</v>
      </c>
      <c r="B115" s="122" t="str">
        <f t="shared" si="19"/>
        <v>Cinnamon Powder - قرفة مطحونة</v>
      </c>
      <c r="C115" s="122" t="str">
        <f t="shared" si="19"/>
        <v>gm</v>
      </c>
      <c r="D115" s="122">
        <f t="shared" si="19"/>
        <v>6</v>
      </c>
      <c r="E115" s="222">
        <f t="shared" si="23"/>
        <v>0</v>
      </c>
      <c r="F115" s="126">
        <f t="shared" si="20"/>
        <v>0.75</v>
      </c>
      <c r="G115" s="118">
        <f t="shared" si="21"/>
        <v>0</v>
      </c>
      <c r="H115" s="119">
        <f t="shared" si="22"/>
        <v>0</v>
      </c>
    </row>
    <row r="116" spans="1:10" ht="14.25" customHeight="1" x14ac:dyDescent="0.3">
      <c r="A116" s="269" t="s">
        <v>95</v>
      </c>
      <c r="B116" s="122" t="str">
        <f t="shared" si="19"/>
        <v>Salt - ملح</v>
      </c>
      <c r="C116" s="122" t="str">
        <f t="shared" si="19"/>
        <v>gm</v>
      </c>
      <c r="D116" s="122">
        <f t="shared" si="19"/>
        <v>11</v>
      </c>
      <c r="E116" s="222">
        <f t="shared" si="23"/>
        <v>0</v>
      </c>
      <c r="F116" s="126">
        <f t="shared" si="20"/>
        <v>0.75</v>
      </c>
      <c r="G116" s="118">
        <f t="shared" si="21"/>
        <v>0</v>
      </c>
      <c r="H116" s="119">
        <f t="shared" si="22"/>
        <v>0</v>
      </c>
    </row>
    <row r="117" spans="1:10" ht="14.25" customHeight="1" x14ac:dyDescent="0.3">
      <c r="A117" s="269" t="s">
        <v>192</v>
      </c>
      <c r="B117" s="122" t="str">
        <f t="shared" si="19"/>
        <v>Tomato Paste - صلصة طماطم</v>
      </c>
      <c r="C117" s="122" t="str">
        <f t="shared" si="19"/>
        <v>gm</v>
      </c>
      <c r="D117" s="122">
        <f t="shared" si="19"/>
        <v>300</v>
      </c>
      <c r="E117" s="222">
        <f t="shared" si="23"/>
        <v>0</v>
      </c>
      <c r="F117" s="126">
        <f t="shared" si="20"/>
        <v>1</v>
      </c>
      <c r="G117" s="118">
        <f t="shared" si="21"/>
        <v>0</v>
      </c>
      <c r="H117" s="119">
        <f t="shared" si="22"/>
        <v>0</v>
      </c>
    </row>
    <row r="118" spans="1:10" ht="14.25" customHeight="1" x14ac:dyDescent="0.3">
      <c r="A118" s="269" t="s">
        <v>206</v>
      </c>
      <c r="B118" s="122" t="str">
        <f t="shared" si="19"/>
        <v>Beef Stock - مرق لحم بقري</v>
      </c>
      <c r="C118" s="122" t="str">
        <f t="shared" si="19"/>
        <v>gm</v>
      </c>
      <c r="D118" s="122">
        <f t="shared" si="19"/>
        <v>500</v>
      </c>
      <c r="E118" s="222">
        <f t="shared" si="23"/>
        <v>0</v>
      </c>
      <c r="F118" s="126">
        <f t="shared" si="20"/>
        <v>1</v>
      </c>
      <c r="G118" s="118">
        <f t="shared" si="21"/>
        <v>0</v>
      </c>
      <c r="H118" s="119">
        <f t="shared" si="22"/>
        <v>0</v>
      </c>
    </row>
    <row r="119" spans="1:10" ht="14.25" customHeight="1" x14ac:dyDescent="0.3">
      <c r="A119" s="269" t="s">
        <v>154</v>
      </c>
      <c r="B119" s="122" t="str">
        <f t="shared" si="19"/>
        <v>Butter - زبدة</v>
      </c>
      <c r="C119" s="122" t="str">
        <f t="shared" si="19"/>
        <v>gm</v>
      </c>
      <c r="D119" s="122">
        <f t="shared" si="19"/>
        <v>15</v>
      </c>
      <c r="E119" s="222">
        <f t="shared" si="23"/>
        <v>0</v>
      </c>
      <c r="F119" s="126">
        <f t="shared" si="20"/>
        <v>1</v>
      </c>
      <c r="G119" s="118">
        <f t="shared" si="21"/>
        <v>0</v>
      </c>
      <c r="H119" s="119">
        <f t="shared" si="22"/>
        <v>0</v>
      </c>
    </row>
    <row r="120" spans="1:10" ht="20.25" customHeight="1" x14ac:dyDescent="0.4">
      <c r="A120" s="269" t="s">
        <v>95</v>
      </c>
      <c r="B120" s="122" t="str">
        <f t="shared" si="19"/>
        <v>Maggi Cubes - مكعبات ماجي</v>
      </c>
      <c r="C120" s="122" t="str">
        <f t="shared" si="19"/>
        <v>gm</v>
      </c>
      <c r="D120" s="122">
        <f t="shared" si="19"/>
        <v>10</v>
      </c>
      <c r="E120" s="222">
        <f t="shared" si="23"/>
        <v>0</v>
      </c>
      <c r="F120" s="126">
        <f t="shared" si="20"/>
        <v>0.75</v>
      </c>
      <c r="G120" s="118">
        <f t="shared" si="21"/>
        <v>0</v>
      </c>
      <c r="H120" s="119">
        <f t="shared" si="22"/>
        <v>0</v>
      </c>
      <c r="I120" s="203"/>
      <c r="J120" s="202"/>
    </row>
    <row r="121" spans="1:10" ht="14.25" customHeight="1" x14ac:dyDescent="0.3">
      <c r="A121" s="269" t="s">
        <v>188</v>
      </c>
      <c r="B121" s="122" t="str">
        <f t="shared" si="19"/>
        <v>Corn Starch - نشا ذرة</v>
      </c>
      <c r="C121" s="122" t="str">
        <f t="shared" si="19"/>
        <v>gm</v>
      </c>
      <c r="D121" s="122">
        <f t="shared" si="19"/>
        <v>60</v>
      </c>
      <c r="E121" s="222">
        <f t="shared" si="23"/>
        <v>0</v>
      </c>
      <c r="F121" s="126">
        <f t="shared" si="20"/>
        <v>0.75</v>
      </c>
      <c r="G121" s="118">
        <f t="shared" si="21"/>
        <v>0</v>
      </c>
      <c r="H121" s="119">
        <f t="shared" si="22"/>
        <v>0</v>
      </c>
    </row>
    <row r="122" spans="1:10" ht="14.25" customHeight="1" x14ac:dyDescent="0.3">
      <c r="A122" s="269" t="s">
        <v>188</v>
      </c>
      <c r="B122" s="122" t="str">
        <f t="shared" si="19"/>
        <v>Salt - ملح</v>
      </c>
      <c r="C122" s="122" t="str">
        <f t="shared" si="19"/>
        <v>gm</v>
      </c>
      <c r="D122" s="122">
        <f t="shared" si="19"/>
        <v>5</v>
      </c>
      <c r="E122" s="222">
        <f t="shared" si="23"/>
        <v>0</v>
      </c>
      <c r="F122" s="126">
        <f t="shared" si="20"/>
        <v>1</v>
      </c>
      <c r="G122" s="118">
        <f t="shared" si="21"/>
        <v>0</v>
      </c>
      <c r="H122" s="119">
        <f t="shared" si="22"/>
        <v>0</v>
      </c>
    </row>
    <row r="123" spans="1:10" ht="20.25" customHeight="1" x14ac:dyDescent="0.3">
      <c r="A123" s="78"/>
      <c r="B123" s="197" t="s">
        <v>291</v>
      </c>
      <c r="C123" s="199" t="s">
        <v>277</v>
      </c>
      <c r="D123" s="14"/>
      <c r="E123" s="199" t="s">
        <v>292</v>
      </c>
      <c r="F123" s="14"/>
      <c r="G123" s="878" t="s">
        <v>268</v>
      </c>
      <c r="H123" s="878" t="s">
        <v>703</v>
      </c>
    </row>
    <row r="124" spans="1:10" ht="20" x14ac:dyDescent="0.4">
      <c r="A124" s="78"/>
      <c r="B124" s="198">
        <f>$J$55</f>
        <v>0</v>
      </c>
      <c r="C124" s="198">
        <f>E124+G124</f>
        <v>0</v>
      </c>
      <c r="D124" s="930"/>
      <c r="E124" s="198">
        <f>$D$55*$S$44</f>
        <v>0</v>
      </c>
      <c r="F124" s="930"/>
      <c r="G124" s="198">
        <f>$D$55*$T$44</f>
        <v>0</v>
      </c>
      <c r="H124" s="198">
        <f>B124+E124</f>
        <v>0</v>
      </c>
    </row>
  </sheetData>
  <mergeCells count="10">
    <mergeCell ref="B85:H85"/>
    <mergeCell ref="B84:H84"/>
    <mergeCell ref="B105:H105"/>
    <mergeCell ref="B106:H106"/>
    <mergeCell ref="R26:U26"/>
    <mergeCell ref="R25:U25"/>
    <mergeCell ref="B62:H62"/>
    <mergeCell ref="B2:K3"/>
    <mergeCell ref="B63:H63"/>
    <mergeCell ref="B35:F35"/>
  </mergeCells>
  <printOptions horizontalCentered="1"/>
  <pageMargins left="0.5" right="0.5" top="1" bottom="0.5" header="0.3" footer="0.511811023622047"/>
  <pageSetup paperSize="9" scale="36"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rgb="FF2E75B6"/>
    <pageSetUpPr fitToPage="1"/>
  </sheetPr>
  <dimension ref="A1:AT82"/>
  <sheetViews>
    <sheetView topLeftCell="R1" zoomScale="70" zoomScaleNormal="70" workbookViewId="0">
      <selection activeCell="AC25" sqref="AC25"/>
    </sheetView>
  </sheetViews>
  <sheetFormatPr defaultColWidth="12.5" defaultRowHeight="14" x14ac:dyDescent="0.3"/>
  <cols>
    <col min="1" max="1" width="12.5" style="78" customWidth="1"/>
    <col min="2" max="2" width="29.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4" style="14" customWidth="1"/>
    <col min="15" max="17" width="12.5" style="14" customWidth="1"/>
    <col min="18" max="18" width="30.5" style="14" customWidth="1"/>
    <col min="19" max="19" width="12.5" style="14" customWidth="1"/>
    <col min="20" max="26" width="12.5" style="14"/>
    <col min="27" max="27" width="12.9140625" style="14" customWidth="1"/>
    <col min="28" max="28" width="11.75" style="14" bestFit="1" customWidth="1"/>
    <col min="29" max="29" width="14.08203125" style="14" customWidth="1"/>
    <col min="30" max="30" width="13.1640625" style="14" bestFit="1" customWidth="1"/>
    <col min="31" max="31" width="11.5" style="14" bestFit="1" customWidth="1"/>
    <col min="32" max="32" width="11" style="14" bestFit="1" customWidth="1"/>
    <col min="33" max="34" width="3" style="14" customWidth="1"/>
    <col min="35" max="35" width="12.5" style="14"/>
    <col min="36" max="36" width="33.25" style="14" customWidth="1"/>
    <col min="37" max="37" width="12.5" style="14"/>
    <col min="38" max="38" width="17.5" style="14" customWidth="1"/>
    <col min="39" max="41" width="12.5" style="14"/>
    <col min="42" max="42" width="17.83203125" style="14" customWidth="1"/>
    <col min="43" max="16384" width="12.5" style="14"/>
  </cols>
  <sheetData>
    <row r="1" spans="1:46" ht="35.25" customHeight="1" x14ac:dyDescent="0.3">
      <c r="B1" s="79" t="s">
        <v>235</v>
      </c>
      <c r="C1" s="80">
        <v>1000</v>
      </c>
      <c r="D1" s="81" t="s">
        <v>236</v>
      </c>
      <c r="E1" s="116">
        <f>T32</f>
        <v>5554.6153846153902</v>
      </c>
      <c r="F1" s="79" t="s">
        <v>237</v>
      </c>
      <c r="G1" s="80">
        <f>E1/C1</f>
        <v>5.5546153846153903</v>
      </c>
      <c r="H1" s="79" t="s">
        <v>238</v>
      </c>
      <c r="I1" s="84">
        <f>(G1/K1)</f>
        <v>5.6679748822606024</v>
      </c>
      <c r="J1" s="85" t="s">
        <v>239</v>
      </c>
      <c r="K1" s="399">
        <v>0.98</v>
      </c>
      <c r="L1" s="99"/>
      <c r="M1" s="88"/>
      <c r="N1" s="89"/>
      <c r="O1" s="90" t="s">
        <v>240</v>
      </c>
      <c r="P1" s="91" t="s">
        <v>241</v>
      </c>
      <c r="Q1" s="92" t="s">
        <v>242</v>
      </c>
      <c r="R1" s="91">
        <v>0.59</v>
      </c>
      <c r="Y1" s="90" t="s">
        <v>463</v>
      </c>
      <c r="Z1" s="835">
        <v>23070</v>
      </c>
      <c r="AA1" s="90" t="s">
        <v>578</v>
      </c>
      <c r="AB1" s="835">
        <v>1000</v>
      </c>
      <c r="AC1" s="90" t="s">
        <v>567</v>
      </c>
      <c r="AD1" s="835">
        <v>157</v>
      </c>
      <c r="AE1" s="249"/>
      <c r="AF1" s="251"/>
      <c r="AG1" s="91"/>
      <c r="AI1" s="78"/>
      <c r="AJ1" s="109" t="s">
        <v>254</v>
      </c>
      <c r="AK1" s="93">
        <v>10000</v>
      </c>
      <c r="AL1" s="623" t="s">
        <v>503</v>
      </c>
      <c r="AM1" s="624">
        <f>$S$32</f>
        <v>18515.38461538461</v>
      </c>
      <c r="AN1" s="93" t="s">
        <v>243</v>
      </c>
      <c r="AO1" s="95">
        <f>($S$32/$R$1)/$AK$1</f>
        <v>3.1382007822685782</v>
      </c>
      <c r="AP1" s="94"/>
    </row>
    <row r="2" spans="1:46" ht="12.75" customHeight="1" x14ac:dyDescent="0.3">
      <c r="A2" s="96"/>
      <c r="B2" s="97"/>
      <c r="C2" s="97"/>
      <c r="D2" s="97"/>
      <c r="E2" s="97"/>
      <c r="F2" s="1443" t="s">
        <v>53</v>
      </c>
      <c r="G2" s="1466"/>
      <c r="H2" s="97"/>
      <c r="I2" s="97"/>
      <c r="J2" s="97"/>
      <c r="K2" s="291"/>
      <c r="L2" s="291"/>
      <c r="O2" s="99"/>
      <c r="P2" s="99"/>
      <c r="Q2" s="99"/>
      <c r="R2" s="99"/>
      <c r="AC2" s="98"/>
      <c r="AD2" s="98"/>
      <c r="AE2" s="1457"/>
      <c r="AF2" s="1460"/>
      <c r="AG2" s="1460"/>
      <c r="AI2" s="78"/>
      <c r="AJ2" s="100"/>
      <c r="AK2" s="1442" t="s">
        <v>369</v>
      </c>
      <c r="AL2" s="1442"/>
      <c r="AM2" s="1442"/>
      <c r="AN2" s="101"/>
      <c r="AO2" s="100"/>
      <c r="AP2" s="100"/>
    </row>
    <row r="3" spans="1:46" ht="12.75" customHeight="1" x14ac:dyDescent="0.3">
      <c r="A3" s="96"/>
      <c r="B3" s="102"/>
      <c r="C3" s="102"/>
      <c r="D3" s="102"/>
      <c r="E3" s="102"/>
      <c r="F3" s="1444"/>
      <c r="G3" s="1444"/>
      <c r="H3" s="102"/>
      <c r="I3" s="102"/>
      <c r="J3" s="102"/>
      <c r="K3" s="291"/>
      <c r="L3" s="291"/>
      <c r="O3" s="99"/>
      <c r="P3" s="99"/>
      <c r="Q3" s="99"/>
      <c r="R3" s="99"/>
      <c r="AC3" s="98"/>
      <c r="AD3" s="98"/>
      <c r="AE3" s="1460"/>
      <c r="AF3" s="1460"/>
      <c r="AG3" s="1460"/>
      <c r="AI3" s="78"/>
      <c r="AJ3" s="103"/>
      <c r="AK3" s="103"/>
      <c r="AL3" s="104"/>
      <c r="AM3" s="104"/>
      <c r="AN3" s="104"/>
      <c r="AO3" s="103"/>
      <c r="AP3" s="103"/>
    </row>
    <row r="4" spans="1:46" ht="69" customHeight="1" x14ac:dyDescent="0.3">
      <c r="A4" s="90" t="s">
        <v>1</v>
      </c>
      <c r="B4" s="90" t="s">
        <v>245</v>
      </c>
      <c r="C4" s="106" t="s">
        <v>246</v>
      </c>
      <c r="D4" s="90" t="s">
        <v>235</v>
      </c>
      <c r="E4" s="107" t="s">
        <v>238</v>
      </c>
      <c r="F4" s="107" t="s">
        <v>247</v>
      </c>
      <c r="G4" s="90" t="s">
        <v>248</v>
      </c>
      <c r="H4" s="108" t="s">
        <v>249</v>
      </c>
      <c r="I4" s="90" t="s">
        <v>250</v>
      </c>
      <c r="J4" s="90" t="s">
        <v>251</v>
      </c>
      <c r="K4" s="90" t="s">
        <v>252</v>
      </c>
      <c r="L4" s="90" t="s">
        <v>253</v>
      </c>
      <c r="O4" s="99"/>
      <c r="P4" s="99"/>
      <c r="AA4" s="250"/>
      <c r="AB4" s="252"/>
      <c r="AC4" s="250"/>
      <c r="AD4" s="250"/>
      <c r="AE4" s="250"/>
      <c r="AI4" s="78"/>
      <c r="AJ4" s="109" t="s">
        <v>245</v>
      </c>
      <c r="AK4" s="110" t="s">
        <v>246</v>
      </c>
      <c r="AL4" s="109" t="s">
        <v>254</v>
      </c>
      <c r="AM4" s="109" t="s">
        <v>238</v>
      </c>
      <c r="AN4" s="109" t="s">
        <v>247</v>
      </c>
      <c r="AO4" s="109" t="s">
        <v>248</v>
      </c>
      <c r="AP4" s="111" t="s">
        <v>249</v>
      </c>
      <c r="AQ4" s="90" t="s">
        <v>250</v>
      </c>
      <c r="AR4" s="90" t="s">
        <v>251</v>
      </c>
      <c r="AS4" s="90" t="s">
        <v>252</v>
      </c>
      <c r="AT4" s="90" t="s">
        <v>253</v>
      </c>
    </row>
    <row r="5" spans="1:46" ht="14.25" customHeight="1" x14ac:dyDescent="0.3">
      <c r="A5" s="265" t="s">
        <v>225</v>
      </c>
      <c r="B5" s="308" t="s">
        <v>224</v>
      </c>
      <c r="C5" s="114" t="s">
        <v>14</v>
      </c>
      <c r="D5" s="120">
        <f>I51/10</f>
        <v>5649.8305084745762</v>
      </c>
      <c r="E5" s="196">
        <f>H52</f>
        <v>5.5545042945294929</v>
      </c>
      <c r="F5" s="126">
        <v>1</v>
      </c>
      <c r="G5" s="118">
        <f t="shared" ref="G5:G17" si="0">D5*E5</f>
        <v>31382.00782268578</v>
      </c>
      <c r="H5" s="119">
        <f t="shared" ref="H5:H17" si="1">G5*F5</f>
        <v>31382.00782268578</v>
      </c>
      <c r="I5" s="80">
        <f>VLOOKUP(B5,All_Ingredients!$A$1:$F$149,6,FALSE())</f>
        <v>0.86</v>
      </c>
      <c r="J5" s="118">
        <f>VLOOKUP(B5,All_Ingredients!$A$1:$J$149,10,FALSE())</f>
        <v>17.100000000000001</v>
      </c>
      <c r="K5" s="121">
        <f t="shared" ref="K5" si="2">(H5/I5)/1000</f>
        <v>36.490706770564856</v>
      </c>
      <c r="L5" s="121">
        <f t="shared" ref="L5" si="3">K5*J5</f>
        <v>623.99108577665913</v>
      </c>
      <c r="O5" s="99"/>
      <c r="P5" s="99"/>
      <c r="AA5" s="91"/>
      <c r="AB5" s="132"/>
      <c r="AC5" s="253"/>
      <c r="AD5" s="134"/>
      <c r="AE5" s="135"/>
      <c r="AI5" s="78"/>
      <c r="AJ5" s="122" t="s">
        <v>224</v>
      </c>
      <c r="AK5" s="123" t="s">
        <v>231</v>
      </c>
      <c r="AL5" s="115">
        <v>10</v>
      </c>
      <c r="AM5" s="196">
        <f t="shared" ref="AM5:AM13" si="4">$AO$1</f>
        <v>3.1382007822685782</v>
      </c>
      <c r="AN5" s="126">
        <v>1</v>
      </c>
      <c r="AO5" s="120">
        <f t="shared" ref="AO5:AO13" si="5">AL5*AM5</f>
        <v>31.382007822685782</v>
      </c>
      <c r="AP5" s="119">
        <f t="shared" ref="AP5:AP13" si="6">AO5*AN5</f>
        <v>31.382007822685782</v>
      </c>
      <c r="AQ5" s="294"/>
      <c r="AR5" s="1152"/>
      <c r="AS5" s="174"/>
      <c r="AT5" s="1153"/>
    </row>
    <row r="6" spans="1:46" ht="14.25" customHeight="1" x14ac:dyDescent="0.3">
      <c r="A6" s="127" t="s">
        <v>192</v>
      </c>
      <c r="B6" s="400" t="s">
        <v>191</v>
      </c>
      <c r="C6" s="123" t="s">
        <v>161</v>
      </c>
      <c r="D6" s="124">
        <v>400</v>
      </c>
      <c r="E6" s="196">
        <f>$I$1</f>
        <v>5.6679748822606024</v>
      </c>
      <c r="F6" s="126">
        <v>0.95</v>
      </c>
      <c r="G6" s="118">
        <f t="shared" si="0"/>
        <v>2267.1899529042412</v>
      </c>
      <c r="H6" s="119">
        <f t="shared" si="1"/>
        <v>2153.8304552590289</v>
      </c>
      <c r="I6" s="80">
        <f>VLOOKUP(B6,All_Ingredients!$A$1:$F$149,6,FALSE())</f>
        <v>1</v>
      </c>
      <c r="J6" s="118">
        <f>VLOOKUP(B6,All_Ingredients!$A$1:$J$149,10,FALSE())</f>
        <v>17.480211081794195</v>
      </c>
      <c r="K6" s="121">
        <f t="shared" ref="K6:K17" si="7">(H6/I6)/1000</f>
        <v>2.1538304552590288</v>
      </c>
      <c r="L6" s="121">
        <f t="shared" ref="L6:L17" si="8">K6*J6</f>
        <v>37.649410992324711</v>
      </c>
      <c r="AI6" s="78" t="s">
        <v>56</v>
      </c>
      <c r="AJ6" s="322" t="s">
        <v>55</v>
      </c>
      <c r="AK6" s="333" t="s">
        <v>14</v>
      </c>
      <c r="AL6" s="115">
        <v>100</v>
      </c>
      <c r="AM6" s="196">
        <f t="shared" si="4"/>
        <v>3.1382007822685782</v>
      </c>
      <c r="AN6" s="126">
        <v>1</v>
      </c>
      <c r="AO6" s="120">
        <f t="shared" si="5"/>
        <v>313.82007822685785</v>
      </c>
      <c r="AP6" s="119">
        <f t="shared" si="6"/>
        <v>313.82007822685785</v>
      </c>
      <c r="AQ6" s="1153">
        <f>VLOOKUP(AJ6,Marination_Ordering!$A:$J,6,FALSE)</f>
        <v>0.87</v>
      </c>
      <c r="AR6" s="1153">
        <f>VLOOKUP(AJ6,Marination_Ordering!$A:$J,10,FALSE)</f>
        <v>3.2</v>
      </c>
      <c r="AS6" s="174">
        <f>AP6/AQ6</f>
        <v>360.71273359408946</v>
      </c>
      <c r="AT6" s="1153">
        <f>AR6*(AS6/1000)</f>
        <v>1.1542807475010863</v>
      </c>
    </row>
    <row r="7" spans="1:46" ht="14.25" customHeight="1" x14ac:dyDescent="0.3">
      <c r="A7" s="127" t="s">
        <v>192</v>
      </c>
      <c r="B7" s="400" t="s">
        <v>194</v>
      </c>
      <c r="C7" s="123" t="s">
        <v>161</v>
      </c>
      <c r="D7" s="124">
        <v>35</v>
      </c>
      <c r="E7" s="196">
        <f t="shared" ref="E7:E20" si="9">$I$1</f>
        <v>5.6679748822606024</v>
      </c>
      <c r="F7" s="126">
        <v>0.95</v>
      </c>
      <c r="G7" s="118">
        <f t="shared" si="0"/>
        <v>198.37912087912107</v>
      </c>
      <c r="H7" s="119">
        <f t="shared" si="1"/>
        <v>188.46016483516502</v>
      </c>
      <c r="I7" s="80">
        <f>VLOOKUP(B7,All_Ingredients!$A$1:$F$149,6,FALSE())</f>
        <v>1</v>
      </c>
      <c r="J7" s="118">
        <f>VLOOKUP(B7,All_Ingredients!$A$1:$J$149,10,FALSE())</f>
        <v>58.685446009389672</v>
      </c>
      <c r="K7" s="121">
        <f t="shared" si="7"/>
        <v>0.18846016483516501</v>
      </c>
      <c r="L7" s="121">
        <f t="shared" si="8"/>
        <v>11.059868828354753</v>
      </c>
      <c r="AI7" s="78" t="s">
        <v>13</v>
      </c>
      <c r="AJ7" s="322" t="s">
        <v>762</v>
      </c>
      <c r="AK7" s="333" t="s">
        <v>14</v>
      </c>
      <c r="AL7" s="115">
        <v>200</v>
      </c>
      <c r="AM7" s="196">
        <f t="shared" si="4"/>
        <v>3.1382007822685782</v>
      </c>
      <c r="AN7" s="126">
        <v>1</v>
      </c>
      <c r="AO7" s="120">
        <f t="shared" si="5"/>
        <v>627.64015645371569</v>
      </c>
      <c r="AP7" s="119">
        <f t="shared" si="6"/>
        <v>627.64015645371569</v>
      </c>
      <c r="AQ7" s="1153">
        <f>VLOOKUP(AJ7,Marination_Ordering!$A:$J,6,FALSE)</f>
        <v>1</v>
      </c>
      <c r="AR7" s="1153">
        <f>VLOOKUP(AJ7,Marination_Ordering!$A:$J,10,FALSE)</f>
        <v>10.5</v>
      </c>
      <c r="AS7" s="174">
        <f t="shared" ref="AS7:AS9" si="10">AP7/AQ7</f>
        <v>627.64015645371569</v>
      </c>
      <c r="AT7" s="1153">
        <f t="shared" ref="AT7:AT9" si="11">AR7*(AS7/1000)</f>
        <v>6.590221642764015</v>
      </c>
    </row>
    <row r="8" spans="1:46" ht="14.25" customHeight="1" x14ac:dyDescent="0.3">
      <c r="A8" s="127" t="s">
        <v>95</v>
      </c>
      <c r="B8" s="400" t="s">
        <v>111</v>
      </c>
      <c r="C8" s="123" t="s">
        <v>14</v>
      </c>
      <c r="D8" s="124">
        <v>10</v>
      </c>
      <c r="E8" s="196">
        <f t="shared" si="9"/>
        <v>5.6679748822606024</v>
      </c>
      <c r="F8" s="126">
        <v>1</v>
      </c>
      <c r="G8" s="118">
        <f t="shared" si="0"/>
        <v>56.679748822606022</v>
      </c>
      <c r="H8" s="119">
        <f t="shared" si="1"/>
        <v>56.679748822606022</v>
      </c>
      <c r="I8" s="80">
        <f>VLOOKUP(B8,All_Ingredients!$A$1:$F$149,6,FALSE())</f>
        <v>1</v>
      </c>
      <c r="J8" s="118">
        <f>VLOOKUP(B8,All_Ingredients!$A$1:$J$149,10,FALSE())</f>
        <v>64.243759177679877</v>
      </c>
      <c r="K8" s="121">
        <f t="shared" si="7"/>
        <v>5.667974882260602E-2</v>
      </c>
      <c r="L8" s="121">
        <f t="shared" si="8"/>
        <v>3.6413201336108858</v>
      </c>
      <c r="AI8" s="78" t="s">
        <v>206</v>
      </c>
      <c r="AJ8" s="322" t="s">
        <v>214</v>
      </c>
      <c r="AK8" s="333" t="s">
        <v>161</v>
      </c>
      <c r="AL8" s="115">
        <v>350</v>
      </c>
      <c r="AM8" s="196">
        <f t="shared" si="4"/>
        <v>3.1382007822685782</v>
      </c>
      <c r="AN8" s="126">
        <v>1</v>
      </c>
      <c r="AO8" s="120">
        <f t="shared" si="5"/>
        <v>1098.3702737940023</v>
      </c>
      <c r="AP8" s="119">
        <f t="shared" si="6"/>
        <v>1098.3702737940023</v>
      </c>
      <c r="AQ8" s="1153">
        <f>VLOOKUP(AJ8,Marination_Ordering!$A:$J,6,FALSE)</f>
        <v>1</v>
      </c>
      <c r="AR8" s="1153">
        <f>VLOOKUP(AJ8,Marination_Ordering!$A:$J,10,FALSE)</f>
        <v>5</v>
      </c>
      <c r="AS8" s="174">
        <f t="shared" si="10"/>
        <v>1098.3702737940023</v>
      </c>
      <c r="AT8" s="1153">
        <f t="shared" si="11"/>
        <v>5.4918513689700106</v>
      </c>
    </row>
    <row r="9" spans="1:46" ht="14.25" customHeight="1" x14ac:dyDescent="0.3">
      <c r="A9" s="127" t="s">
        <v>95</v>
      </c>
      <c r="B9" s="400" t="s">
        <v>150</v>
      </c>
      <c r="C9" s="123" t="s">
        <v>14</v>
      </c>
      <c r="D9" s="124">
        <v>10</v>
      </c>
      <c r="E9" s="196">
        <f t="shared" si="9"/>
        <v>5.6679748822606024</v>
      </c>
      <c r="F9" s="126">
        <v>1</v>
      </c>
      <c r="G9" s="118">
        <f t="shared" si="0"/>
        <v>56.679748822606022</v>
      </c>
      <c r="H9" s="119">
        <f t="shared" si="1"/>
        <v>56.679748822606022</v>
      </c>
      <c r="I9" s="80">
        <f>VLOOKUP(B9,All_Ingredients!$A$1:$F$149,6,FALSE())</f>
        <v>1</v>
      </c>
      <c r="J9" s="118">
        <f>VLOOKUP(B9,All_Ingredients!$A$1:$J$149,10,FALSE())</f>
        <v>10</v>
      </c>
      <c r="K9" s="121">
        <f t="shared" si="7"/>
        <v>5.667974882260602E-2</v>
      </c>
      <c r="L9" s="121">
        <f t="shared" si="8"/>
        <v>0.56679748822606024</v>
      </c>
      <c r="AI9" s="78" t="s">
        <v>206</v>
      </c>
      <c r="AJ9" s="322" t="s">
        <v>210</v>
      </c>
      <c r="AK9" s="123" t="s">
        <v>161</v>
      </c>
      <c r="AL9" s="222">
        <v>50</v>
      </c>
      <c r="AM9" s="196">
        <f t="shared" si="4"/>
        <v>3.1382007822685782</v>
      </c>
      <c r="AN9" s="126">
        <v>1</v>
      </c>
      <c r="AO9" s="120">
        <f t="shared" si="5"/>
        <v>156.91003911342892</v>
      </c>
      <c r="AP9" s="119">
        <f t="shared" si="6"/>
        <v>156.91003911342892</v>
      </c>
      <c r="AQ9" s="1153">
        <f>VLOOKUP(AJ9,Marination_Ordering!$A:$J,6,FALSE)</f>
        <v>1</v>
      </c>
      <c r="AR9" s="1153">
        <f>VLOOKUP(AJ9,Marination_Ordering!$A:$J,10,FALSE)</f>
        <v>2.1621621621621623</v>
      </c>
      <c r="AS9" s="174">
        <f t="shared" si="10"/>
        <v>156.91003911342892</v>
      </c>
      <c r="AT9" s="1153">
        <f t="shared" si="11"/>
        <v>0.33926494943444097</v>
      </c>
    </row>
    <row r="10" spans="1:46" ht="14.25" customHeight="1" x14ac:dyDescent="0.3">
      <c r="A10" s="127" t="s">
        <v>95</v>
      </c>
      <c r="B10" s="400" t="s">
        <v>106</v>
      </c>
      <c r="C10" s="123" t="s">
        <v>14</v>
      </c>
      <c r="D10" s="124">
        <v>10</v>
      </c>
      <c r="E10" s="196">
        <f t="shared" si="9"/>
        <v>5.6679748822606024</v>
      </c>
      <c r="F10" s="126">
        <v>0.75</v>
      </c>
      <c r="G10" s="118">
        <f t="shared" si="0"/>
        <v>56.679748822606022</v>
      </c>
      <c r="H10" s="119">
        <f t="shared" si="1"/>
        <v>42.509811616954515</v>
      </c>
      <c r="I10" s="80">
        <f>VLOOKUP(B10,All_Ingredients!$A$1:$F$149,6,FALSE())</f>
        <v>1</v>
      </c>
      <c r="J10" s="118">
        <f>VLOOKUP(B10,All_Ingredients!$A$1:$J$149,10,FALSE())</f>
        <v>15</v>
      </c>
      <c r="K10" s="121">
        <f t="shared" si="7"/>
        <v>4.2509811616954517E-2</v>
      </c>
      <c r="L10" s="121">
        <f t="shared" si="8"/>
        <v>0.63764717425431772</v>
      </c>
      <c r="AI10" s="78" t="s">
        <v>95</v>
      </c>
      <c r="AJ10" s="322" t="s">
        <v>94</v>
      </c>
      <c r="AK10" s="333" t="s">
        <v>14</v>
      </c>
      <c r="AL10" s="115">
        <v>2</v>
      </c>
      <c r="AM10" s="196">
        <f t="shared" si="4"/>
        <v>3.1382007822685782</v>
      </c>
      <c r="AN10" s="126">
        <v>1</v>
      </c>
      <c r="AO10" s="120">
        <f t="shared" si="5"/>
        <v>6.2764015645371565</v>
      </c>
      <c r="AP10" s="119">
        <f t="shared" si="6"/>
        <v>6.2764015645371565</v>
      </c>
      <c r="AQ10" s="1153">
        <f>VLOOKUP(AJ10,Marination_Ordering!$A:$J,6,FALSE)</f>
        <v>1</v>
      </c>
      <c r="AR10" s="1153">
        <f>VLOOKUP(AJ10,Marination_Ordering!$A:$J,10,FALSE)</f>
        <v>0.74</v>
      </c>
      <c r="AS10" s="174">
        <f t="shared" ref="AS10:AS13" si="12">AP10/AQ10</f>
        <v>6.2764015645371565</v>
      </c>
      <c r="AT10" s="1153">
        <f t="shared" ref="AT10:AT13" si="13">AR10*(AS10/1000)</f>
        <v>4.6445371577574961E-3</v>
      </c>
    </row>
    <row r="11" spans="1:46" ht="14.25" customHeight="1" x14ac:dyDescent="0.3">
      <c r="A11" s="127" t="s">
        <v>95</v>
      </c>
      <c r="B11" s="400" t="s">
        <v>100</v>
      </c>
      <c r="C11" s="123" t="s">
        <v>14</v>
      </c>
      <c r="D11" s="124">
        <v>6</v>
      </c>
      <c r="E11" s="196">
        <f t="shared" si="9"/>
        <v>5.6679748822606024</v>
      </c>
      <c r="F11" s="126">
        <v>1</v>
      </c>
      <c r="G11" s="118">
        <f t="shared" si="0"/>
        <v>34.007849293563616</v>
      </c>
      <c r="H11" s="119">
        <f t="shared" si="1"/>
        <v>34.007849293563616</v>
      </c>
      <c r="I11" s="80">
        <f>VLOOKUP(B11,All_Ingredients!$A$1:$F$149,6,FALSE())</f>
        <v>1</v>
      </c>
      <c r="J11" s="118">
        <f>VLOOKUP(B11,All_Ingredients!$A$1:$J$149,10,FALSE())</f>
        <v>31</v>
      </c>
      <c r="K11" s="121">
        <f t="shared" si="7"/>
        <v>3.4007849293563618E-2</v>
      </c>
      <c r="L11" s="121">
        <f t="shared" si="8"/>
        <v>1.0542433281004722</v>
      </c>
      <c r="AI11" s="78" t="s">
        <v>95</v>
      </c>
      <c r="AJ11" s="322" t="s">
        <v>100</v>
      </c>
      <c r="AK11" s="333" t="s">
        <v>14</v>
      </c>
      <c r="AL11" s="115">
        <v>2</v>
      </c>
      <c r="AM11" s="196">
        <f t="shared" si="4"/>
        <v>3.1382007822685782</v>
      </c>
      <c r="AN11" s="126">
        <v>1</v>
      </c>
      <c r="AO11" s="120">
        <f t="shared" si="5"/>
        <v>6.2764015645371565</v>
      </c>
      <c r="AP11" s="119">
        <f t="shared" si="6"/>
        <v>6.2764015645371565</v>
      </c>
      <c r="AQ11" s="1153">
        <f>VLOOKUP(AJ11,Marination_Ordering!$A:$J,6,FALSE)</f>
        <v>1</v>
      </c>
      <c r="AR11" s="1153">
        <f>VLOOKUP(AJ11,Marination_Ordering!$A:$J,10,FALSE)</f>
        <v>31</v>
      </c>
      <c r="AS11" s="174">
        <f t="shared" si="12"/>
        <v>6.2764015645371565</v>
      </c>
      <c r="AT11" s="1153">
        <f t="shared" si="13"/>
        <v>0.19456844850065186</v>
      </c>
    </row>
    <row r="12" spans="1:46" ht="14.25" customHeight="1" x14ac:dyDescent="0.3">
      <c r="A12" s="127" t="s">
        <v>95</v>
      </c>
      <c r="B12" s="80" t="s">
        <v>94</v>
      </c>
      <c r="C12" s="123" t="s">
        <v>14</v>
      </c>
      <c r="D12" s="124">
        <v>11</v>
      </c>
      <c r="E12" s="196">
        <f t="shared" si="9"/>
        <v>5.6679748822606024</v>
      </c>
      <c r="F12" s="126">
        <v>0.75</v>
      </c>
      <c r="G12" s="118">
        <f t="shared" si="0"/>
        <v>62.347723704866624</v>
      </c>
      <c r="H12" s="119">
        <f t="shared" si="1"/>
        <v>46.760792778649972</v>
      </c>
      <c r="I12" s="80">
        <f>VLOOKUP(B12,All_Ingredients!$A$1:$F$149,6,FALSE())</f>
        <v>1</v>
      </c>
      <c r="J12" s="118">
        <f>VLOOKUP(B12,All_Ingredients!$A$1:$J$149,10,FALSE())</f>
        <v>0.74</v>
      </c>
      <c r="K12" s="121">
        <f t="shared" si="7"/>
        <v>4.6760792778649973E-2</v>
      </c>
      <c r="L12" s="121">
        <f t="shared" si="8"/>
        <v>3.4602986656200978E-2</v>
      </c>
      <c r="AI12" s="78" t="s">
        <v>95</v>
      </c>
      <c r="AJ12" s="322" t="s">
        <v>111</v>
      </c>
      <c r="AK12" s="333" t="s">
        <v>14</v>
      </c>
      <c r="AL12" s="115">
        <v>7</v>
      </c>
      <c r="AM12" s="196">
        <f t="shared" si="4"/>
        <v>3.1382007822685782</v>
      </c>
      <c r="AN12" s="126">
        <v>1</v>
      </c>
      <c r="AO12" s="120">
        <f t="shared" si="5"/>
        <v>21.967405475880049</v>
      </c>
      <c r="AP12" s="119">
        <f t="shared" si="6"/>
        <v>21.967405475880049</v>
      </c>
      <c r="AQ12" s="1153">
        <f>VLOOKUP(AJ12,Marination_Ordering!$A:$J,6,FALSE)</f>
        <v>1</v>
      </c>
      <c r="AR12" s="1153">
        <f>VLOOKUP(AJ12,Marination_Ordering!$A:$J,10,FALSE)</f>
        <v>64.243759177679877</v>
      </c>
      <c r="AS12" s="174">
        <f t="shared" si="12"/>
        <v>21.967405475880049</v>
      </c>
      <c r="AT12" s="1153">
        <f t="shared" si="13"/>
        <v>1.411268707150884</v>
      </c>
    </row>
    <row r="13" spans="1:46" ht="14.25" customHeight="1" x14ac:dyDescent="0.3">
      <c r="A13" s="127" t="s">
        <v>206</v>
      </c>
      <c r="B13" s="80" t="s">
        <v>214</v>
      </c>
      <c r="C13" s="123" t="s">
        <v>161</v>
      </c>
      <c r="D13" s="124">
        <v>60</v>
      </c>
      <c r="E13" s="196">
        <f t="shared" si="9"/>
        <v>5.6679748822606024</v>
      </c>
      <c r="F13" s="126">
        <v>1</v>
      </c>
      <c r="G13" s="118">
        <f t="shared" si="0"/>
        <v>340.07849293563612</v>
      </c>
      <c r="H13" s="119">
        <f t="shared" si="1"/>
        <v>340.07849293563612</v>
      </c>
      <c r="I13" s="80">
        <f>VLOOKUP(B13,All_Ingredients!$A$1:$F$149,6,FALSE())</f>
        <v>1</v>
      </c>
      <c r="J13" s="118">
        <f>VLOOKUP(B13,All_Ingredients!$A$1:$J$149,10,FALSE())</f>
        <v>5</v>
      </c>
      <c r="K13" s="121">
        <f t="shared" si="7"/>
        <v>0.34007849293563613</v>
      </c>
      <c r="L13" s="121">
        <f t="shared" si="8"/>
        <v>1.7003924646781807</v>
      </c>
      <c r="AI13" s="78" t="s">
        <v>192</v>
      </c>
      <c r="AJ13" s="322" t="s">
        <v>191</v>
      </c>
      <c r="AK13" s="333" t="s">
        <v>161</v>
      </c>
      <c r="AL13" s="124">
        <v>3</v>
      </c>
      <c r="AM13" s="196">
        <f t="shared" si="4"/>
        <v>3.1382007822685782</v>
      </c>
      <c r="AN13" s="126">
        <v>1</v>
      </c>
      <c r="AO13" s="120">
        <f t="shared" si="5"/>
        <v>9.4146023468057347</v>
      </c>
      <c r="AP13" s="119">
        <f t="shared" si="6"/>
        <v>9.4146023468057347</v>
      </c>
      <c r="AQ13" s="1153">
        <f>VLOOKUP(AJ13,Marination_Ordering!$A:$J,6,FALSE)</f>
        <v>1</v>
      </c>
      <c r="AR13" s="1153">
        <f>VLOOKUP(AJ13,Marination_Ordering!$A:$J,10,FALSE)</f>
        <v>17.480211081794195</v>
      </c>
      <c r="AS13" s="174">
        <f t="shared" si="12"/>
        <v>9.4146023468057347</v>
      </c>
      <c r="AT13" s="1153">
        <f t="shared" si="13"/>
        <v>0.16456923627331924</v>
      </c>
    </row>
    <row r="14" spans="1:46" ht="14.25" customHeight="1" x14ac:dyDescent="0.3">
      <c r="A14" s="127" t="s">
        <v>182</v>
      </c>
      <c r="B14" s="80" t="s">
        <v>185</v>
      </c>
      <c r="C14" s="123" t="s">
        <v>14</v>
      </c>
      <c r="D14" s="124">
        <v>35</v>
      </c>
      <c r="E14" s="196">
        <f t="shared" si="9"/>
        <v>5.6679748822606024</v>
      </c>
      <c r="F14" s="126">
        <v>1</v>
      </c>
      <c r="G14" s="118">
        <f t="shared" si="0"/>
        <v>198.37912087912107</v>
      </c>
      <c r="H14" s="119">
        <f t="shared" si="1"/>
        <v>198.37912087912107</v>
      </c>
      <c r="I14" s="80">
        <f>VLOOKUP(B14,All_Ingredients!$A$1:$F$149,6,FALSE())</f>
        <v>1</v>
      </c>
      <c r="J14" s="118">
        <f>VLOOKUP(B14,All_Ingredients!$A$1:$J$149,10,FALSE())</f>
        <v>17</v>
      </c>
      <c r="K14" s="121">
        <f t="shared" si="7"/>
        <v>0.19837912087912107</v>
      </c>
      <c r="L14" s="121">
        <f t="shared" si="8"/>
        <v>3.3724450549450582</v>
      </c>
    </row>
    <row r="15" spans="1:46" ht="14.25" customHeight="1" x14ac:dyDescent="0.3">
      <c r="A15" s="127" t="s">
        <v>206</v>
      </c>
      <c r="B15" s="80" t="s">
        <v>205</v>
      </c>
      <c r="C15" s="123" t="s">
        <v>161</v>
      </c>
      <c r="D15" s="124">
        <v>500</v>
      </c>
      <c r="E15" s="196">
        <f t="shared" si="9"/>
        <v>5.6679748822606024</v>
      </c>
      <c r="F15" s="126">
        <v>1</v>
      </c>
      <c r="G15" s="118">
        <f t="shared" si="0"/>
        <v>2833.9874411303012</v>
      </c>
      <c r="H15" s="119">
        <f t="shared" si="1"/>
        <v>2833.9874411303012</v>
      </c>
      <c r="I15" s="80">
        <f>VLOOKUP(B15,All_Ingredients!$A$1:$F$149,6,FALSE())</f>
        <v>1</v>
      </c>
      <c r="J15" s="118">
        <f>VLOOKUP(B15,All_Ingredients!$A$1:$J$149,10,FALSE())</f>
        <v>0</v>
      </c>
      <c r="K15" s="121">
        <f t="shared" si="7"/>
        <v>2.8339874411303012</v>
      </c>
      <c r="L15" s="121">
        <f t="shared" si="8"/>
        <v>0</v>
      </c>
    </row>
    <row r="16" spans="1:46" ht="14.25" customHeight="1" x14ac:dyDescent="0.3">
      <c r="A16" s="127" t="s">
        <v>188</v>
      </c>
      <c r="B16" s="80" t="s">
        <v>189</v>
      </c>
      <c r="C16" s="123" t="s">
        <v>14</v>
      </c>
      <c r="D16" s="124">
        <v>40</v>
      </c>
      <c r="E16" s="196">
        <f t="shared" si="9"/>
        <v>5.6679748822606024</v>
      </c>
      <c r="F16" s="126">
        <v>1</v>
      </c>
      <c r="G16" s="118">
        <f t="shared" si="0"/>
        <v>226.71899529042409</v>
      </c>
      <c r="H16" s="119">
        <f t="shared" si="1"/>
        <v>226.71899529042409</v>
      </c>
      <c r="I16" s="80">
        <f>VLOOKUP(B16,All_Ingredients!$A$1:$F$149,6,FALSE())</f>
        <v>0.9</v>
      </c>
      <c r="J16" s="118">
        <f>VLOOKUP(B16,All_Ingredients!$A$1:$J$149,10,FALSE())</f>
        <v>2.3199999999999998</v>
      </c>
      <c r="K16" s="121">
        <f t="shared" si="7"/>
        <v>0.25190999476713788</v>
      </c>
      <c r="L16" s="121">
        <f t="shared" si="8"/>
        <v>0.58443118785975989</v>
      </c>
    </row>
    <row r="17" spans="1:31" ht="14.25" customHeight="1" x14ac:dyDescent="0.35">
      <c r="A17" s="127" t="s">
        <v>192</v>
      </c>
      <c r="B17" s="80" t="s">
        <v>200</v>
      </c>
      <c r="C17" s="992" t="s">
        <v>161</v>
      </c>
      <c r="D17" s="124">
        <v>40</v>
      </c>
      <c r="E17" s="196">
        <f t="shared" si="9"/>
        <v>5.6679748822606024</v>
      </c>
      <c r="F17" s="126">
        <v>1</v>
      </c>
      <c r="G17" s="118">
        <f t="shared" si="0"/>
        <v>226.71899529042409</v>
      </c>
      <c r="H17" s="119">
        <f t="shared" si="1"/>
        <v>226.71899529042409</v>
      </c>
      <c r="I17" s="80">
        <f>VLOOKUP(B17,All_Ingredients!$A$1:$F$149,6,FALSE())</f>
        <v>1</v>
      </c>
      <c r="J17" s="118">
        <f>VLOOKUP(B17,All_Ingredients!$A$1:$J$149,10,FALSE())</f>
        <v>3.25</v>
      </c>
      <c r="K17" s="121">
        <f t="shared" si="7"/>
        <v>0.22671899529042408</v>
      </c>
      <c r="L17" s="121">
        <f t="shared" si="8"/>
        <v>0.73683673469387823</v>
      </c>
    </row>
    <row r="18" spans="1:31" x14ac:dyDescent="0.3">
      <c r="B18" s="625" t="s">
        <v>28</v>
      </c>
      <c r="C18" s="626" t="s">
        <v>14</v>
      </c>
      <c r="D18" s="627">
        <v>140</v>
      </c>
      <c r="E18" s="628">
        <f t="shared" si="9"/>
        <v>5.6679748822606024</v>
      </c>
      <c r="F18" s="629">
        <v>1</v>
      </c>
      <c r="G18" s="630">
        <f>D18*E18</f>
        <v>793.5164835164843</v>
      </c>
      <c r="H18" s="631">
        <f>G18*F18</f>
        <v>793.5164835164843</v>
      </c>
    </row>
    <row r="19" spans="1:31" ht="14.25" customHeight="1" x14ac:dyDescent="0.3">
      <c r="B19" s="625" t="s">
        <v>30</v>
      </c>
      <c r="C19" s="626" t="s">
        <v>14</v>
      </c>
      <c r="D19" s="627">
        <v>140</v>
      </c>
      <c r="E19" s="628">
        <f t="shared" si="9"/>
        <v>5.6679748822606024</v>
      </c>
      <c r="F19" s="629">
        <v>1</v>
      </c>
      <c r="G19" s="630">
        <f>D19*E19</f>
        <v>793.5164835164843</v>
      </c>
      <c r="H19" s="631">
        <f>G19*F19</f>
        <v>793.5164835164843</v>
      </c>
      <c r="L19" s="296"/>
      <c r="R19" s="401" t="s">
        <v>367</v>
      </c>
    </row>
    <row r="20" spans="1:31" ht="14.25" customHeight="1" x14ac:dyDescent="0.3">
      <c r="B20" s="625" t="s">
        <v>32</v>
      </c>
      <c r="C20" s="626" t="s">
        <v>14</v>
      </c>
      <c r="D20" s="627">
        <v>140</v>
      </c>
      <c r="E20" s="628">
        <f t="shared" si="9"/>
        <v>5.6679748822606024</v>
      </c>
      <c r="F20" s="629">
        <v>1</v>
      </c>
      <c r="G20" s="630">
        <f>D20*E20</f>
        <v>793.5164835164843</v>
      </c>
      <c r="H20" s="631">
        <f>G20*F20</f>
        <v>793.5164835164843</v>
      </c>
      <c r="L20" s="296"/>
      <c r="R20" s="401" t="s">
        <v>368</v>
      </c>
    </row>
    <row r="21" spans="1:31" ht="14.25" customHeight="1" x14ac:dyDescent="0.3">
      <c r="L21" s="296"/>
    </row>
    <row r="22" spans="1:31" ht="14.25" customHeight="1" x14ac:dyDescent="0.3">
      <c r="L22" s="296"/>
    </row>
    <row r="23" spans="1:31" ht="14.25" customHeight="1" x14ac:dyDescent="0.3">
      <c r="L23" s="296"/>
    </row>
    <row r="24" spans="1:31" ht="14.25" customHeight="1" x14ac:dyDescent="0.3">
      <c r="L24" s="296"/>
      <c r="Z24" s="1208"/>
    </row>
    <row r="25" spans="1:31" ht="18.75" customHeight="1" x14ac:dyDescent="0.35">
      <c r="L25" s="296"/>
      <c r="R25" s="1440" t="s">
        <v>369</v>
      </c>
      <c r="S25" s="1444"/>
      <c r="T25" s="1444"/>
      <c r="U25" s="1444"/>
      <c r="V25" s="1132"/>
      <c r="Z25" s="140" t="s">
        <v>256</v>
      </c>
      <c r="AA25" s="141">
        <v>1</v>
      </c>
      <c r="AB25" s="140" t="s">
        <v>253</v>
      </c>
      <c r="AC25" s="142">
        <f>(AA25*AE30)+(AA30*(AB28/R1))</f>
        <v>2.9067009349955205E-2</v>
      </c>
    </row>
    <row r="26" spans="1:31" ht="14.25" customHeight="1" x14ac:dyDescent="0.3">
      <c r="L26" s="296"/>
      <c r="R26" s="1459" t="s">
        <v>301</v>
      </c>
      <c r="S26" s="1444"/>
      <c r="T26" s="1444"/>
      <c r="U26" s="1444"/>
      <c r="V26" s="1132"/>
    </row>
    <row r="27" spans="1:31" ht="14.25" customHeight="1" thickBot="1" x14ac:dyDescent="0.35">
      <c r="L27" s="296"/>
      <c r="R27" s="144" t="s">
        <v>258</v>
      </c>
      <c r="S27" s="145" t="s">
        <v>259</v>
      </c>
      <c r="T27" s="145" t="s">
        <v>260</v>
      </c>
      <c r="U27" s="145" t="s">
        <v>266</v>
      </c>
      <c r="V27" s="145" t="s">
        <v>808</v>
      </c>
      <c r="W27" s="145" t="s">
        <v>817</v>
      </c>
      <c r="Z27" s="140" t="s">
        <v>262</v>
      </c>
      <c r="AA27" s="1166" t="s">
        <v>316</v>
      </c>
      <c r="AB27" s="146" t="s">
        <v>263</v>
      </c>
      <c r="AC27" s="146" t="s">
        <v>264</v>
      </c>
      <c r="AD27" s="1167" t="s">
        <v>817</v>
      </c>
      <c r="AE27" s="146" t="s">
        <v>266</v>
      </c>
    </row>
    <row r="28" spans="1:31" ht="14.25" customHeight="1" thickBot="1" x14ac:dyDescent="0.35">
      <c r="R28" s="147" t="s">
        <v>267</v>
      </c>
      <c r="S28" s="1371">
        <f>U28*S40</f>
        <v>17746.15384615384</v>
      </c>
      <c r="T28" s="1371">
        <f>U28*U40</f>
        <v>5323.8461538461588</v>
      </c>
      <c r="U28" s="1342">
        <f>$Z$1</f>
        <v>23070</v>
      </c>
      <c r="V28" s="148">
        <f>SUM(AP5:AP13)</f>
        <v>2272.0573663624505</v>
      </c>
      <c r="W28" s="148">
        <f>SUM(I37:I38)</f>
        <v>0</v>
      </c>
      <c r="Z28" s="150"/>
      <c r="AA28" s="1169"/>
      <c r="AB28" s="1181">
        <f>AA25*$S$40</f>
        <v>0.76923076923076905</v>
      </c>
      <c r="AC28" s="1181">
        <f>AA25*$U$40</f>
        <v>0.230769230769231</v>
      </c>
      <c r="AD28" s="1169"/>
      <c r="AE28" s="153">
        <f>SUM(AB28:AC28)</f>
        <v>1</v>
      </c>
    </row>
    <row r="29" spans="1:31" ht="14.25" customHeight="1" thickBot="1" x14ac:dyDescent="0.35">
      <c r="R29" s="147" t="s">
        <v>268</v>
      </c>
      <c r="S29" s="1374"/>
      <c r="T29" s="148"/>
      <c r="U29" s="1371">
        <f>T29</f>
        <v>0</v>
      </c>
      <c r="V29" s="148"/>
      <c r="W29" s="148"/>
      <c r="Z29" s="150"/>
      <c r="AA29" s="1173"/>
      <c r="AB29" s="155">
        <f>AB28/$AE$28</f>
        <v>0.76923076923076905</v>
      </c>
      <c r="AC29" s="155">
        <f>AC28/$AE$28</f>
        <v>0.230769230769231</v>
      </c>
      <c r="AD29" s="1173"/>
      <c r="AE29" s="155">
        <f>AE28/$AE$28</f>
        <v>1</v>
      </c>
    </row>
    <row r="30" spans="1:31" ht="14.25" customHeight="1" thickBot="1" x14ac:dyDescent="0.35">
      <c r="R30" s="147" t="s">
        <v>269</v>
      </c>
      <c r="S30" s="1382">
        <f>U30*S40</f>
        <v>769.23076923076906</v>
      </c>
      <c r="T30" s="1382">
        <f>U30*U40</f>
        <v>230.769230769231</v>
      </c>
      <c r="U30" s="1342">
        <f>$AB$1</f>
        <v>1000</v>
      </c>
      <c r="V30" s="1124"/>
      <c r="W30" s="1124"/>
      <c r="Z30" s="140" t="s">
        <v>270</v>
      </c>
      <c r="AA30" s="1177">
        <f>V35/(S32/R1)</f>
        <v>4.8915511475512729E-4</v>
      </c>
      <c r="AB30" s="156">
        <f>S35/(S32)</f>
        <v>3.3701221915648408E-2</v>
      </c>
      <c r="AC30" s="157">
        <f>T35/T32</f>
        <v>1.0856045912022355E-2</v>
      </c>
      <c r="AD30" s="1175">
        <f>W35/(U32)</f>
        <v>0</v>
      </c>
      <c r="AE30" s="1270">
        <f>SUMPRODUCT(AB30:AC30,AB29:AC29)+AD30</f>
        <v>2.8429258222503931E-2</v>
      </c>
    </row>
    <row r="31" spans="1:31" ht="14.25" customHeight="1" thickBot="1" x14ac:dyDescent="0.35">
      <c r="R31" s="147" t="s">
        <v>271</v>
      </c>
      <c r="S31" s="154"/>
      <c r="T31" s="148"/>
      <c r="U31" s="148"/>
      <c r="V31" s="148"/>
      <c r="W31" s="148"/>
    </row>
    <row r="32" spans="1:31" ht="14.25" customHeight="1" thickBot="1" x14ac:dyDescent="0.35">
      <c r="R32" s="159" t="s">
        <v>261</v>
      </c>
      <c r="S32" s="148">
        <f>SUM(S28:S30)</f>
        <v>18515.38461538461</v>
      </c>
      <c r="T32" s="148">
        <f>SUM(T28:T30)</f>
        <v>5554.6153846153902</v>
      </c>
      <c r="U32" s="148">
        <f>SUM(U28:U30)</f>
        <v>24070</v>
      </c>
      <c r="V32" s="148"/>
      <c r="W32" s="148">
        <f>SUM(W28:W30)</f>
        <v>0</v>
      </c>
    </row>
    <row r="33" spans="2:23" ht="14.25" customHeight="1" thickBot="1" x14ac:dyDescent="0.35">
      <c r="B33" s="99"/>
      <c r="E33" s="99"/>
      <c r="F33" s="99"/>
      <c r="R33" s="160" t="s">
        <v>272</v>
      </c>
      <c r="S33" s="154"/>
      <c r="T33" s="154"/>
      <c r="U33" s="154"/>
      <c r="V33" s="154"/>
      <c r="W33" s="154"/>
    </row>
    <row r="34" spans="2:23" ht="14.25" customHeight="1" thickBot="1" x14ac:dyDescent="0.35">
      <c r="B34" s="99"/>
      <c r="E34" s="99"/>
      <c r="F34" s="99"/>
      <c r="R34" s="161" t="s">
        <v>273</v>
      </c>
      <c r="S34" s="154"/>
      <c r="T34" s="148"/>
      <c r="U34" s="154"/>
      <c r="V34" s="154"/>
      <c r="W34" s="154"/>
    </row>
    <row r="35" spans="2:23" ht="14.25" customHeight="1" thickBot="1" x14ac:dyDescent="0.35">
      <c r="B35" s="99"/>
      <c r="E35" s="99"/>
      <c r="F35" s="99"/>
      <c r="R35" s="162" t="s">
        <v>253</v>
      </c>
      <c r="S35" s="1125">
        <f>$L$5</f>
        <v>623.99108577665913</v>
      </c>
      <c r="T35" s="1125">
        <f>SUM(L6:L16)</f>
        <v>60.301159639010393</v>
      </c>
      <c r="U35" s="1184">
        <f>S35+T35+V35</f>
        <v>699.64291505342169</v>
      </c>
      <c r="V35" s="1125">
        <f>SUM(AT6:AT13)</f>
        <v>15.350669637752164</v>
      </c>
      <c r="W35" s="1184">
        <f>SUM(M37:M38)</f>
        <v>0</v>
      </c>
    </row>
    <row r="36" spans="2:23" ht="14.25" customHeight="1" x14ac:dyDescent="0.3">
      <c r="B36" s="99"/>
      <c r="E36" s="99"/>
      <c r="F36" s="99"/>
    </row>
    <row r="37" spans="2:23" ht="18" customHeight="1" x14ac:dyDescent="0.3"/>
    <row r="40" spans="2:23" ht="20.25" customHeight="1" x14ac:dyDescent="0.3">
      <c r="R40" s="164" t="s">
        <v>274</v>
      </c>
      <c r="S40" s="165">
        <v>0.76923076923076905</v>
      </c>
      <c r="T40" s="164" t="s">
        <v>275</v>
      </c>
      <c r="U40" s="166">
        <v>0.230769230769231</v>
      </c>
      <c r="V40" s="167">
        <f>S40+U40</f>
        <v>1</v>
      </c>
    </row>
    <row r="41" spans="2:23" ht="14.25" customHeight="1" x14ac:dyDescent="0.3">
      <c r="U41" s="168"/>
    </row>
    <row r="42" spans="2:23" ht="14" customHeight="1" x14ac:dyDescent="0.3"/>
    <row r="43" spans="2:23" ht="14" customHeight="1" x14ac:dyDescent="0.3">
      <c r="Q43" s="169" t="s">
        <v>276</v>
      </c>
      <c r="R43" s="169" t="s">
        <v>277</v>
      </c>
      <c r="S43" s="169" t="s">
        <v>278</v>
      </c>
      <c r="T43" s="169" t="s">
        <v>279</v>
      </c>
      <c r="U43" s="169" t="s">
        <v>280</v>
      </c>
      <c r="V43" s="169" t="s">
        <v>281</v>
      </c>
      <c r="W43" s="257" t="s">
        <v>282</v>
      </c>
    </row>
    <row r="44" spans="2:23" ht="14.25" customHeight="1" x14ac:dyDescent="0.3">
      <c r="Q44" s="171">
        <v>43334</v>
      </c>
      <c r="R44" s="172">
        <f>D51</f>
        <v>10000</v>
      </c>
      <c r="S44" s="173">
        <v>1</v>
      </c>
      <c r="T44" s="173">
        <v>0</v>
      </c>
      <c r="U44" s="241">
        <f>R44*S44</f>
        <v>10000</v>
      </c>
      <c r="V44" s="175">
        <f>R44*T44</f>
        <v>0</v>
      </c>
      <c r="W44" s="259">
        <f>Q44-U44</f>
        <v>33334</v>
      </c>
    </row>
    <row r="46" spans="2:23" ht="14.25" customHeight="1" x14ac:dyDescent="0.3"/>
    <row r="47" spans="2:23" ht="14.25" customHeight="1" x14ac:dyDescent="0.3"/>
    <row r="48" spans="2:23" ht="14.25" customHeight="1" x14ac:dyDescent="0.3"/>
    <row r="49" spans="1:10" ht="14.25" customHeight="1" x14ac:dyDescent="0.3"/>
    <row r="50" spans="1:10" ht="14.25" customHeight="1" x14ac:dyDescent="0.3">
      <c r="B50" s="275"/>
      <c r="C50" s="144" t="s">
        <v>237</v>
      </c>
      <c r="D50" s="144" t="s">
        <v>283</v>
      </c>
      <c r="E50" s="397"/>
      <c r="F50" s="99"/>
      <c r="G50" s="144" t="s">
        <v>284</v>
      </c>
      <c r="H50" s="144" t="s">
        <v>237</v>
      </c>
      <c r="I50" s="144" t="s">
        <v>285</v>
      </c>
      <c r="J50" s="144" t="s">
        <v>286</v>
      </c>
    </row>
    <row r="51" spans="1:10" ht="14.25" customHeight="1" x14ac:dyDescent="0.3">
      <c r="B51" s="179" t="s">
        <v>287</v>
      </c>
      <c r="C51" s="180">
        <f>10/$K$1</f>
        <v>10.204081632653061</v>
      </c>
      <c r="D51" s="181">
        <f>$C$1*10</f>
        <v>10000</v>
      </c>
      <c r="E51" s="182"/>
      <c r="F51" s="99"/>
      <c r="G51" s="179" t="s">
        <v>287</v>
      </c>
      <c r="H51" s="276">
        <f>I51/$D$5</f>
        <v>10</v>
      </c>
      <c r="I51" s="180">
        <f>J51/$R$1</f>
        <v>56498.305084745763</v>
      </c>
      <c r="J51" s="180">
        <f>$W$44</f>
        <v>33334</v>
      </c>
    </row>
    <row r="52" spans="1:10" x14ac:dyDescent="0.3">
      <c r="B52" s="230" t="s">
        <v>266</v>
      </c>
      <c r="C52" s="231">
        <f>$I$1</f>
        <v>5.6679748822606024</v>
      </c>
      <c r="D52" s="232">
        <f>$E$1</f>
        <v>5554.6153846153902</v>
      </c>
      <c r="E52" s="99"/>
      <c r="F52" s="99"/>
      <c r="G52" s="147" t="s">
        <v>266</v>
      </c>
      <c r="H52" s="209">
        <f>I52/$D$5</f>
        <v>5.5545042945294929</v>
      </c>
      <c r="I52" s="175">
        <f>J52/$R$1</f>
        <v>31382.00782268578</v>
      </c>
      <c r="J52" s="183">
        <f>$S$32</f>
        <v>18515.38461538461</v>
      </c>
    </row>
    <row r="53" spans="1:10" x14ac:dyDescent="0.3">
      <c r="B53" s="230" t="s">
        <v>288</v>
      </c>
      <c r="C53" s="233">
        <f>MIN(C52, C51)</f>
        <v>5.6679748822606024</v>
      </c>
      <c r="D53" s="232">
        <f>(C53*$K$1)*$C$1</f>
        <v>5554.6153846153902</v>
      </c>
      <c r="E53" s="99"/>
      <c r="F53" s="99"/>
      <c r="G53" s="147" t="s">
        <v>288</v>
      </c>
      <c r="H53" s="186">
        <f>MIN(H52,H51)</f>
        <v>5.5545042945294929</v>
      </c>
      <c r="I53" s="175">
        <f>J53/$R$1</f>
        <v>31382.00782268578</v>
      </c>
      <c r="J53" s="175">
        <f>MIN(J52,J51)</f>
        <v>18515.38461538461</v>
      </c>
    </row>
    <row r="54" spans="1:10" x14ac:dyDescent="0.3">
      <c r="B54" s="230" t="s">
        <v>289</v>
      </c>
      <c r="C54" s="233">
        <f>MIN(MAX(C52-C53,0),C51)</f>
        <v>0</v>
      </c>
      <c r="D54" s="232">
        <f>(C54*$K$1)*$C$1</f>
        <v>0</v>
      </c>
      <c r="E54" s="99"/>
      <c r="F54" s="99"/>
      <c r="G54" s="147" t="s">
        <v>289</v>
      </c>
      <c r="H54" s="186">
        <f>MIN(MAX(H52-H53),H51)</f>
        <v>0</v>
      </c>
      <c r="I54" s="175">
        <f>J54/$R$1</f>
        <v>0</v>
      </c>
      <c r="J54" s="175">
        <f>MIN(MAX(J52-J53),J51)</f>
        <v>0</v>
      </c>
    </row>
    <row r="55" spans="1:10" x14ac:dyDescent="0.3">
      <c r="B55" s="230" t="s">
        <v>290</v>
      </c>
      <c r="C55" s="233">
        <f>MIN(MAX(C52-C53-C54,0),C51)</f>
        <v>0</v>
      </c>
      <c r="D55" s="232">
        <f>(C55*$K$1)*$C$1</f>
        <v>0</v>
      </c>
      <c r="E55" s="99"/>
      <c r="F55" s="99"/>
      <c r="G55" s="144" t="s">
        <v>290</v>
      </c>
      <c r="H55" s="186">
        <f>MIN(MAX(H52-H53-H54),H51)</f>
        <v>0</v>
      </c>
      <c r="I55" s="175">
        <f>J55/$R$1</f>
        <v>0</v>
      </c>
      <c r="J55" s="175">
        <f>MIN(MAX(J52-J53-J54),J51)</f>
        <v>0</v>
      </c>
    </row>
    <row r="62" spans="1:10" ht="17.75" customHeight="1" x14ac:dyDescent="0.3">
      <c r="A62" s="922"/>
      <c r="B62" s="1438" t="str">
        <f>"  اسياخ دجاج الباربكيو  1 / " &amp; COUNTIF($C$53:$C$55, "&gt;0")</f>
        <v xml:space="preserve">  اسياخ دجاج الباربكيو  1 / 1</v>
      </c>
      <c r="C62" s="1439"/>
      <c r="D62" s="1439"/>
      <c r="E62" s="1439"/>
      <c r="F62" s="1439"/>
      <c r="G62" s="1439"/>
      <c r="H62" s="1439"/>
    </row>
    <row r="63" spans="1:10" ht="18" customHeight="1" x14ac:dyDescent="0.3">
      <c r="A63" s="922"/>
      <c r="B63" s="1490" t="str">
        <f>" BBQ Chicken Skewers 1  / " &amp; COUNTIF($C$53:$C$55, "&gt;0")</f>
        <v xml:space="preserve"> BBQ Chicken Skewers 1  / 1</v>
      </c>
      <c r="C63" s="1437"/>
      <c r="D63" s="1437"/>
      <c r="E63" s="1437"/>
      <c r="F63" s="1437"/>
      <c r="G63" s="1437"/>
      <c r="H63" s="1437"/>
    </row>
    <row r="64" spans="1:10" ht="45" customHeight="1" x14ac:dyDescent="0.25">
      <c r="A64" s="90"/>
      <c r="B64" s="90" t="s">
        <v>245</v>
      </c>
      <c r="C64" s="106" t="s">
        <v>246</v>
      </c>
      <c r="D64" s="90" t="s">
        <v>235</v>
      </c>
      <c r="E64" s="107" t="s">
        <v>238</v>
      </c>
      <c r="F64" s="107" t="s">
        <v>247</v>
      </c>
      <c r="G64" s="90" t="s">
        <v>248</v>
      </c>
      <c r="H64" s="108" t="s">
        <v>249</v>
      </c>
    </row>
    <row r="65" spans="1:10" ht="14.25" customHeight="1" x14ac:dyDescent="0.3">
      <c r="A65" s="127" t="s">
        <v>225</v>
      </c>
      <c r="B65" s="80" t="str">
        <f t="shared" ref="B65:D77" si="14">B5</f>
        <v>Chicken - دجاج</v>
      </c>
      <c r="C65" s="80" t="str">
        <f t="shared" si="14"/>
        <v>gm</v>
      </c>
      <c r="D65" s="118">
        <f>D5</f>
        <v>5649.8305084745762</v>
      </c>
      <c r="E65" s="125">
        <f>H53</f>
        <v>5.5545042945294929</v>
      </c>
      <c r="F65" s="126">
        <f t="shared" ref="F65:F77" si="15">F5</f>
        <v>1</v>
      </c>
      <c r="G65" s="118">
        <f t="shared" ref="G65:G77" si="16">D65*E65</f>
        <v>31382.00782268578</v>
      </c>
      <c r="H65" s="119">
        <f t="shared" ref="H65:H77" si="17">G65*F65</f>
        <v>31382.00782268578</v>
      </c>
    </row>
    <row r="66" spans="1:10" ht="14.25" customHeight="1" x14ac:dyDescent="0.3">
      <c r="A66" s="127" t="s">
        <v>192</v>
      </c>
      <c r="B66" s="80" t="str">
        <f t="shared" si="14"/>
        <v>BBQ Sauce - صوص باربيكيو</v>
      </c>
      <c r="C66" s="80" t="str">
        <f t="shared" si="14"/>
        <v>ml</v>
      </c>
      <c r="D66" s="80">
        <f t="shared" si="14"/>
        <v>400</v>
      </c>
      <c r="E66" s="125">
        <f t="shared" ref="E66:E80" si="18">$C$53</f>
        <v>5.6679748822606024</v>
      </c>
      <c r="F66" s="126">
        <f t="shared" si="15"/>
        <v>0.95</v>
      </c>
      <c r="G66" s="118">
        <f t="shared" si="16"/>
        <v>2267.1899529042412</v>
      </c>
      <c r="H66" s="119">
        <f t="shared" si="17"/>
        <v>2153.8304552590289</v>
      </c>
    </row>
    <row r="67" spans="1:10" ht="14.25" customHeight="1" x14ac:dyDescent="0.3">
      <c r="A67" s="127" t="s">
        <v>192</v>
      </c>
      <c r="B67" s="80" t="str">
        <f t="shared" si="14"/>
        <v>Sriracha Sauce - صوص سريراتشا</v>
      </c>
      <c r="C67" s="80" t="str">
        <f t="shared" si="14"/>
        <v>ml</v>
      </c>
      <c r="D67" s="80">
        <f t="shared" si="14"/>
        <v>35</v>
      </c>
      <c r="E67" s="125">
        <f t="shared" si="18"/>
        <v>5.6679748822606024</v>
      </c>
      <c r="F67" s="126">
        <f t="shared" si="15"/>
        <v>0.95</v>
      </c>
      <c r="G67" s="118">
        <f t="shared" si="16"/>
        <v>198.37912087912107</v>
      </c>
      <c r="H67" s="119">
        <f t="shared" si="17"/>
        <v>188.46016483516502</v>
      </c>
    </row>
    <row r="68" spans="1:10" ht="14.25" customHeight="1" x14ac:dyDescent="0.3">
      <c r="A68" s="127" t="s">
        <v>95</v>
      </c>
      <c r="B68" s="80" t="str">
        <f t="shared" si="14"/>
        <v>Paprika Powder - بابريكا مطحون</v>
      </c>
      <c r="C68" s="80" t="str">
        <f t="shared" si="14"/>
        <v>gm</v>
      </c>
      <c r="D68" s="80">
        <f t="shared" si="14"/>
        <v>10</v>
      </c>
      <c r="E68" s="125">
        <f t="shared" si="18"/>
        <v>5.6679748822606024</v>
      </c>
      <c r="F68" s="126">
        <f t="shared" si="15"/>
        <v>1</v>
      </c>
      <c r="G68" s="118">
        <f t="shared" si="16"/>
        <v>56.679748822606022</v>
      </c>
      <c r="H68" s="119">
        <f t="shared" si="17"/>
        <v>56.679748822606022</v>
      </c>
    </row>
    <row r="69" spans="1:10" ht="14.25" customHeight="1" x14ac:dyDescent="0.3">
      <c r="A69" s="127" t="s">
        <v>95</v>
      </c>
      <c r="B69" s="80" t="str">
        <f t="shared" si="14"/>
        <v>Garlic Powder - ثوم بودرة</v>
      </c>
      <c r="C69" s="80" t="str">
        <f t="shared" si="14"/>
        <v>gm</v>
      </c>
      <c r="D69" s="80">
        <f t="shared" si="14"/>
        <v>10</v>
      </c>
      <c r="E69" s="125">
        <f t="shared" si="18"/>
        <v>5.6679748822606024</v>
      </c>
      <c r="F69" s="126">
        <f t="shared" si="15"/>
        <v>1</v>
      </c>
      <c r="G69" s="118">
        <f t="shared" si="16"/>
        <v>56.679748822606022</v>
      </c>
      <c r="H69" s="119">
        <f t="shared" si="17"/>
        <v>56.679748822606022</v>
      </c>
    </row>
    <row r="70" spans="1:10" ht="14.25" customHeight="1" x14ac:dyDescent="0.3">
      <c r="A70" s="127" t="s">
        <v>95</v>
      </c>
      <c r="B70" s="80" t="str">
        <f t="shared" si="14"/>
        <v>Cumin Powder - كمون مطحون</v>
      </c>
      <c r="C70" s="80" t="str">
        <f t="shared" si="14"/>
        <v>gm</v>
      </c>
      <c r="D70" s="80">
        <f t="shared" si="14"/>
        <v>10</v>
      </c>
      <c r="E70" s="125">
        <f t="shared" si="18"/>
        <v>5.6679748822606024</v>
      </c>
      <c r="F70" s="126">
        <f t="shared" si="15"/>
        <v>0.75</v>
      </c>
      <c r="G70" s="118">
        <f t="shared" si="16"/>
        <v>56.679748822606022</v>
      </c>
      <c r="H70" s="119">
        <f t="shared" si="17"/>
        <v>42.509811616954515</v>
      </c>
    </row>
    <row r="71" spans="1:10" ht="14.25" customHeight="1" x14ac:dyDescent="0.3">
      <c r="A71" s="127" t="s">
        <v>95</v>
      </c>
      <c r="B71" s="80" t="str">
        <f t="shared" si="14"/>
        <v>Black Pepper Powder - فلفل أسود مطحون</v>
      </c>
      <c r="C71" s="80" t="str">
        <f t="shared" si="14"/>
        <v>gm</v>
      </c>
      <c r="D71" s="80">
        <f t="shared" si="14"/>
        <v>6</v>
      </c>
      <c r="E71" s="125">
        <f t="shared" si="18"/>
        <v>5.6679748822606024</v>
      </c>
      <c r="F71" s="126">
        <f t="shared" si="15"/>
        <v>1</v>
      </c>
      <c r="G71" s="118">
        <f t="shared" si="16"/>
        <v>34.007849293563616</v>
      </c>
      <c r="H71" s="119">
        <f t="shared" si="17"/>
        <v>34.007849293563616</v>
      </c>
    </row>
    <row r="72" spans="1:10" ht="14.25" customHeight="1" x14ac:dyDescent="0.3">
      <c r="A72" s="127" t="s">
        <v>95</v>
      </c>
      <c r="B72" s="80" t="str">
        <f t="shared" si="14"/>
        <v>Salt - ملح</v>
      </c>
      <c r="C72" s="80" t="str">
        <f t="shared" si="14"/>
        <v>gm</v>
      </c>
      <c r="D72" s="80">
        <f t="shared" si="14"/>
        <v>11</v>
      </c>
      <c r="E72" s="125">
        <f t="shared" si="18"/>
        <v>5.6679748822606024</v>
      </c>
      <c r="F72" s="126">
        <f t="shared" si="15"/>
        <v>0.75</v>
      </c>
      <c r="G72" s="118">
        <f t="shared" si="16"/>
        <v>62.347723704866624</v>
      </c>
      <c r="H72" s="119">
        <f t="shared" si="17"/>
        <v>46.760792778649972</v>
      </c>
    </row>
    <row r="73" spans="1:10" ht="14.25" customHeight="1" x14ac:dyDescent="0.3">
      <c r="A73" s="127" t="s">
        <v>206</v>
      </c>
      <c r="B73" s="80" t="str">
        <f t="shared" si="14"/>
        <v>Lemon Juice - عصير ليمون</v>
      </c>
      <c r="C73" s="80" t="str">
        <f t="shared" si="14"/>
        <v>ml</v>
      </c>
      <c r="D73" s="80">
        <f t="shared" si="14"/>
        <v>60</v>
      </c>
      <c r="E73" s="125">
        <f t="shared" si="18"/>
        <v>5.6679748822606024</v>
      </c>
      <c r="F73" s="126">
        <f t="shared" si="15"/>
        <v>1</v>
      </c>
      <c r="G73" s="118">
        <f t="shared" si="16"/>
        <v>340.07849293563612</v>
      </c>
      <c r="H73" s="119">
        <f t="shared" si="17"/>
        <v>340.07849293563612</v>
      </c>
    </row>
    <row r="74" spans="1:10" ht="14.25" customHeight="1" x14ac:dyDescent="0.3">
      <c r="A74" s="127" t="s">
        <v>182</v>
      </c>
      <c r="B74" s="80" t="str">
        <f t="shared" si="14"/>
        <v>Honey - عسل</v>
      </c>
      <c r="C74" s="80" t="str">
        <f t="shared" si="14"/>
        <v>gm</v>
      </c>
      <c r="D74" s="80">
        <f t="shared" si="14"/>
        <v>35</v>
      </c>
      <c r="E74" s="125">
        <f t="shared" si="18"/>
        <v>5.6679748822606024</v>
      </c>
      <c r="F74" s="126">
        <f t="shared" si="15"/>
        <v>1</v>
      </c>
      <c r="G74" s="118">
        <f t="shared" si="16"/>
        <v>198.37912087912107</v>
      </c>
      <c r="H74" s="119">
        <f t="shared" si="17"/>
        <v>198.37912087912107</v>
      </c>
    </row>
    <row r="75" spans="1:10" ht="14.25" customHeight="1" x14ac:dyDescent="0.3">
      <c r="A75" s="127" t="s">
        <v>206</v>
      </c>
      <c r="B75" s="80" t="str">
        <f t="shared" si="14"/>
        <v>Water - ماء</v>
      </c>
      <c r="C75" s="80" t="str">
        <f t="shared" si="14"/>
        <v>ml</v>
      </c>
      <c r="D75" s="80">
        <f t="shared" si="14"/>
        <v>500</v>
      </c>
      <c r="E75" s="125">
        <f t="shared" si="18"/>
        <v>5.6679748822606024</v>
      </c>
      <c r="F75" s="126">
        <f t="shared" si="15"/>
        <v>1</v>
      </c>
      <c r="G75" s="118">
        <f t="shared" si="16"/>
        <v>2833.9874411303012</v>
      </c>
      <c r="H75" s="119">
        <f t="shared" si="17"/>
        <v>2833.9874411303012</v>
      </c>
    </row>
    <row r="76" spans="1:10" ht="14.25" customHeight="1" x14ac:dyDescent="0.3">
      <c r="A76" s="127" t="s">
        <v>188</v>
      </c>
      <c r="B76" s="80" t="str">
        <f t="shared" si="14"/>
        <v>Corn Starch - نشا ذرة</v>
      </c>
      <c r="C76" s="80" t="str">
        <f t="shared" si="14"/>
        <v>gm</v>
      </c>
      <c r="D76" s="80">
        <f t="shared" si="14"/>
        <v>40</v>
      </c>
      <c r="E76" s="125">
        <f t="shared" si="18"/>
        <v>5.6679748822606024</v>
      </c>
      <c r="F76" s="126">
        <f t="shared" si="15"/>
        <v>1</v>
      </c>
      <c r="G76" s="118">
        <f t="shared" si="16"/>
        <v>226.71899529042409</v>
      </c>
      <c r="H76" s="119">
        <f t="shared" si="17"/>
        <v>226.71899529042409</v>
      </c>
    </row>
    <row r="77" spans="1:10" ht="14.25" customHeight="1" x14ac:dyDescent="0.3">
      <c r="A77" s="127" t="s">
        <v>192</v>
      </c>
      <c r="B77" s="80" t="str">
        <f t="shared" si="14"/>
        <v>Tomato Ketchup - كاتشب طماطم</v>
      </c>
      <c r="C77" s="80" t="str">
        <f t="shared" si="14"/>
        <v>ml</v>
      </c>
      <c r="D77" s="80">
        <f t="shared" si="14"/>
        <v>40</v>
      </c>
      <c r="E77" s="125">
        <f t="shared" si="18"/>
        <v>5.6679748822606024</v>
      </c>
      <c r="F77" s="126">
        <f t="shared" si="15"/>
        <v>1</v>
      </c>
      <c r="G77" s="118">
        <f t="shared" si="16"/>
        <v>226.71899529042409</v>
      </c>
      <c r="H77" s="119">
        <f t="shared" si="17"/>
        <v>226.71899529042409</v>
      </c>
    </row>
    <row r="78" spans="1:10" ht="20.25" customHeight="1" x14ac:dyDescent="0.4">
      <c r="A78" s="888"/>
      <c r="B78" s="778" t="str">
        <f t="shared" ref="B78:D80" si="19">B18</f>
        <v xml:space="preserve">Red Bell Pepper - فلفل أحمر </v>
      </c>
      <c r="C78" s="778" t="str">
        <f t="shared" si="19"/>
        <v>gm</v>
      </c>
      <c r="D78" s="778">
        <f t="shared" si="19"/>
        <v>140</v>
      </c>
      <c r="E78" s="779">
        <f t="shared" si="18"/>
        <v>5.6679748822606024</v>
      </c>
      <c r="F78" s="780">
        <f>F18</f>
        <v>1</v>
      </c>
      <c r="G78" s="630">
        <f>D78*E78</f>
        <v>793.5164835164843</v>
      </c>
      <c r="H78" s="631">
        <f>G78*F78</f>
        <v>793.5164835164843</v>
      </c>
      <c r="I78" s="203"/>
      <c r="J78" s="202"/>
    </row>
    <row r="79" spans="1:10" x14ac:dyDescent="0.3">
      <c r="B79" s="778" t="str">
        <f t="shared" si="19"/>
        <v xml:space="preserve">Yellow Bell Pepper - فلفل أصفر </v>
      </c>
      <c r="C79" s="778" t="str">
        <f t="shared" si="19"/>
        <v>gm</v>
      </c>
      <c r="D79" s="778">
        <f t="shared" si="19"/>
        <v>140</v>
      </c>
      <c r="E79" s="779">
        <f t="shared" si="18"/>
        <v>5.6679748822606024</v>
      </c>
      <c r="F79" s="780">
        <f>F19</f>
        <v>1</v>
      </c>
      <c r="G79" s="630">
        <f>D79*E79</f>
        <v>793.5164835164843</v>
      </c>
      <c r="H79" s="631">
        <f>G79*F79</f>
        <v>793.5164835164843</v>
      </c>
    </row>
    <row r="80" spans="1:10" x14ac:dyDescent="0.3">
      <c r="B80" s="778" t="str">
        <f t="shared" si="19"/>
        <v>Green Bell Pepper - فلفل أخضر رومى</v>
      </c>
      <c r="C80" s="778" t="str">
        <f t="shared" si="19"/>
        <v>gm</v>
      </c>
      <c r="D80" s="778">
        <f t="shared" si="19"/>
        <v>140</v>
      </c>
      <c r="E80" s="779">
        <f t="shared" si="18"/>
        <v>5.6679748822606024</v>
      </c>
      <c r="F80" s="780">
        <f>F20</f>
        <v>1</v>
      </c>
      <c r="G80" s="630">
        <f>D80*E80</f>
        <v>793.5164835164843</v>
      </c>
      <c r="H80" s="631">
        <f>G80*F80</f>
        <v>793.5164835164843</v>
      </c>
    </row>
    <row r="81" spans="1:8" ht="18" x14ac:dyDescent="0.3">
      <c r="A81" s="210"/>
      <c r="B81" s="197" t="s">
        <v>291</v>
      </c>
      <c r="C81" s="199" t="s">
        <v>277</v>
      </c>
      <c r="E81" s="199" t="s">
        <v>292</v>
      </c>
      <c r="G81" s="878" t="s">
        <v>268</v>
      </c>
      <c r="H81" s="878" t="s">
        <v>703</v>
      </c>
    </row>
    <row r="82" spans="1:8" ht="20" x14ac:dyDescent="0.4">
      <c r="A82" s="210"/>
      <c r="B82" s="198">
        <f>$J$53</f>
        <v>18515.38461538461</v>
      </c>
      <c r="C82" s="198">
        <f>E82+G82</f>
        <v>5554.6153846153902</v>
      </c>
      <c r="D82" s="915"/>
      <c r="E82" s="198">
        <f>$D$53*$S$44</f>
        <v>5554.6153846153902</v>
      </c>
      <c r="F82" s="919"/>
      <c r="G82" s="198">
        <f>$D$53*$T$44</f>
        <v>0</v>
      </c>
      <c r="H82" s="198">
        <f>B82+E82</f>
        <v>24070</v>
      </c>
    </row>
  </sheetData>
  <mergeCells count="7">
    <mergeCell ref="AK2:AM2"/>
    <mergeCell ref="B63:H63"/>
    <mergeCell ref="AE2:AG3"/>
    <mergeCell ref="F2:G3"/>
    <mergeCell ref="R26:U26"/>
    <mergeCell ref="B62:H62"/>
    <mergeCell ref="R25:U25"/>
  </mergeCells>
  <printOptions horizontalCentered="1"/>
  <pageMargins left="0.4" right="0.4" top="1" bottom="0.5" header="0.3" footer="0.511811023622047"/>
  <pageSetup paperSize="9" scale="48"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8" tint="-0.249977111117893"/>
    <pageSetUpPr fitToPage="1"/>
  </sheetPr>
  <dimension ref="A1:AT971"/>
  <sheetViews>
    <sheetView topLeftCell="H7" zoomScaleNormal="100" workbookViewId="0">
      <selection activeCell="AC25" sqref="AC25"/>
    </sheetView>
  </sheetViews>
  <sheetFormatPr defaultColWidth="12.5" defaultRowHeight="12.5" x14ac:dyDescent="0.25"/>
  <cols>
    <col min="1" max="1" width="12.5" style="14" customWidth="1"/>
    <col min="2" max="2" width="38.33203125" style="14" customWidth="1"/>
    <col min="3" max="3" width="24"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3.75" style="14" customWidth="1"/>
    <col min="15" max="15" width="16.75" style="14" customWidth="1"/>
    <col min="16" max="18" width="12.5" style="14" customWidth="1"/>
    <col min="19" max="19" width="15.9140625" style="14" customWidth="1"/>
    <col min="20" max="26" width="12.5" style="14" customWidth="1"/>
    <col min="27" max="27" width="11.08203125" style="14" bestFit="1" customWidth="1"/>
    <col min="28" max="28" width="11.9140625" style="14" bestFit="1" customWidth="1"/>
    <col min="29" max="29" width="13.33203125" style="14" bestFit="1" customWidth="1"/>
    <col min="30" max="30" width="12.33203125" style="14" bestFit="1" customWidth="1"/>
    <col min="31" max="31" width="8.4140625" style="14" customWidth="1"/>
    <col min="32" max="32" width="7.58203125" style="14" customWidth="1"/>
    <col min="33" max="35" width="2.83203125" style="14" customWidth="1"/>
    <col min="36" max="36" width="38.33203125" style="14" customWidth="1"/>
    <col min="37" max="37" width="12.5" style="14" customWidth="1"/>
    <col min="38" max="41" width="12.5" style="14"/>
    <col min="42" max="42" width="18.33203125" style="14" customWidth="1"/>
    <col min="43" max="16384" width="12.5" style="14"/>
  </cols>
  <sheetData>
    <row r="1" spans="1:46" ht="28.5" customHeight="1" x14ac:dyDescent="0.3">
      <c r="B1" s="79" t="s">
        <v>335</v>
      </c>
      <c r="C1" s="80">
        <v>1</v>
      </c>
      <c r="D1" s="81" t="s">
        <v>236</v>
      </c>
      <c r="E1" s="116">
        <f>U32</f>
        <v>243</v>
      </c>
      <c r="F1" s="79" t="s">
        <v>237</v>
      </c>
      <c r="G1" s="116">
        <f>E1/C1</f>
        <v>243</v>
      </c>
      <c r="H1" s="79" t="s">
        <v>238</v>
      </c>
      <c r="I1" s="116"/>
      <c r="J1" s="325" t="s">
        <v>239</v>
      </c>
      <c r="K1" s="326">
        <v>1</v>
      </c>
      <c r="L1" s="99"/>
      <c r="M1" s="99"/>
      <c r="N1" s="99"/>
      <c r="O1" s="90" t="s">
        <v>240</v>
      </c>
      <c r="P1" s="91" t="s">
        <v>241</v>
      </c>
      <c r="Q1" s="92" t="s">
        <v>242</v>
      </c>
      <c r="R1" s="91">
        <v>0.75</v>
      </c>
      <c r="S1" s="92" t="s">
        <v>337</v>
      </c>
      <c r="T1" s="327">
        <v>90</v>
      </c>
      <c r="U1" s="99"/>
      <c r="V1" s="99"/>
      <c r="Y1" s="90" t="s">
        <v>463</v>
      </c>
      <c r="Z1" s="835">
        <v>238</v>
      </c>
      <c r="AA1" s="90" t="s">
        <v>578</v>
      </c>
      <c r="AB1" s="835">
        <v>5</v>
      </c>
      <c r="AC1" s="90" t="s">
        <v>567</v>
      </c>
      <c r="AD1" s="835">
        <v>238</v>
      </c>
      <c r="AE1" s="90" t="s">
        <v>558</v>
      </c>
      <c r="AF1" s="835">
        <f>Z1+AB1</f>
        <v>243</v>
      </c>
      <c r="AJ1" s="93" t="s">
        <v>254</v>
      </c>
      <c r="AK1" s="93">
        <v>10000</v>
      </c>
      <c r="AL1" s="623" t="s">
        <v>505</v>
      </c>
      <c r="AM1" s="624">
        <f>$S$32*100</f>
        <v>24300</v>
      </c>
      <c r="AN1" s="93" t="s">
        <v>243</v>
      </c>
      <c r="AO1" s="328">
        <f>((S32*T1)/$R$1)/$AK$1</f>
        <v>2.9159999999999999</v>
      </c>
      <c r="AP1" s="94"/>
    </row>
    <row r="2" spans="1:46" ht="12.75" customHeight="1" x14ac:dyDescent="0.25">
      <c r="A2" s="329"/>
      <c r="B2" s="1449" t="s">
        <v>54</v>
      </c>
      <c r="C2" s="1449"/>
      <c r="D2" s="1449"/>
      <c r="E2" s="1449"/>
      <c r="F2" s="1449"/>
      <c r="G2" s="1449"/>
      <c r="H2" s="1449"/>
      <c r="I2" s="643"/>
      <c r="J2" s="643"/>
      <c r="K2" s="643"/>
      <c r="L2" s="292"/>
      <c r="M2" s="99"/>
      <c r="N2" s="99"/>
      <c r="O2" s="99"/>
      <c r="P2" s="99"/>
      <c r="Q2" s="99"/>
      <c r="R2" s="99"/>
      <c r="S2" s="99"/>
      <c r="T2" s="99"/>
      <c r="U2" s="99"/>
      <c r="AJ2" s="100"/>
      <c r="AK2" s="100"/>
      <c r="AL2" s="1442" t="s">
        <v>372</v>
      </c>
      <c r="AM2" s="1442"/>
      <c r="AN2" s="101"/>
      <c r="AO2" s="100"/>
      <c r="AP2" s="100"/>
    </row>
    <row r="3" spans="1:46" ht="12.75" customHeight="1" x14ac:dyDescent="0.3">
      <c r="A3" s="329"/>
      <c r="B3" s="1450"/>
      <c r="C3" s="1450"/>
      <c r="D3" s="1450"/>
      <c r="E3" s="1450"/>
      <c r="F3" s="1450"/>
      <c r="G3" s="1450"/>
      <c r="H3" s="1450"/>
      <c r="I3" s="644"/>
      <c r="J3" s="644"/>
      <c r="K3" s="644"/>
      <c r="L3" s="292"/>
      <c r="M3" s="99"/>
      <c r="N3" s="99"/>
      <c r="O3" s="99"/>
      <c r="P3" s="99"/>
      <c r="Q3" s="99"/>
      <c r="R3" s="99"/>
      <c r="S3" s="99"/>
      <c r="T3" s="99"/>
      <c r="U3" s="99"/>
      <c r="AJ3" s="103"/>
      <c r="AK3" s="103"/>
      <c r="AL3" s="1492"/>
      <c r="AM3" s="1492"/>
      <c r="AN3" s="104"/>
      <c r="AO3" s="103"/>
      <c r="AP3" s="103"/>
    </row>
    <row r="4" spans="1:46" ht="68.75" customHeight="1" x14ac:dyDescent="0.25">
      <c r="A4" s="90" t="s">
        <v>1</v>
      </c>
      <c r="B4" s="90" t="s">
        <v>245</v>
      </c>
      <c r="C4" s="106" t="s">
        <v>246</v>
      </c>
      <c r="D4" s="90" t="s">
        <v>235</v>
      </c>
      <c r="E4" s="107" t="s">
        <v>238</v>
      </c>
      <c r="F4" s="107" t="s">
        <v>247</v>
      </c>
      <c r="G4" s="90" t="s">
        <v>248</v>
      </c>
      <c r="H4" s="330" t="s">
        <v>339</v>
      </c>
      <c r="I4" s="90" t="s">
        <v>250</v>
      </c>
      <c r="J4" s="90" t="s">
        <v>251</v>
      </c>
      <c r="K4" s="90" t="s">
        <v>252</v>
      </c>
      <c r="L4" s="90" t="s">
        <v>253</v>
      </c>
      <c r="M4" s="370"/>
      <c r="N4" s="99"/>
      <c r="O4" s="99"/>
      <c r="P4" s="99"/>
      <c r="Q4" s="99"/>
      <c r="R4" s="99"/>
      <c r="S4" s="99"/>
      <c r="AJ4" s="109" t="s">
        <v>245</v>
      </c>
      <c r="AK4" s="110" t="s">
        <v>246</v>
      </c>
      <c r="AL4" s="109" t="s">
        <v>254</v>
      </c>
      <c r="AM4" s="109" t="s">
        <v>238</v>
      </c>
      <c r="AN4" s="109" t="s">
        <v>247</v>
      </c>
      <c r="AO4" s="109" t="s">
        <v>248</v>
      </c>
      <c r="AP4" s="111" t="s">
        <v>249</v>
      </c>
      <c r="AQ4" s="90" t="s">
        <v>250</v>
      </c>
      <c r="AR4" s="90" t="s">
        <v>251</v>
      </c>
      <c r="AS4" s="90" t="s">
        <v>252</v>
      </c>
      <c r="AT4" s="90" t="s">
        <v>253</v>
      </c>
    </row>
    <row r="5" spans="1:46" ht="14.25" customHeight="1" x14ac:dyDescent="0.25">
      <c r="A5" s="402" t="s">
        <v>225</v>
      </c>
      <c r="B5" s="322" t="s">
        <v>507</v>
      </c>
      <c r="C5" s="114" t="s">
        <v>15</v>
      </c>
      <c r="D5" s="267">
        <f>T1/R1</f>
        <v>120</v>
      </c>
      <c r="E5" s="115">
        <f>G1</f>
        <v>243</v>
      </c>
      <c r="F5" s="126">
        <v>1</v>
      </c>
      <c r="G5" s="118">
        <f>D5*E5</f>
        <v>29160</v>
      </c>
      <c r="H5" s="119">
        <f>G5*F5</f>
        <v>29160</v>
      </c>
      <c r="I5" s="80">
        <f>VLOOKUP(B5,All_Ingredients!$A$1:$F$149,6,FALSE())</f>
        <v>0.97</v>
      </c>
      <c r="J5" s="118">
        <f>VLOOKUP(B5,All_Ingredients!$A$1:$J$149,10,FALSE())</f>
        <v>37.82</v>
      </c>
      <c r="K5" s="121">
        <f>(H5/I5)/1000</f>
        <v>30.061855670103093</v>
      </c>
      <c r="L5" s="121">
        <f>K5*J5</f>
        <v>1136.939381443299</v>
      </c>
      <c r="M5" s="130"/>
      <c r="AJ5" s="322" t="s">
        <v>507</v>
      </c>
      <c r="AK5" s="123" t="s">
        <v>231</v>
      </c>
      <c r="AL5" s="115">
        <v>10</v>
      </c>
      <c r="AM5" s="196">
        <f t="shared" ref="AM5:AM17" si="0">$AO$1</f>
        <v>2.9159999999999999</v>
      </c>
      <c r="AN5" s="126">
        <v>1</v>
      </c>
      <c r="AO5" s="120">
        <f t="shared" ref="AO5:AO17" si="1">AL5*AM5</f>
        <v>29.16</v>
      </c>
      <c r="AP5" s="119">
        <f t="shared" ref="AP5:AP17" si="2">AO5*AN5</f>
        <v>29.16</v>
      </c>
      <c r="AQ5" s="294"/>
      <c r="AR5" s="1152"/>
      <c r="AS5" s="174"/>
      <c r="AT5" s="1153"/>
    </row>
    <row r="6" spans="1:46" ht="14.25" customHeight="1" x14ac:dyDescent="0.25">
      <c r="A6" s="403"/>
      <c r="B6" s="322" t="s">
        <v>370</v>
      </c>
      <c r="C6" s="114" t="s">
        <v>14</v>
      </c>
      <c r="D6" s="115">
        <v>11</v>
      </c>
      <c r="E6" s="115">
        <f>$G$1</f>
        <v>243</v>
      </c>
      <c r="F6" s="126">
        <v>1</v>
      </c>
      <c r="G6" s="118">
        <f>D6*E6</f>
        <v>2673</v>
      </c>
      <c r="H6" s="119">
        <f>G6*F6</f>
        <v>2673</v>
      </c>
      <c r="I6" s="80">
        <f>VLOOKUP(B6,All_Ingredients!$A$1:$F$149,6,FALSE())</f>
        <v>0.56999999999999995</v>
      </c>
      <c r="J6" s="118">
        <f>VLOOKUP(B6,All_Ingredients!$A$1:$J$149,10,FALSE())</f>
        <v>8.5</v>
      </c>
      <c r="K6" s="121">
        <f>(H6/I6)/1000</f>
        <v>4.6894736842105269</v>
      </c>
      <c r="L6" s="121">
        <f>K6*J6</f>
        <v>39.860526315789478</v>
      </c>
      <c r="M6" s="130"/>
      <c r="AJ6" s="322" t="s">
        <v>760</v>
      </c>
      <c r="AK6" s="123" t="s">
        <v>14</v>
      </c>
      <c r="AL6" s="115">
        <v>100</v>
      </c>
      <c r="AM6" s="196">
        <f t="shared" si="0"/>
        <v>2.9159999999999999</v>
      </c>
      <c r="AN6" s="126">
        <v>1</v>
      </c>
      <c r="AO6" s="120">
        <f t="shared" si="1"/>
        <v>291.59999999999997</v>
      </c>
      <c r="AP6" s="119">
        <f t="shared" si="2"/>
        <v>291.59999999999997</v>
      </c>
      <c r="AQ6" s="1153">
        <f>VLOOKUP(AJ6,Marination_Ordering!$A:$J,6,FALSE)</f>
        <v>1</v>
      </c>
      <c r="AR6" s="1153">
        <f>VLOOKUP(AJ6,Marination_Ordering!$A:$J,10,FALSE)</f>
        <v>43.333333333333336</v>
      </c>
      <c r="AS6" s="174">
        <f>AP6/AQ6</f>
        <v>291.59999999999997</v>
      </c>
      <c r="AT6" s="1153">
        <f>AR6*(AS6/1000)</f>
        <v>12.635999999999999</v>
      </c>
    </row>
    <row r="7" spans="1:46" ht="14.25" customHeight="1" x14ac:dyDescent="0.25">
      <c r="B7" s="322" t="s">
        <v>845</v>
      </c>
      <c r="C7" s="123" t="s">
        <v>234</v>
      </c>
      <c r="D7" s="115">
        <v>1</v>
      </c>
      <c r="E7" s="115">
        <f>$Z$1+$AB$1</f>
        <v>243</v>
      </c>
      <c r="F7" s="126">
        <v>1</v>
      </c>
      <c r="G7" s="120">
        <f>D7*($Z$1+$AB$1)</f>
        <v>243</v>
      </c>
      <c r="H7" s="119">
        <f>G7*F7</f>
        <v>243</v>
      </c>
      <c r="I7" s="80">
        <f>VLOOKUP(B7,All_Ingredients!$A$1:$F$149,6,FALSE())</f>
        <v>1</v>
      </c>
      <c r="J7" s="118">
        <f>VLOOKUP(B7,All_Ingredients!$A$1:$J$149,10,FALSE())</f>
        <v>0.6</v>
      </c>
      <c r="K7" s="174">
        <f>H7*I7</f>
        <v>243</v>
      </c>
      <c r="L7" s="121">
        <f>K7*J7</f>
        <v>145.79999999999998</v>
      </c>
      <c r="M7" s="130"/>
      <c r="AJ7" s="322" t="s">
        <v>106</v>
      </c>
      <c r="AK7" s="123" t="s">
        <v>14</v>
      </c>
      <c r="AL7" s="115">
        <v>25</v>
      </c>
      <c r="AM7" s="196">
        <f t="shared" si="0"/>
        <v>2.9159999999999999</v>
      </c>
      <c r="AN7" s="126">
        <v>1</v>
      </c>
      <c r="AO7" s="120">
        <f t="shared" si="1"/>
        <v>72.899999999999991</v>
      </c>
      <c r="AP7" s="119">
        <f t="shared" si="2"/>
        <v>72.899999999999991</v>
      </c>
      <c r="AQ7" s="1153">
        <f>VLOOKUP(AJ7,Marination_Ordering!$A:$J,6,FALSE)</f>
        <v>1</v>
      </c>
      <c r="AR7" s="1153">
        <f>VLOOKUP(AJ7,Marination_Ordering!$A:$J,10,FALSE)</f>
        <v>15</v>
      </c>
      <c r="AS7" s="174">
        <f t="shared" ref="AS7:AS8" si="3">AP7/AQ7</f>
        <v>72.899999999999991</v>
      </c>
      <c r="AT7" s="1153">
        <f t="shared" ref="AT7:AT8" si="4">AR7*(AS7/1000)</f>
        <v>1.0934999999999999</v>
      </c>
    </row>
    <row r="8" spans="1:46" ht="14.25" customHeight="1" x14ac:dyDescent="0.25">
      <c r="M8" s="130"/>
      <c r="AJ8" s="322" t="s">
        <v>108</v>
      </c>
      <c r="AK8" s="123" t="s">
        <v>14</v>
      </c>
      <c r="AL8" s="115">
        <v>50</v>
      </c>
      <c r="AM8" s="196">
        <f t="shared" si="0"/>
        <v>2.9159999999999999</v>
      </c>
      <c r="AN8" s="126">
        <v>1</v>
      </c>
      <c r="AO8" s="120">
        <f t="shared" si="1"/>
        <v>145.79999999999998</v>
      </c>
      <c r="AP8" s="119">
        <f t="shared" si="2"/>
        <v>145.79999999999998</v>
      </c>
      <c r="AQ8" s="1153">
        <f>VLOOKUP(AJ8,Marination_Ordering!$A:$J,6,FALSE)</f>
        <v>1</v>
      </c>
      <c r="AR8" s="1153">
        <f>VLOOKUP(AJ8,Marination_Ordering!$A:$J,10,FALSE)</f>
        <v>8</v>
      </c>
      <c r="AS8" s="174">
        <f t="shared" si="3"/>
        <v>145.79999999999998</v>
      </c>
      <c r="AT8" s="1153">
        <f t="shared" si="4"/>
        <v>1.1663999999999999</v>
      </c>
    </row>
    <row r="9" spans="1:46" ht="14.25" customHeight="1" x14ac:dyDescent="0.25">
      <c r="M9" s="130"/>
      <c r="AJ9" s="322" t="s">
        <v>100</v>
      </c>
      <c r="AK9" s="123" t="s">
        <v>14</v>
      </c>
      <c r="AL9" s="115">
        <v>25</v>
      </c>
      <c r="AM9" s="196">
        <f t="shared" si="0"/>
        <v>2.9159999999999999</v>
      </c>
      <c r="AN9" s="126">
        <v>1</v>
      </c>
      <c r="AO9" s="120">
        <f t="shared" si="1"/>
        <v>72.899999999999991</v>
      </c>
      <c r="AP9" s="119">
        <f t="shared" si="2"/>
        <v>72.899999999999991</v>
      </c>
      <c r="AQ9" s="1153">
        <f>VLOOKUP(AJ9,Marination_Ordering!$A:$J,6,FALSE)</f>
        <v>1</v>
      </c>
      <c r="AR9" s="1153">
        <f>VLOOKUP(AJ9,Marination_Ordering!$A:$J,10,FALSE)</f>
        <v>31</v>
      </c>
      <c r="AS9" s="174">
        <f t="shared" ref="AS9:AS17" si="5">AP9/AQ9</f>
        <v>72.899999999999991</v>
      </c>
      <c r="AT9" s="1153">
        <f t="shared" ref="AT9:AT17" si="6">AR9*(AS9/1000)</f>
        <v>2.2598999999999996</v>
      </c>
    </row>
    <row r="10" spans="1:46" ht="14.25" customHeight="1" x14ac:dyDescent="0.25">
      <c r="B10" s="348"/>
      <c r="C10" s="348"/>
      <c r="D10" s="332"/>
      <c r="E10" s="332"/>
      <c r="F10" s="135"/>
      <c r="G10" s="136"/>
      <c r="H10" s="137"/>
      <c r="I10" s="91"/>
      <c r="J10" s="136"/>
      <c r="K10" s="130"/>
      <c r="L10" s="130"/>
      <c r="M10" s="130"/>
      <c r="AJ10" s="322" t="s">
        <v>506</v>
      </c>
      <c r="AK10" s="123" t="s">
        <v>14</v>
      </c>
      <c r="AL10" s="115">
        <v>200</v>
      </c>
      <c r="AM10" s="196">
        <f t="shared" si="0"/>
        <v>2.9159999999999999</v>
      </c>
      <c r="AN10" s="126">
        <v>1</v>
      </c>
      <c r="AO10" s="120">
        <f t="shared" si="1"/>
        <v>583.19999999999993</v>
      </c>
      <c r="AP10" s="119">
        <f t="shared" si="2"/>
        <v>583.19999999999993</v>
      </c>
      <c r="AQ10" s="1153">
        <f>VLOOKUP(AJ10,Marination_Ordering!$A:$J,6,FALSE)</f>
        <v>1</v>
      </c>
      <c r="AR10" s="1153">
        <f>VLOOKUP(AJ10,Marination_Ordering!$A:$J,10,FALSE)</f>
        <v>35.310734463276837</v>
      </c>
      <c r="AS10" s="174">
        <f t="shared" si="5"/>
        <v>583.19999999999993</v>
      </c>
      <c r="AT10" s="1153">
        <f t="shared" si="6"/>
        <v>20.593220338983048</v>
      </c>
    </row>
    <row r="11" spans="1:46" ht="14.25" customHeight="1" x14ac:dyDescent="0.25">
      <c r="B11" s="348"/>
      <c r="C11" s="348"/>
      <c r="D11" s="332"/>
      <c r="E11" s="332"/>
      <c r="F11" s="135"/>
      <c r="G11" s="136"/>
      <c r="H11" s="137"/>
      <c r="I11" s="91"/>
      <c r="J11" s="136"/>
      <c r="K11" s="130"/>
      <c r="L11" s="130"/>
      <c r="M11" s="130"/>
      <c r="AJ11" s="322" t="s">
        <v>204</v>
      </c>
      <c r="AK11" s="123" t="s">
        <v>14</v>
      </c>
      <c r="AL11" s="115">
        <v>400</v>
      </c>
      <c r="AM11" s="196">
        <f t="shared" si="0"/>
        <v>2.9159999999999999</v>
      </c>
      <c r="AN11" s="126">
        <v>1</v>
      </c>
      <c r="AO11" s="120">
        <f t="shared" si="1"/>
        <v>1166.3999999999999</v>
      </c>
      <c r="AP11" s="119">
        <f t="shared" si="2"/>
        <v>1166.3999999999999</v>
      </c>
      <c r="AQ11" s="1153">
        <f>VLOOKUP(AJ11,Marination_Ordering!$A:$J,6,FALSE)</f>
        <v>1</v>
      </c>
      <c r="AR11" s="1153">
        <f>VLOOKUP(AJ11,Marination_Ordering!$A:$J,10,FALSE)</f>
        <v>11.243386243386244</v>
      </c>
      <c r="AS11" s="174">
        <f t="shared" si="5"/>
        <v>1166.3999999999999</v>
      </c>
      <c r="AT11" s="1153">
        <f t="shared" si="6"/>
        <v>13.114285714285714</v>
      </c>
    </row>
    <row r="12" spans="1:46" ht="14.25" customHeight="1" x14ac:dyDescent="0.25">
      <c r="B12" s="348"/>
      <c r="C12" s="348"/>
      <c r="D12" s="332"/>
      <c r="E12" s="332"/>
      <c r="F12" s="135"/>
      <c r="G12" s="136"/>
      <c r="H12" s="137"/>
      <c r="I12" s="91"/>
      <c r="J12" s="136"/>
      <c r="K12" s="130"/>
      <c r="L12" s="130"/>
      <c r="M12" s="130"/>
      <c r="AJ12" s="322" t="s">
        <v>233</v>
      </c>
      <c r="AK12" s="123" t="s">
        <v>371</v>
      </c>
      <c r="AL12" s="115">
        <v>5</v>
      </c>
      <c r="AM12" s="196">
        <f t="shared" si="0"/>
        <v>2.9159999999999999</v>
      </c>
      <c r="AN12" s="126">
        <v>1</v>
      </c>
      <c r="AO12" s="120">
        <f t="shared" si="1"/>
        <v>14.58</v>
      </c>
      <c r="AP12" s="119">
        <f t="shared" si="2"/>
        <v>14.58</v>
      </c>
      <c r="AQ12" s="1153">
        <f>VLOOKUP(AJ12,Marination_Ordering!$A:$J,6,FALSE)</f>
        <v>1</v>
      </c>
      <c r="AR12" s="1153">
        <f>VLOOKUP(AJ12,Marination_Ordering!$A:$J,10,FALSE)</f>
        <v>0.43333333333333335</v>
      </c>
      <c r="AS12" s="174">
        <f t="shared" si="5"/>
        <v>14.58</v>
      </c>
      <c r="AT12" s="1153">
        <f t="shared" si="6"/>
        <v>6.3179999999999998E-3</v>
      </c>
    </row>
    <row r="13" spans="1:46" ht="14.25" customHeight="1" x14ac:dyDescent="0.25">
      <c r="B13" s="348"/>
      <c r="C13" s="348"/>
      <c r="D13" s="332"/>
      <c r="E13" s="332"/>
      <c r="F13" s="135"/>
      <c r="G13" s="136"/>
      <c r="H13" s="137"/>
      <c r="I13" s="91"/>
      <c r="J13" s="136"/>
      <c r="K13" s="130"/>
      <c r="L13" s="130"/>
      <c r="M13" s="130"/>
      <c r="AJ13" s="322" t="s">
        <v>94</v>
      </c>
      <c r="AK13" s="123" t="s">
        <v>14</v>
      </c>
      <c r="AL13" s="115">
        <v>25</v>
      </c>
      <c r="AM13" s="196">
        <f t="shared" si="0"/>
        <v>2.9159999999999999</v>
      </c>
      <c r="AN13" s="126">
        <v>1</v>
      </c>
      <c r="AO13" s="120">
        <f t="shared" si="1"/>
        <v>72.899999999999991</v>
      </c>
      <c r="AP13" s="119">
        <f t="shared" si="2"/>
        <v>72.899999999999991</v>
      </c>
      <c r="AQ13" s="1153">
        <f>VLOOKUP(AJ13,Marination_Ordering!$A:$J,6,FALSE)</f>
        <v>1</v>
      </c>
      <c r="AR13" s="1153">
        <f>VLOOKUP(AJ13,Marination_Ordering!$A:$J,10,FALSE)</f>
        <v>0.74</v>
      </c>
      <c r="AS13" s="174">
        <f t="shared" si="5"/>
        <v>72.899999999999991</v>
      </c>
      <c r="AT13" s="1153">
        <f t="shared" si="6"/>
        <v>5.3945999999999994E-2</v>
      </c>
    </row>
    <row r="14" spans="1:46" ht="14.25" customHeight="1" x14ac:dyDescent="0.25">
      <c r="B14" s="348"/>
      <c r="C14" s="348"/>
      <c r="D14" s="332"/>
      <c r="E14" s="332"/>
      <c r="F14" s="135"/>
      <c r="G14" s="136"/>
      <c r="H14" s="137"/>
      <c r="I14" s="91"/>
      <c r="J14" s="136"/>
      <c r="K14" s="130"/>
      <c r="L14" s="130"/>
      <c r="M14" s="130"/>
      <c r="AJ14" s="322" t="s">
        <v>65</v>
      </c>
      <c r="AK14" s="123" t="s">
        <v>14</v>
      </c>
      <c r="AL14" s="115">
        <v>20</v>
      </c>
      <c r="AM14" s="196">
        <f t="shared" si="0"/>
        <v>2.9159999999999999</v>
      </c>
      <c r="AN14" s="126">
        <v>1</v>
      </c>
      <c r="AO14" s="120">
        <f t="shared" si="1"/>
        <v>58.32</v>
      </c>
      <c r="AP14" s="119">
        <f t="shared" si="2"/>
        <v>58.32</v>
      </c>
      <c r="AQ14" s="1153">
        <f>VLOOKUP(AJ14,Marination_Ordering!$A:$J,6,FALSE)</f>
        <v>0.65</v>
      </c>
      <c r="AR14" s="1153">
        <f>VLOOKUP(AJ14,Marination_Ordering!$A:$J,10,FALSE)</f>
        <v>3.5</v>
      </c>
      <c r="AS14" s="174">
        <f t="shared" si="5"/>
        <v>89.723076923076917</v>
      </c>
      <c r="AT14" s="1153">
        <f t="shared" si="6"/>
        <v>0.31403076923076922</v>
      </c>
    </row>
    <row r="15" spans="1:46" ht="14.25" customHeight="1" x14ac:dyDescent="0.25">
      <c r="B15" s="348"/>
      <c r="C15" s="348"/>
      <c r="D15" s="332"/>
      <c r="E15" s="332"/>
      <c r="F15" s="135"/>
      <c r="G15" s="136"/>
      <c r="H15" s="137"/>
      <c r="I15" s="91"/>
      <c r="J15" s="136"/>
      <c r="K15" s="130"/>
      <c r="L15" s="130"/>
      <c r="M15" s="130"/>
      <c r="AJ15" s="322" t="s">
        <v>190</v>
      </c>
      <c r="AK15" s="123" t="s">
        <v>14</v>
      </c>
      <c r="AL15" s="115">
        <v>100</v>
      </c>
      <c r="AM15" s="196">
        <f t="shared" si="0"/>
        <v>2.9159999999999999</v>
      </c>
      <c r="AN15" s="126">
        <v>1</v>
      </c>
      <c r="AO15" s="120">
        <f t="shared" si="1"/>
        <v>291.59999999999997</v>
      </c>
      <c r="AP15" s="119">
        <f t="shared" si="2"/>
        <v>291.59999999999997</v>
      </c>
      <c r="AQ15" s="1153">
        <f>VLOOKUP(AJ15,Marination_Ordering!$A:$J,6,FALSE)</f>
        <v>1</v>
      </c>
      <c r="AR15" s="1153">
        <f>VLOOKUP(AJ15,Marination_Ordering!$A:$J,10,FALSE)</f>
        <v>8.5</v>
      </c>
      <c r="AS15" s="174">
        <f t="shared" si="5"/>
        <v>291.59999999999997</v>
      </c>
      <c r="AT15" s="1153">
        <f t="shared" si="6"/>
        <v>2.4785999999999997</v>
      </c>
    </row>
    <row r="16" spans="1:46" ht="14.25" customHeight="1" x14ac:dyDescent="0.25">
      <c r="B16" s="348"/>
      <c r="C16" s="348"/>
      <c r="D16" s="332"/>
      <c r="E16" s="332"/>
      <c r="F16" s="135"/>
      <c r="G16" s="136"/>
      <c r="H16" s="137"/>
      <c r="I16" s="91"/>
      <c r="J16" s="136"/>
      <c r="K16" s="130"/>
      <c r="L16" s="130"/>
      <c r="M16" s="130"/>
      <c r="AJ16" s="322" t="s">
        <v>762</v>
      </c>
      <c r="AK16" s="123" t="s">
        <v>14</v>
      </c>
      <c r="AL16" s="115">
        <v>200</v>
      </c>
      <c r="AM16" s="196">
        <f t="shared" si="0"/>
        <v>2.9159999999999999</v>
      </c>
      <c r="AN16" s="126">
        <v>1</v>
      </c>
      <c r="AO16" s="120">
        <f t="shared" si="1"/>
        <v>583.19999999999993</v>
      </c>
      <c r="AP16" s="119">
        <f t="shared" si="2"/>
        <v>583.19999999999993</v>
      </c>
      <c r="AQ16" s="1153">
        <f>VLOOKUP(AJ16,Marination_Ordering!$A:$J,6,FALSE)</f>
        <v>1</v>
      </c>
      <c r="AR16" s="1153">
        <f>VLOOKUP(AJ16,Marination_Ordering!$A:$J,10,FALSE)</f>
        <v>10.5</v>
      </c>
      <c r="AS16" s="174">
        <f t="shared" si="5"/>
        <v>583.19999999999993</v>
      </c>
      <c r="AT16" s="1153">
        <f t="shared" si="6"/>
        <v>6.1235999999999997</v>
      </c>
    </row>
    <row r="17" spans="2:46" ht="14.25" customHeight="1" x14ac:dyDescent="0.25">
      <c r="B17" s="404"/>
      <c r="C17" s="404"/>
      <c r="D17" s="332"/>
      <c r="E17" s="332"/>
      <c r="F17" s="135"/>
      <c r="G17" s="136"/>
      <c r="H17" s="137"/>
      <c r="I17" s="91"/>
      <c r="J17" s="136"/>
      <c r="K17" s="130"/>
      <c r="L17" s="130"/>
      <c r="M17" s="130"/>
      <c r="AJ17" s="322" t="s">
        <v>145</v>
      </c>
      <c r="AK17" s="123" t="s">
        <v>14</v>
      </c>
      <c r="AL17" s="115">
        <v>25</v>
      </c>
      <c r="AM17" s="196">
        <f t="shared" si="0"/>
        <v>2.9159999999999999</v>
      </c>
      <c r="AN17" s="126">
        <v>1</v>
      </c>
      <c r="AO17" s="120">
        <f t="shared" si="1"/>
        <v>72.899999999999991</v>
      </c>
      <c r="AP17" s="119">
        <f t="shared" si="2"/>
        <v>72.899999999999991</v>
      </c>
      <c r="AQ17" s="1153">
        <f>VLOOKUP(AJ17,Marination_Ordering!$A:$J,6,FALSE)</f>
        <v>1</v>
      </c>
      <c r="AR17" s="1153">
        <f>VLOOKUP(AJ17,Marination_Ordering!$A:$J,10,FALSE)</f>
        <v>18</v>
      </c>
      <c r="AS17" s="174">
        <f t="shared" si="5"/>
        <v>72.899999999999991</v>
      </c>
      <c r="AT17" s="1153">
        <f t="shared" si="6"/>
        <v>1.3121999999999998</v>
      </c>
    </row>
    <row r="18" spans="2:46" ht="14.25" customHeight="1" x14ac:dyDescent="0.25">
      <c r="B18" s="348"/>
      <c r="C18" s="348"/>
      <c r="D18" s="332"/>
      <c r="E18" s="332"/>
      <c r="F18" s="135"/>
      <c r="G18" s="136"/>
      <c r="H18" s="137"/>
      <c r="I18" s="91"/>
      <c r="J18" s="136"/>
      <c r="K18" s="130"/>
      <c r="L18" s="130"/>
      <c r="M18" s="136"/>
      <c r="N18" s="130"/>
      <c r="O18" s="130"/>
    </row>
    <row r="19" spans="2:46" ht="14.25" customHeight="1" x14ac:dyDescent="0.3">
      <c r="B19" s="11"/>
      <c r="C19" s="11"/>
      <c r="D19" s="336"/>
      <c r="E19" s="99"/>
      <c r="F19" s="99"/>
      <c r="K19" s="138"/>
      <c r="L19" s="91"/>
      <c r="M19" s="136"/>
      <c r="N19" s="130"/>
      <c r="O19" s="130"/>
    </row>
    <row r="20" spans="2:46" ht="14.25" customHeight="1" x14ac:dyDescent="0.3">
      <c r="B20" s="11"/>
      <c r="C20" s="335"/>
      <c r="D20" s="336"/>
      <c r="E20" s="99"/>
      <c r="F20" s="99"/>
      <c r="K20" s="138"/>
      <c r="L20" s="91"/>
      <c r="M20" s="136"/>
      <c r="N20" s="130"/>
      <c r="O20" s="130"/>
    </row>
    <row r="21" spans="2:46" ht="12.75" customHeight="1" x14ac:dyDescent="0.3">
      <c r="B21" s="11"/>
      <c r="C21" s="335"/>
      <c r="D21" s="336"/>
      <c r="E21" s="99"/>
      <c r="F21" s="99"/>
      <c r="K21" s="138"/>
      <c r="L21" s="91"/>
      <c r="M21" s="136"/>
      <c r="N21" s="130"/>
      <c r="O21" s="130"/>
    </row>
    <row r="22" spans="2:46" ht="12.75" customHeight="1" x14ac:dyDescent="0.25">
      <c r="B22" s="99"/>
      <c r="E22" s="99"/>
      <c r="F22" s="99"/>
      <c r="K22" s="138"/>
      <c r="L22" s="91"/>
      <c r="M22" s="136"/>
      <c r="N22" s="130"/>
      <c r="O22" s="130"/>
    </row>
    <row r="23" spans="2:46" ht="12.75" customHeight="1" x14ac:dyDescent="0.25">
      <c r="B23" s="99"/>
      <c r="E23" s="99"/>
      <c r="F23" s="99"/>
      <c r="K23" s="138"/>
      <c r="L23" s="91"/>
    </row>
    <row r="24" spans="2:46" ht="12.75" customHeight="1" x14ac:dyDescent="0.25">
      <c r="Z24" s="1208"/>
    </row>
    <row r="25" spans="2:46" ht="12.75" customHeight="1" x14ac:dyDescent="0.3">
      <c r="R25" s="1467" t="s">
        <v>372</v>
      </c>
      <c r="S25" s="1444"/>
      <c r="T25" s="1444"/>
      <c r="U25" s="1444"/>
      <c r="V25" s="1132"/>
      <c r="Z25" s="140" t="s">
        <v>256</v>
      </c>
      <c r="AA25" s="141">
        <v>1</v>
      </c>
      <c r="AB25" s="140" t="s">
        <v>253</v>
      </c>
      <c r="AC25" s="142">
        <f>AE30*AA25</f>
        <v>5.652359990997355</v>
      </c>
    </row>
    <row r="26" spans="2:46" ht="12.75" customHeight="1" x14ac:dyDescent="0.25">
      <c r="R26" s="1451" t="s">
        <v>295</v>
      </c>
      <c r="S26" s="1460"/>
      <c r="T26" s="1460"/>
      <c r="U26" s="1460"/>
      <c r="V26" s="1132"/>
    </row>
    <row r="27" spans="2:46" ht="14" customHeight="1" thickBot="1" x14ac:dyDescent="0.35">
      <c r="R27" s="144" t="s">
        <v>258</v>
      </c>
      <c r="S27" s="144" t="s">
        <v>302</v>
      </c>
      <c r="T27" s="144" t="s">
        <v>260</v>
      </c>
      <c r="U27" s="144" t="s">
        <v>266</v>
      </c>
      <c r="V27" s="145" t="s">
        <v>808</v>
      </c>
      <c r="W27" s="145" t="s">
        <v>835</v>
      </c>
      <c r="X27" s="145" t="s">
        <v>834</v>
      </c>
      <c r="Z27" s="140" t="s">
        <v>262</v>
      </c>
      <c r="AA27" s="146" t="s">
        <v>808</v>
      </c>
      <c r="AB27" s="146" t="s">
        <v>263</v>
      </c>
      <c r="AC27" s="146" t="s">
        <v>821</v>
      </c>
      <c r="AD27" s="146" t="s">
        <v>818</v>
      </c>
      <c r="AE27" s="146" t="s">
        <v>266</v>
      </c>
    </row>
    <row r="28" spans="2:46" ht="14" customHeight="1" thickBot="1" x14ac:dyDescent="0.35">
      <c r="M28" s="337"/>
      <c r="R28" s="144" t="s">
        <v>267</v>
      </c>
      <c r="S28" s="1362">
        <f>$Z$1</f>
        <v>238</v>
      </c>
      <c r="T28" s="1372"/>
      <c r="U28" s="1372">
        <f>S28</f>
        <v>238</v>
      </c>
      <c r="V28" s="148">
        <f>SUM(AP5:AP13)</f>
        <v>2449.44</v>
      </c>
      <c r="W28" s="148">
        <f>SUM(L6)</f>
        <v>39.860526315789478</v>
      </c>
      <c r="X28" s="148">
        <f>K13</f>
        <v>0</v>
      </c>
      <c r="Z28" s="150"/>
      <c r="AA28" s="1186"/>
      <c r="AB28" s="151">
        <f>AA25*$S$40</f>
        <v>1</v>
      </c>
      <c r="AC28" s="1186"/>
      <c r="AD28" s="1186"/>
      <c r="AE28" s="153">
        <f>SUM(AB28:AB28)</f>
        <v>1</v>
      </c>
    </row>
    <row r="29" spans="2:46" ht="14" customHeight="1" thickBot="1" x14ac:dyDescent="0.35">
      <c r="R29" s="144" t="s">
        <v>268</v>
      </c>
      <c r="S29" s="1381"/>
      <c r="T29" s="338"/>
      <c r="U29" s="1372">
        <f>T29</f>
        <v>0</v>
      </c>
      <c r="V29" s="148"/>
      <c r="W29" s="148"/>
      <c r="X29" s="148"/>
      <c r="Z29" s="150"/>
      <c r="AA29" s="1186"/>
      <c r="AB29" s="155">
        <f>AB28/$AE$28</f>
        <v>1</v>
      </c>
      <c r="AC29" s="1186"/>
      <c r="AD29" s="1186"/>
      <c r="AE29" s="155">
        <f>AE28/$AE$28</f>
        <v>1</v>
      </c>
    </row>
    <row r="30" spans="2:46" ht="14" customHeight="1" thickBot="1" x14ac:dyDescent="0.35">
      <c r="R30" s="144" t="s">
        <v>269</v>
      </c>
      <c r="S30" s="1363">
        <f>$AB$1</f>
        <v>5</v>
      </c>
      <c r="T30" s="1372"/>
      <c r="U30" s="1372"/>
      <c r="V30" s="1124"/>
      <c r="W30" s="1124"/>
      <c r="X30" s="1124"/>
      <c r="Z30" s="140" t="s">
        <v>270</v>
      </c>
      <c r="AA30" s="1126">
        <f>V35/$AF$1</f>
        <v>0.20956201668011837</v>
      </c>
      <c r="AB30" s="156">
        <f>S35/(AF1)</f>
        <v>4.678762886597938</v>
      </c>
      <c r="AC30" s="1126">
        <f>W35/AF1</f>
        <v>0.16403508771929826</v>
      </c>
      <c r="AD30" s="1126">
        <f>X35/$AF$1</f>
        <v>0.6</v>
      </c>
      <c r="AE30" s="1183">
        <f>AB30+AD30+AC30+AA30</f>
        <v>5.652359990997355</v>
      </c>
    </row>
    <row r="31" spans="2:46" ht="14" customHeight="1" thickBot="1" x14ac:dyDescent="0.35">
      <c r="R31" s="144" t="s">
        <v>271</v>
      </c>
      <c r="S31" s="293" t="s">
        <v>314</v>
      </c>
      <c r="T31" s="338"/>
      <c r="U31" s="338"/>
      <c r="V31" s="148"/>
      <c r="W31" s="148"/>
      <c r="X31" s="148"/>
    </row>
    <row r="32" spans="2:46" ht="14" customHeight="1" thickBot="1" x14ac:dyDescent="0.35">
      <c r="R32" s="145" t="s">
        <v>261</v>
      </c>
      <c r="S32" s="1254">
        <f>S28+S30</f>
        <v>243</v>
      </c>
      <c r="T32" s="339">
        <f>SUM(T28:T30)</f>
        <v>0</v>
      </c>
      <c r="U32" s="339">
        <f>T32+S32</f>
        <v>243</v>
      </c>
      <c r="V32" s="148"/>
      <c r="W32" s="148"/>
      <c r="X32" s="148"/>
    </row>
    <row r="33" spans="2:24" ht="14" customHeight="1" thickBot="1" x14ac:dyDescent="0.35">
      <c r="R33" s="340" t="s">
        <v>258</v>
      </c>
      <c r="S33" s="341"/>
      <c r="T33" s="341">
        <f>F40+F59</f>
        <v>0</v>
      </c>
      <c r="U33" s="342"/>
      <c r="V33" s="154"/>
      <c r="W33" s="154"/>
      <c r="X33" s="154"/>
    </row>
    <row r="34" spans="2:24" ht="14" customHeight="1" thickBot="1" x14ac:dyDescent="0.35">
      <c r="R34" s="177" t="s">
        <v>273</v>
      </c>
      <c r="S34" s="343"/>
      <c r="T34" s="344">
        <f>T33-(T28+T29)</f>
        <v>0</v>
      </c>
      <c r="U34" s="343"/>
      <c r="V34" s="154"/>
      <c r="W34" s="154"/>
      <c r="X34" s="154"/>
    </row>
    <row r="35" spans="2:24" ht="12.75" customHeight="1" thickBot="1" x14ac:dyDescent="0.35">
      <c r="R35" s="162" t="s">
        <v>253</v>
      </c>
      <c r="S35" s="1125">
        <f>L5</f>
        <v>1136.939381443299</v>
      </c>
      <c r="T35" s="1125">
        <f>SUM(O6:O19)</f>
        <v>0</v>
      </c>
      <c r="U35" s="1184">
        <f>S35+T35+V35+W35+X35</f>
        <v>1373.5234778123572</v>
      </c>
      <c r="V35" s="1125">
        <f>SUM(AT6:AT13)</f>
        <v>50.923570053268762</v>
      </c>
      <c r="W35" s="1125">
        <f>L6</f>
        <v>39.860526315789478</v>
      </c>
      <c r="X35" s="1125">
        <f>L7</f>
        <v>145.79999999999998</v>
      </c>
    </row>
    <row r="36" spans="2:24" ht="12.75" customHeight="1" x14ac:dyDescent="0.25"/>
    <row r="37" spans="2:24" ht="12.75" customHeight="1" x14ac:dyDescent="0.25"/>
    <row r="38" spans="2:24" ht="12.75" customHeight="1" x14ac:dyDescent="0.25"/>
    <row r="39" spans="2:24" ht="12.75" customHeight="1" x14ac:dyDescent="0.25">
      <c r="B39" s="99"/>
      <c r="E39" s="99"/>
      <c r="F39" s="99"/>
    </row>
    <row r="40" spans="2:24" ht="46.5" customHeight="1" x14ac:dyDescent="0.3">
      <c r="B40" s="99"/>
      <c r="C40" s="99"/>
      <c r="D40" s="345"/>
      <c r="E40" s="99"/>
      <c r="F40" s="99"/>
      <c r="G40" s="99"/>
      <c r="H40" s="99"/>
      <c r="I40" s="99"/>
      <c r="J40" s="99"/>
      <c r="R40" s="164" t="s">
        <v>274</v>
      </c>
      <c r="S40" s="165">
        <v>1</v>
      </c>
      <c r="T40" s="164" t="s">
        <v>275</v>
      </c>
      <c r="U40" s="166">
        <v>0</v>
      </c>
      <c r="V40" s="167">
        <f>S40+U40</f>
        <v>1</v>
      </c>
    </row>
    <row r="41" spans="2:24" ht="17.75" customHeight="1" x14ac:dyDescent="0.25">
      <c r="B41" s="99"/>
      <c r="C41" s="99"/>
      <c r="D41" s="99"/>
      <c r="E41" s="99"/>
      <c r="F41" s="99"/>
      <c r="G41" s="99"/>
      <c r="H41" s="99"/>
      <c r="I41" s="99"/>
      <c r="J41" s="99"/>
      <c r="U41" s="168"/>
    </row>
    <row r="42" spans="2:24" ht="17.75" customHeight="1" x14ac:dyDescent="0.25">
      <c r="B42" s="1493"/>
      <c r="C42" s="1460"/>
      <c r="D42" s="1460"/>
      <c r="E42" s="1460"/>
      <c r="F42" s="1460"/>
      <c r="G42" s="1460"/>
      <c r="H42" s="1460"/>
      <c r="I42" s="1460"/>
      <c r="J42" s="1460"/>
    </row>
    <row r="43" spans="2:24" ht="12.75" customHeight="1" x14ac:dyDescent="0.3">
      <c r="B43" s="1465"/>
      <c r="C43" s="1460"/>
      <c r="D43" s="1460"/>
      <c r="E43" s="1460"/>
      <c r="F43" s="1460"/>
      <c r="G43" s="1460"/>
      <c r="H43" s="1460"/>
      <c r="I43" s="1460"/>
      <c r="J43" s="1460"/>
      <c r="Q43" s="169" t="s">
        <v>276</v>
      </c>
      <c r="R43" s="169" t="s">
        <v>277</v>
      </c>
      <c r="S43" s="169" t="s">
        <v>278</v>
      </c>
      <c r="T43" s="169" t="s">
        <v>279</v>
      </c>
      <c r="U43" s="169" t="s">
        <v>280</v>
      </c>
      <c r="V43" s="169" t="s">
        <v>281</v>
      </c>
      <c r="W43" s="169" t="s">
        <v>282</v>
      </c>
    </row>
    <row r="44" spans="2:24" ht="14" customHeight="1" x14ac:dyDescent="0.3">
      <c r="B44" s="346"/>
      <c r="C44" s="347"/>
      <c r="D44" s="346"/>
      <c r="E44" s="346"/>
      <c r="F44" s="346"/>
      <c r="G44" s="346"/>
      <c r="H44" s="346"/>
      <c r="I44" s="346"/>
      <c r="J44" s="346"/>
      <c r="Q44" s="171">
        <v>18841</v>
      </c>
      <c r="R44" s="172">
        <f>E51</f>
        <v>0</v>
      </c>
      <c r="S44" s="173">
        <v>0</v>
      </c>
      <c r="T44" s="173">
        <v>0</v>
      </c>
      <c r="U44" s="241">
        <f>R44*S44</f>
        <v>0</v>
      </c>
      <c r="V44" s="175">
        <f>R44*T44</f>
        <v>0</v>
      </c>
      <c r="W44" s="175">
        <f>Q44-U44</f>
        <v>18841</v>
      </c>
    </row>
    <row r="45" spans="2:24" ht="14" customHeight="1" x14ac:dyDescent="0.25">
      <c r="B45" s="348"/>
      <c r="C45" s="348"/>
      <c r="D45" s="332"/>
      <c r="E45" s="332"/>
      <c r="F45" s="135"/>
      <c r="G45" s="136"/>
      <c r="H45" s="137"/>
      <c r="I45" s="91"/>
      <c r="J45" s="138"/>
    </row>
    <row r="46" spans="2:24" ht="14.25" customHeight="1" x14ac:dyDescent="0.25">
      <c r="B46" s="348"/>
      <c r="C46" s="348"/>
      <c r="D46" s="332"/>
      <c r="E46" s="332"/>
      <c r="F46" s="135"/>
      <c r="G46" s="136"/>
      <c r="H46" s="137"/>
      <c r="I46" s="91"/>
      <c r="J46" s="138"/>
    </row>
    <row r="47" spans="2:24" ht="14.25" customHeight="1" x14ac:dyDescent="0.25">
      <c r="B47" s="348"/>
      <c r="C47" s="348"/>
      <c r="D47" s="332"/>
      <c r="E47" s="332"/>
      <c r="F47" s="135"/>
      <c r="G47" s="136"/>
      <c r="H47" s="137"/>
      <c r="I47" s="91"/>
      <c r="J47" s="138"/>
    </row>
    <row r="48" spans="2:24" ht="14.25" customHeight="1" x14ac:dyDescent="0.25">
      <c r="B48" s="348"/>
      <c r="C48" s="348"/>
      <c r="D48" s="332"/>
      <c r="E48" s="332"/>
      <c r="F48" s="135"/>
      <c r="G48" s="136"/>
      <c r="H48" s="137"/>
      <c r="I48" s="91"/>
      <c r="J48" s="138"/>
    </row>
    <row r="49" spans="1:14" ht="14.25" customHeight="1" x14ac:dyDescent="0.25">
      <c r="B49" s="348"/>
      <c r="C49" s="348"/>
      <c r="D49" s="332"/>
      <c r="E49" s="332"/>
      <c r="F49" s="135"/>
      <c r="G49" s="136"/>
      <c r="H49" s="137"/>
      <c r="I49" s="91"/>
      <c r="J49" s="138"/>
    </row>
    <row r="50" spans="1:14" ht="14.25" customHeight="1" x14ac:dyDescent="0.3">
      <c r="B50" s="349"/>
      <c r="C50" s="177" t="s">
        <v>237</v>
      </c>
      <c r="D50" s="177" t="s">
        <v>283</v>
      </c>
      <c r="E50" s="99"/>
      <c r="F50" s="99"/>
      <c r="G50" s="144" t="s">
        <v>284</v>
      </c>
      <c r="H50" s="144" t="s">
        <v>237</v>
      </c>
      <c r="I50" s="177" t="s">
        <v>285</v>
      </c>
      <c r="J50" s="177" t="s">
        <v>286</v>
      </c>
    </row>
    <row r="51" spans="1:14" ht="14.25" customHeight="1" x14ac:dyDescent="0.3">
      <c r="B51" s="179" t="s">
        <v>287</v>
      </c>
      <c r="C51" s="180">
        <f>10/$K$1</f>
        <v>10</v>
      </c>
      <c r="D51" s="181">
        <f>$C$1*10</f>
        <v>10</v>
      </c>
      <c r="E51" s="182"/>
      <c r="F51" s="99"/>
      <c r="G51" s="179" t="s">
        <v>287</v>
      </c>
      <c r="H51" s="276">
        <f>I51/$D$5</f>
        <v>209.34444444444443</v>
      </c>
      <c r="I51" s="180">
        <f>J51/$R$1</f>
        <v>25121.333333333332</v>
      </c>
      <c r="J51" s="180">
        <f>$W$44</f>
        <v>18841</v>
      </c>
    </row>
    <row r="52" spans="1:14" ht="14.25" customHeight="1" x14ac:dyDescent="0.3">
      <c r="B52" s="230" t="s">
        <v>266</v>
      </c>
      <c r="C52" s="231">
        <f>$I$1</f>
        <v>0</v>
      </c>
      <c r="D52" s="232">
        <f>$E$1</f>
        <v>243</v>
      </c>
      <c r="E52" s="99"/>
      <c r="F52" s="99"/>
      <c r="G52" s="147" t="s">
        <v>266</v>
      </c>
      <c r="H52" s="114">
        <f>I52/$D$5</f>
        <v>194.4</v>
      </c>
      <c r="I52" s="175">
        <f>J52/$R$1</f>
        <v>23328</v>
      </c>
      <c r="J52" s="183">
        <f>$U$32*$T$1*0.8</f>
        <v>17496</v>
      </c>
    </row>
    <row r="53" spans="1:14" ht="14.25" customHeight="1" x14ac:dyDescent="0.3">
      <c r="B53" s="230" t="s">
        <v>288</v>
      </c>
      <c r="C53" s="233">
        <f>MIN(C52, C51)</f>
        <v>0</v>
      </c>
      <c r="D53" s="232">
        <f>(C53*$K$1)*$C$1</f>
        <v>0</v>
      </c>
      <c r="E53" s="99"/>
      <c r="F53" s="99"/>
      <c r="G53" s="147" t="s">
        <v>288</v>
      </c>
      <c r="H53" s="186">
        <f>MIN(H52,H51)</f>
        <v>194.4</v>
      </c>
      <c r="I53" s="175">
        <f>J53/$R$1</f>
        <v>23328</v>
      </c>
      <c r="J53" s="175">
        <f>MIN(J52,J51)</f>
        <v>17496</v>
      </c>
    </row>
    <row r="54" spans="1:14" ht="14.25" customHeight="1" x14ac:dyDescent="0.3">
      <c r="B54" s="230" t="s">
        <v>289</v>
      </c>
      <c r="C54" s="233">
        <f>MIN(MAX(C52-C53,0),C51)</f>
        <v>0</v>
      </c>
      <c r="D54" s="232">
        <f>(C54*$K$1)*$C$1</f>
        <v>0</v>
      </c>
      <c r="E54" s="99"/>
      <c r="F54" s="99"/>
      <c r="G54" s="147" t="s">
        <v>289</v>
      </c>
      <c r="H54" s="186">
        <f>MIN(MAX(H52-H53),H51)</f>
        <v>0</v>
      </c>
      <c r="I54" s="175">
        <f>J54/$R$1</f>
        <v>0</v>
      </c>
      <c r="J54" s="175">
        <f>MIN(MAX(J52-J53),J51)</f>
        <v>0</v>
      </c>
    </row>
    <row r="55" spans="1:14" ht="14.25" customHeight="1" x14ac:dyDescent="0.3">
      <c r="B55" s="230" t="s">
        <v>290</v>
      </c>
      <c r="C55" s="233">
        <f>MIN(MAX(C52-C53-C54,0),C51)</f>
        <v>0</v>
      </c>
      <c r="D55" s="232">
        <f>(C55*$K$1)*$C$1</f>
        <v>0</v>
      </c>
      <c r="E55" s="99"/>
      <c r="F55" s="99"/>
      <c r="G55" s="144" t="s">
        <v>290</v>
      </c>
      <c r="H55" s="186">
        <f>MIN(MAX(H52-H53-H54),H51)</f>
        <v>0</v>
      </c>
      <c r="I55" s="175">
        <f>J55/$R$1</f>
        <v>0</v>
      </c>
      <c r="J55" s="175">
        <f>MIN(MAX(J52-J53-J54),J51)</f>
        <v>0</v>
      </c>
    </row>
    <row r="56" spans="1:14" ht="14.25" customHeight="1" x14ac:dyDescent="0.25"/>
    <row r="57" spans="1:14" ht="17.75" customHeight="1" x14ac:dyDescent="0.25"/>
    <row r="58" spans="1:14" ht="12.75" customHeight="1" x14ac:dyDescent="0.25">
      <c r="B58" s="1465"/>
      <c r="C58" s="1460"/>
      <c r="D58" s="1460"/>
      <c r="E58" s="1460"/>
      <c r="F58" s="1460"/>
      <c r="G58" s="1460"/>
      <c r="H58" s="1460"/>
      <c r="I58" s="1460"/>
      <c r="J58" s="1460"/>
    </row>
    <row r="59" spans="1:14" ht="14.25" customHeight="1" x14ac:dyDescent="0.25">
      <c r="B59" s="346"/>
      <c r="C59" s="347"/>
      <c r="D59" s="346"/>
      <c r="E59" s="346"/>
      <c r="F59" s="346"/>
      <c r="G59" s="346"/>
      <c r="H59" s="346"/>
      <c r="I59" s="346"/>
      <c r="J59" s="346"/>
    </row>
    <row r="60" spans="1:14" ht="14.25" customHeight="1" x14ac:dyDescent="0.25">
      <c r="B60" s="348"/>
      <c r="C60" s="348"/>
      <c r="D60" s="348"/>
      <c r="E60" s="332"/>
      <c r="F60" s="135"/>
      <c r="G60" s="136"/>
      <c r="H60" s="137"/>
      <c r="I60" s="91"/>
      <c r="J60" s="138"/>
    </row>
    <row r="61" spans="1:14" ht="14.25" customHeight="1" x14ac:dyDescent="0.25">
      <c r="B61" s="348"/>
      <c r="C61" s="348"/>
      <c r="D61" s="348"/>
      <c r="E61" s="332"/>
      <c r="F61" s="135"/>
      <c r="G61" s="136"/>
      <c r="H61" s="137"/>
      <c r="I61" s="91"/>
      <c r="J61" s="138"/>
    </row>
    <row r="62" spans="1:14" ht="18" customHeight="1" x14ac:dyDescent="0.25">
      <c r="A62" s="927"/>
      <c r="B62" s="1447"/>
      <c r="C62" s="1461"/>
      <c r="D62" s="1461"/>
      <c r="E62" s="1461"/>
      <c r="F62" s="1461"/>
      <c r="G62" s="1461"/>
      <c r="H62" s="1461"/>
    </row>
    <row r="63" spans="1:14" ht="14" x14ac:dyDescent="0.3">
      <c r="A63" s="927"/>
      <c r="B63" s="1438" t="s">
        <v>372</v>
      </c>
      <c r="C63" s="1439"/>
      <c r="D63" s="1439"/>
      <c r="E63" s="1439"/>
      <c r="F63" s="1439"/>
      <c r="G63" s="1439"/>
      <c r="H63" s="1439"/>
    </row>
    <row r="64" spans="1:14" ht="38.75" customHeight="1" x14ac:dyDescent="0.25">
      <c r="A64" s="90" t="s">
        <v>1</v>
      </c>
      <c r="B64" s="242" t="s">
        <v>245</v>
      </c>
      <c r="C64" s="243" t="s">
        <v>246</v>
      </c>
      <c r="D64" s="244" t="s">
        <v>235</v>
      </c>
      <c r="E64" s="217" t="s">
        <v>238</v>
      </c>
      <c r="F64" s="217" t="s">
        <v>247</v>
      </c>
      <c r="G64" s="244" t="s">
        <v>248</v>
      </c>
      <c r="H64" s="217" t="s">
        <v>249</v>
      </c>
      <c r="M64" s="130"/>
      <c r="N64" s="130"/>
    </row>
    <row r="65" spans="1:12" ht="14.25" customHeight="1" x14ac:dyDescent="0.25">
      <c r="A65" s="294" t="s">
        <v>225</v>
      </c>
      <c r="B65" s="322" t="str">
        <f t="shared" ref="B65:D67" si="7">B5</f>
        <v>Top Side - توب سايد مفروم</v>
      </c>
      <c r="C65" s="22" t="str">
        <f t="shared" si="7"/>
        <v>kg</v>
      </c>
      <c r="D65" s="781">
        <f t="shared" si="7"/>
        <v>120</v>
      </c>
      <c r="E65" s="115">
        <f>$D$52</f>
        <v>243</v>
      </c>
      <c r="F65" s="126">
        <f>F5</f>
        <v>1</v>
      </c>
      <c r="G65" s="120">
        <f>D65*E65</f>
        <v>29160</v>
      </c>
      <c r="H65" s="119">
        <f>G65*F65</f>
        <v>29160</v>
      </c>
      <c r="I65" s="91"/>
      <c r="J65" s="136"/>
      <c r="K65" s="91"/>
      <c r="L65" s="136"/>
    </row>
    <row r="66" spans="1:12" ht="14.25" customHeight="1" x14ac:dyDescent="0.25">
      <c r="A66" s="294" t="s">
        <v>95</v>
      </c>
      <c r="B66" s="322" t="str">
        <f t="shared" si="7"/>
        <v>Iceberg Lettuce  - خس مدور أمريكى</v>
      </c>
      <c r="C66" s="22" t="str">
        <f t="shared" si="7"/>
        <v>gm</v>
      </c>
      <c r="D66" s="781">
        <f t="shared" si="7"/>
        <v>11</v>
      </c>
      <c r="E66" s="115">
        <f>$D$52</f>
        <v>243</v>
      </c>
      <c r="F66" s="126">
        <f>F6</f>
        <v>1</v>
      </c>
      <c r="G66" s="120">
        <f>D66*E66</f>
        <v>2673</v>
      </c>
      <c r="H66" s="119">
        <f>G66*F66</f>
        <v>2673</v>
      </c>
    </row>
    <row r="67" spans="1:12" ht="14.25" customHeight="1" x14ac:dyDescent="0.25">
      <c r="B67" s="322" t="str">
        <f t="shared" si="7"/>
        <v>Whole Wheat Burger Buns 70gm - خبز برجر بني</v>
      </c>
      <c r="C67" s="22" t="str">
        <f t="shared" si="7"/>
        <v>Piece</v>
      </c>
      <c r="D67" s="781">
        <f t="shared" si="7"/>
        <v>1</v>
      </c>
      <c r="E67" s="115">
        <f>$D$52</f>
        <v>243</v>
      </c>
      <c r="F67" s="126">
        <f>F7</f>
        <v>1</v>
      </c>
      <c r="G67" s="120">
        <f>D67*E67</f>
        <v>243</v>
      </c>
      <c r="H67" s="119">
        <f>G67*F67</f>
        <v>243</v>
      </c>
    </row>
    <row r="68" spans="1:12" ht="24.5" customHeight="1" x14ac:dyDescent="0.3">
      <c r="A68" s="210"/>
      <c r="B68" s="197" t="s">
        <v>291</v>
      </c>
      <c r="C68" s="931" t="s">
        <v>277</v>
      </c>
      <c r="D68" s="930"/>
      <c r="E68" s="931" t="s">
        <v>292</v>
      </c>
      <c r="F68" s="930"/>
      <c r="G68" s="932" t="s">
        <v>268</v>
      </c>
      <c r="H68" s="932" t="s">
        <v>703</v>
      </c>
    </row>
    <row r="69" spans="1:12" ht="20.75" customHeight="1" x14ac:dyDescent="0.4">
      <c r="A69" s="210"/>
      <c r="B69" s="198">
        <f>$J$53</f>
        <v>17496</v>
      </c>
      <c r="C69" s="198">
        <f>E69+G69</f>
        <v>0</v>
      </c>
      <c r="D69" s="915"/>
      <c r="E69" s="198">
        <f>$C$53*$S$44</f>
        <v>0</v>
      </c>
      <c r="F69" s="919"/>
      <c r="G69" s="198">
        <f>$D$53*$T$44</f>
        <v>0</v>
      </c>
      <c r="H69" s="198">
        <f>B69+E69</f>
        <v>17496</v>
      </c>
    </row>
    <row r="70" spans="1:12" ht="20" customHeight="1" x14ac:dyDescent="0.25">
      <c r="E70" s="99"/>
      <c r="F70" s="99"/>
    </row>
    <row r="71" spans="1:12" ht="14.25" customHeight="1" x14ac:dyDescent="0.25">
      <c r="B71" s="99"/>
      <c r="E71" s="99"/>
      <c r="F71" s="99"/>
    </row>
    <row r="72" spans="1:12" ht="14.25" customHeight="1" x14ac:dyDescent="0.25">
      <c r="B72" s="99"/>
      <c r="E72" s="99"/>
      <c r="F72" s="99"/>
    </row>
    <row r="73" spans="1:12" ht="14.25" customHeight="1" x14ac:dyDescent="0.25">
      <c r="B73" s="99"/>
      <c r="E73" s="99"/>
      <c r="F73" s="99"/>
    </row>
    <row r="74" spans="1:12" ht="12.75" customHeight="1" x14ac:dyDescent="0.25">
      <c r="B74" s="99"/>
    </row>
    <row r="76" spans="1:12" ht="12.75" customHeight="1" x14ac:dyDescent="0.25">
      <c r="E76" s="99"/>
      <c r="F76" s="99"/>
    </row>
    <row r="77" spans="1:12" ht="12.75" customHeight="1" x14ac:dyDescent="0.25">
      <c r="E77" s="99"/>
      <c r="F77" s="99"/>
    </row>
    <row r="78" spans="1:12" ht="12.75" customHeight="1" x14ac:dyDescent="0.25">
      <c r="B78" s="99"/>
      <c r="E78" s="99"/>
      <c r="F78" s="99"/>
    </row>
    <row r="79" spans="1:12" ht="12.75" customHeight="1" x14ac:dyDescent="0.25">
      <c r="B79" s="99"/>
      <c r="E79" s="99"/>
      <c r="F79" s="99"/>
    </row>
    <row r="80" spans="1:12" ht="12.75" customHeight="1" x14ac:dyDescent="0.25">
      <c r="B80" s="99"/>
      <c r="E80" s="99"/>
      <c r="F80" s="99"/>
    </row>
    <row r="81" spans="2:6" ht="12.75" customHeight="1" x14ac:dyDescent="0.25">
      <c r="B81" s="99"/>
      <c r="E81" s="99"/>
      <c r="F81" s="99"/>
    </row>
    <row r="82" spans="2:6" ht="12.75" customHeight="1" x14ac:dyDescent="0.25">
      <c r="B82" s="99"/>
      <c r="E82" s="99"/>
      <c r="F82" s="99"/>
    </row>
    <row r="83" spans="2:6" ht="12.75" customHeight="1" x14ac:dyDescent="0.25">
      <c r="B83" s="99"/>
      <c r="E83" s="99"/>
      <c r="F83" s="99"/>
    </row>
    <row r="84" spans="2:6" ht="12.75" customHeight="1" x14ac:dyDescent="0.25">
      <c r="B84" s="99"/>
      <c r="E84" s="99"/>
      <c r="F84" s="99"/>
    </row>
    <row r="85" spans="2:6" ht="12.75" customHeight="1" x14ac:dyDescent="0.25">
      <c r="B85" s="99"/>
      <c r="E85" s="99"/>
      <c r="F85" s="99"/>
    </row>
    <row r="86" spans="2:6" ht="12.75" customHeight="1" x14ac:dyDescent="0.25">
      <c r="B86" s="99"/>
      <c r="E86" s="99"/>
      <c r="F86" s="99"/>
    </row>
    <row r="87" spans="2:6" ht="12.75" customHeight="1" x14ac:dyDescent="0.25">
      <c r="B87" s="99"/>
      <c r="E87" s="99"/>
      <c r="F87" s="99"/>
    </row>
    <row r="88" spans="2:6" ht="12.75" customHeight="1" x14ac:dyDescent="0.25">
      <c r="B88" s="99"/>
      <c r="E88" s="99"/>
      <c r="F88" s="99"/>
    </row>
    <row r="89" spans="2:6" ht="12.75" customHeight="1" x14ac:dyDescent="0.25">
      <c r="B89" s="99"/>
      <c r="E89" s="99"/>
      <c r="F89" s="99"/>
    </row>
    <row r="90" spans="2:6" ht="12.75" customHeight="1" x14ac:dyDescent="0.25">
      <c r="B90" s="99"/>
      <c r="E90" s="99"/>
      <c r="F90" s="99"/>
    </row>
    <row r="91" spans="2:6" ht="12.75" customHeight="1" x14ac:dyDescent="0.25">
      <c r="B91" s="99"/>
      <c r="E91" s="99"/>
      <c r="F91" s="99"/>
    </row>
    <row r="92" spans="2:6" ht="12.75" customHeight="1" x14ac:dyDescent="0.25">
      <c r="B92" s="99"/>
      <c r="E92" s="99"/>
      <c r="F92" s="99"/>
    </row>
    <row r="93" spans="2:6" ht="12.75" customHeight="1" x14ac:dyDescent="0.25">
      <c r="B93" s="99"/>
      <c r="E93" s="99"/>
      <c r="F93" s="99"/>
    </row>
    <row r="94" spans="2:6" ht="12.75" customHeight="1" x14ac:dyDescent="0.25">
      <c r="B94" s="99"/>
      <c r="E94" s="99"/>
      <c r="F94" s="99"/>
    </row>
    <row r="95" spans="2:6" ht="12.75" customHeight="1" x14ac:dyDescent="0.25">
      <c r="B95" s="99"/>
      <c r="E95" s="99"/>
      <c r="F95" s="99"/>
    </row>
    <row r="96" spans="2:6" ht="12.75" customHeight="1" x14ac:dyDescent="0.25">
      <c r="B96" s="99"/>
      <c r="E96" s="99"/>
      <c r="F96" s="99"/>
    </row>
    <row r="97" spans="2:6" ht="12.75" customHeight="1" x14ac:dyDescent="0.25">
      <c r="B97" s="99"/>
      <c r="E97" s="99"/>
      <c r="F97" s="99"/>
    </row>
    <row r="98" spans="2:6" ht="12.75" customHeight="1" x14ac:dyDescent="0.25">
      <c r="B98" s="99"/>
      <c r="E98" s="99"/>
      <c r="F98" s="99"/>
    </row>
    <row r="99" spans="2:6" ht="12.75" customHeight="1" x14ac:dyDescent="0.25">
      <c r="B99" s="99"/>
      <c r="E99" s="99"/>
      <c r="F99" s="99"/>
    </row>
    <row r="100" spans="2:6" ht="12.75" customHeight="1" x14ac:dyDescent="0.25">
      <c r="B100" s="99"/>
      <c r="E100" s="99"/>
      <c r="F100" s="99"/>
    </row>
    <row r="101" spans="2:6" ht="12.75" customHeight="1" x14ac:dyDescent="0.25">
      <c r="B101" s="99"/>
      <c r="E101" s="99"/>
      <c r="F101" s="99"/>
    </row>
    <row r="102" spans="2:6" ht="12.75" customHeight="1" x14ac:dyDescent="0.25">
      <c r="B102" s="99"/>
      <c r="E102" s="99"/>
      <c r="F102" s="99"/>
    </row>
    <row r="103" spans="2:6" ht="12.75" customHeight="1" x14ac:dyDescent="0.25">
      <c r="B103" s="99"/>
      <c r="E103" s="99"/>
      <c r="F103" s="99"/>
    </row>
    <row r="104" spans="2:6" ht="12.75" customHeight="1" x14ac:dyDescent="0.25">
      <c r="B104" s="99"/>
      <c r="E104" s="99"/>
      <c r="F104" s="99"/>
    </row>
    <row r="105" spans="2:6" ht="12.75" customHeight="1" x14ac:dyDescent="0.25">
      <c r="B105" s="99"/>
      <c r="E105" s="99"/>
      <c r="F105" s="99"/>
    </row>
    <row r="106" spans="2:6" ht="12.75" customHeight="1" x14ac:dyDescent="0.25">
      <c r="B106" s="99"/>
      <c r="E106" s="99"/>
      <c r="F106" s="99"/>
    </row>
    <row r="107" spans="2:6" ht="12.75" customHeight="1" x14ac:dyDescent="0.25">
      <c r="B107" s="99"/>
      <c r="E107" s="99"/>
      <c r="F107" s="99"/>
    </row>
    <row r="108" spans="2:6" ht="12.75" customHeight="1" x14ac:dyDescent="0.25">
      <c r="B108" s="99"/>
      <c r="E108" s="99"/>
      <c r="F108" s="99"/>
    </row>
    <row r="109" spans="2:6" ht="12.75" customHeight="1" x14ac:dyDescent="0.25">
      <c r="B109" s="99"/>
      <c r="E109" s="99"/>
      <c r="F109" s="99"/>
    </row>
    <row r="110" spans="2:6" ht="12.75" customHeight="1" x14ac:dyDescent="0.25">
      <c r="B110" s="99"/>
      <c r="E110" s="99"/>
      <c r="F110" s="99"/>
    </row>
    <row r="111" spans="2:6" ht="12.75" customHeight="1" x14ac:dyDescent="0.25">
      <c r="B111" s="99"/>
      <c r="E111" s="99"/>
      <c r="F111" s="99"/>
    </row>
    <row r="112" spans="2:6" ht="12.75" customHeight="1" x14ac:dyDescent="0.25">
      <c r="B112" s="99"/>
      <c r="E112" s="99"/>
      <c r="F112" s="99"/>
    </row>
    <row r="113" spans="2:6" ht="12.75" customHeight="1" x14ac:dyDescent="0.25">
      <c r="B113" s="99"/>
      <c r="E113" s="99"/>
      <c r="F113" s="99"/>
    </row>
    <row r="114" spans="2:6" ht="12.75" customHeight="1" x14ac:dyDescent="0.25">
      <c r="B114" s="99"/>
      <c r="E114" s="99"/>
      <c r="F114" s="99"/>
    </row>
    <row r="115" spans="2:6" ht="12.75" customHeight="1" x14ac:dyDescent="0.25">
      <c r="B115" s="99"/>
      <c r="E115" s="99"/>
      <c r="F115" s="99"/>
    </row>
    <row r="116" spans="2:6" ht="12.75" customHeight="1" x14ac:dyDescent="0.25">
      <c r="B116" s="99"/>
      <c r="E116" s="99"/>
      <c r="F116" s="99"/>
    </row>
    <row r="117" spans="2:6" ht="12.75" customHeight="1" x14ac:dyDescent="0.25">
      <c r="B117" s="99"/>
      <c r="E117" s="99"/>
      <c r="F117" s="99"/>
    </row>
    <row r="118" spans="2:6" ht="12.75" customHeight="1" x14ac:dyDescent="0.25">
      <c r="B118" s="99"/>
      <c r="E118" s="99"/>
      <c r="F118" s="99"/>
    </row>
    <row r="119" spans="2:6" ht="12.75" customHeight="1" x14ac:dyDescent="0.25">
      <c r="B119" s="99"/>
      <c r="E119" s="99"/>
      <c r="F119" s="99"/>
    </row>
    <row r="120" spans="2:6" ht="12.75" customHeight="1" x14ac:dyDescent="0.25">
      <c r="B120" s="99"/>
      <c r="E120" s="99"/>
      <c r="F120" s="99"/>
    </row>
    <row r="121" spans="2:6" ht="12.75" customHeight="1" x14ac:dyDescent="0.25">
      <c r="B121" s="99"/>
      <c r="E121" s="99"/>
      <c r="F121" s="99"/>
    </row>
    <row r="122" spans="2:6" ht="12.75" customHeight="1" x14ac:dyDescent="0.25">
      <c r="B122" s="99"/>
      <c r="E122" s="99"/>
      <c r="F122" s="99"/>
    </row>
    <row r="123" spans="2:6" ht="12.75" customHeight="1" x14ac:dyDescent="0.25">
      <c r="B123" s="99"/>
      <c r="E123" s="99"/>
      <c r="F123" s="99"/>
    </row>
    <row r="124" spans="2:6" ht="12.75" customHeight="1" x14ac:dyDescent="0.25">
      <c r="B124" s="99"/>
      <c r="E124" s="99"/>
      <c r="F124" s="99"/>
    </row>
    <row r="125" spans="2:6" ht="12.75" customHeight="1" x14ac:dyDescent="0.25">
      <c r="B125" s="99"/>
      <c r="E125" s="99"/>
      <c r="F125" s="99"/>
    </row>
    <row r="126" spans="2:6" ht="12.75" customHeight="1" x14ac:dyDescent="0.25">
      <c r="B126" s="99"/>
      <c r="E126" s="99"/>
      <c r="F126" s="99"/>
    </row>
    <row r="127" spans="2:6" ht="12.75" customHeight="1" x14ac:dyDescent="0.25">
      <c r="B127" s="99"/>
      <c r="E127" s="99"/>
      <c r="F127" s="99"/>
    </row>
    <row r="128" spans="2:6" ht="12.75" customHeight="1" x14ac:dyDescent="0.25">
      <c r="B128" s="99"/>
      <c r="E128" s="99"/>
      <c r="F128" s="99"/>
    </row>
    <row r="129" spans="2:6" ht="12.75" customHeight="1" x14ac:dyDescent="0.25">
      <c r="B129" s="99"/>
      <c r="E129" s="99"/>
      <c r="F129" s="99"/>
    </row>
    <row r="130" spans="2:6" ht="12.75" customHeight="1" x14ac:dyDescent="0.25">
      <c r="B130" s="99"/>
      <c r="E130" s="99"/>
      <c r="F130" s="99"/>
    </row>
    <row r="131" spans="2:6" ht="12.75" customHeight="1" x14ac:dyDescent="0.25">
      <c r="B131" s="99"/>
      <c r="E131" s="99"/>
      <c r="F131" s="99"/>
    </row>
    <row r="132" spans="2:6" ht="12.75" customHeight="1" x14ac:dyDescent="0.25">
      <c r="B132" s="99"/>
      <c r="E132" s="99"/>
      <c r="F132" s="99"/>
    </row>
    <row r="133" spans="2:6" ht="12.75" customHeight="1" x14ac:dyDescent="0.25">
      <c r="B133" s="99"/>
      <c r="E133" s="99"/>
      <c r="F133" s="99"/>
    </row>
    <row r="134" spans="2:6" ht="12.75" customHeight="1" x14ac:dyDescent="0.25">
      <c r="B134" s="99"/>
      <c r="E134" s="99"/>
      <c r="F134" s="99"/>
    </row>
    <row r="135" spans="2:6" ht="12.75" customHeight="1" x14ac:dyDescent="0.25">
      <c r="B135" s="99"/>
      <c r="E135" s="99"/>
      <c r="F135" s="99"/>
    </row>
    <row r="136" spans="2:6" ht="12.75" customHeight="1" x14ac:dyDescent="0.25">
      <c r="B136" s="99"/>
      <c r="E136" s="99"/>
      <c r="F136" s="99"/>
    </row>
    <row r="137" spans="2:6" ht="12.75" customHeight="1" x14ac:dyDescent="0.25">
      <c r="B137" s="99"/>
      <c r="E137" s="99"/>
      <c r="F137" s="99"/>
    </row>
    <row r="138" spans="2:6" ht="12.75" customHeight="1" x14ac:dyDescent="0.25">
      <c r="B138" s="99"/>
      <c r="E138" s="99"/>
      <c r="F138" s="99"/>
    </row>
    <row r="139" spans="2:6" ht="12.75" customHeight="1" x14ac:dyDescent="0.25">
      <c r="B139" s="99"/>
      <c r="E139" s="99"/>
      <c r="F139" s="99"/>
    </row>
    <row r="140" spans="2:6" ht="12.75" customHeight="1" x14ac:dyDescent="0.25">
      <c r="B140" s="99"/>
      <c r="E140" s="99"/>
      <c r="F140" s="99"/>
    </row>
    <row r="141" spans="2:6" ht="12.75" customHeight="1" x14ac:dyDescent="0.25">
      <c r="B141" s="99"/>
      <c r="E141" s="99"/>
      <c r="F141" s="99"/>
    </row>
    <row r="142" spans="2:6" ht="12.75" customHeight="1" x14ac:dyDescent="0.25">
      <c r="B142" s="99"/>
      <c r="E142" s="99"/>
      <c r="F142" s="99"/>
    </row>
    <row r="143" spans="2:6" ht="12.75" customHeight="1" x14ac:dyDescent="0.25">
      <c r="B143" s="99"/>
      <c r="E143" s="99"/>
      <c r="F143" s="99"/>
    </row>
    <row r="144" spans="2:6" ht="12.75" customHeight="1" x14ac:dyDescent="0.25">
      <c r="B144" s="99"/>
      <c r="E144" s="99"/>
      <c r="F144" s="99"/>
    </row>
    <row r="145" spans="2:6" ht="12.75" customHeight="1" x14ac:dyDescent="0.25">
      <c r="B145" s="99"/>
      <c r="E145" s="99"/>
      <c r="F145" s="99"/>
    </row>
    <row r="146" spans="2:6" ht="12.75" customHeight="1" x14ac:dyDescent="0.25">
      <c r="B146" s="99"/>
      <c r="E146" s="99"/>
      <c r="F146" s="99"/>
    </row>
    <row r="147" spans="2:6" ht="12.75" customHeight="1" x14ac:dyDescent="0.25">
      <c r="B147" s="99"/>
      <c r="E147" s="99"/>
      <c r="F147" s="99"/>
    </row>
    <row r="148" spans="2:6" ht="12.75" customHeight="1" x14ac:dyDescent="0.25">
      <c r="B148" s="99"/>
      <c r="E148" s="99"/>
      <c r="F148" s="99"/>
    </row>
    <row r="149" spans="2:6" ht="12.75" customHeight="1" x14ac:dyDescent="0.25">
      <c r="B149" s="99"/>
      <c r="E149" s="99"/>
      <c r="F149" s="99"/>
    </row>
    <row r="150" spans="2:6" ht="12.75" customHeight="1" x14ac:dyDescent="0.25">
      <c r="B150" s="99"/>
      <c r="E150" s="99"/>
      <c r="F150" s="99"/>
    </row>
    <row r="151" spans="2:6" ht="12.75" customHeight="1" x14ac:dyDescent="0.25">
      <c r="B151" s="99"/>
      <c r="E151" s="99"/>
      <c r="F151" s="99"/>
    </row>
    <row r="152" spans="2:6" ht="12.75" customHeight="1" x14ac:dyDescent="0.25">
      <c r="B152" s="99"/>
      <c r="E152" s="99"/>
      <c r="F152" s="99"/>
    </row>
    <row r="153" spans="2:6" ht="12.75" customHeight="1" x14ac:dyDescent="0.25">
      <c r="B153" s="99"/>
      <c r="E153" s="99"/>
      <c r="F153" s="99"/>
    </row>
    <row r="154" spans="2:6" ht="12.75" customHeight="1" x14ac:dyDescent="0.25">
      <c r="B154" s="99"/>
      <c r="E154" s="99"/>
      <c r="F154" s="99"/>
    </row>
    <row r="155" spans="2:6" ht="12.75" customHeight="1" x14ac:dyDescent="0.25">
      <c r="B155" s="99"/>
      <c r="E155" s="99"/>
      <c r="F155" s="99"/>
    </row>
    <row r="156" spans="2:6" ht="12.75" customHeight="1" x14ac:dyDescent="0.25">
      <c r="B156" s="99"/>
      <c r="E156" s="99"/>
      <c r="F156" s="99"/>
    </row>
    <row r="157" spans="2:6" ht="12.75" customHeight="1" x14ac:dyDescent="0.25">
      <c r="B157" s="99"/>
      <c r="E157" s="99"/>
      <c r="F157" s="99"/>
    </row>
    <row r="158" spans="2:6" ht="12.75" customHeight="1" x14ac:dyDescent="0.25">
      <c r="B158" s="99"/>
      <c r="E158" s="99"/>
      <c r="F158" s="99"/>
    </row>
    <row r="159" spans="2:6" ht="12.75" customHeight="1" x14ac:dyDescent="0.25">
      <c r="B159" s="99"/>
      <c r="E159" s="99"/>
      <c r="F159" s="99"/>
    </row>
    <row r="160" spans="2:6" ht="12.75" customHeight="1" x14ac:dyDescent="0.25">
      <c r="B160" s="99"/>
      <c r="E160" s="99"/>
      <c r="F160" s="99"/>
    </row>
    <row r="161" spans="2:6" ht="12.75" customHeight="1" x14ac:dyDescent="0.25">
      <c r="B161" s="99"/>
      <c r="E161" s="99"/>
      <c r="F161" s="99"/>
    </row>
    <row r="162" spans="2:6" ht="12.75" customHeight="1" x14ac:dyDescent="0.25">
      <c r="B162" s="99"/>
      <c r="E162" s="99"/>
      <c r="F162" s="99"/>
    </row>
    <row r="163" spans="2:6" ht="12.75" customHeight="1" x14ac:dyDescent="0.25">
      <c r="B163" s="99"/>
      <c r="E163" s="99"/>
      <c r="F163" s="99"/>
    </row>
    <row r="164" spans="2:6" ht="12.75" customHeight="1" x14ac:dyDescent="0.25">
      <c r="B164" s="99"/>
      <c r="E164" s="99"/>
      <c r="F164" s="99"/>
    </row>
    <row r="165" spans="2:6" ht="12.75" customHeight="1" x14ac:dyDescent="0.25">
      <c r="B165" s="99"/>
      <c r="E165" s="99"/>
      <c r="F165" s="99"/>
    </row>
    <row r="166" spans="2:6" ht="12.75" customHeight="1" x14ac:dyDescent="0.25">
      <c r="B166" s="99"/>
      <c r="E166" s="99"/>
      <c r="F166" s="99"/>
    </row>
    <row r="167" spans="2:6" ht="12.75" customHeight="1" x14ac:dyDescent="0.25">
      <c r="B167" s="99"/>
      <c r="E167" s="99"/>
      <c r="F167" s="99"/>
    </row>
    <row r="168" spans="2:6" ht="12.75" customHeight="1" x14ac:dyDescent="0.25">
      <c r="B168" s="99"/>
      <c r="E168" s="99"/>
      <c r="F168" s="99"/>
    </row>
    <row r="169" spans="2:6" ht="12.75" customHeight="1" x14ac:dyDescent="0.25">
      <c r="B169" s="99"/>
      <c r="E169" s="99"/>
      <c r="F169" s="99"/>
    </row>
    <row r="170" spans="2:6" ht="12.75" customHeight="1" x14ac:dyDescent="0.25">
      <c r="B170" s="99"/>
      <c r="E170" s="99"/>
      <c r="F170" s="99"/>
    </row>
    <row r="171" spans="2:6" ht="12.75" customHeight="1" x14ac:dyDescent="0.25">
      <c r="B171" s="99"/>
      <c r="E171" s="99"/>
      <c r="F171" s="99"/>
    </row>
    <row r="172" spans="2:6" ht="12.75" customHeight="1" x14ac:dyDescent="0.25">
      <c r="B172" s="99"/>
      <c r="E172" s="99"/>
      <c r="F172" s="99"/>
    </row>
    <row r="173" spans="2:6" ht="12.75" customHeight="1" x14ac:dyDescent="0.25">
      <c r="B173" s="99"/>
      <c r="E173" s="99"/>
      <c r="F173" s="99"/>
    </row>
    <row r="174" spans="2:6" ht="12.75" customHeight="1" x14ac:dyDescent="0.25">
      <c r="B174" s="99"/>
      <c r="E174" s="99"/>
      <c r="F174" s="99"/>
    </row>
    <row r="175" spans="2:6" ht="12.75" customHeight="1" x14ac:dyDescent="0.25">
      <c r="B175" s="99"/>
      <c r="E175" s="99"/>
      <c r="F175" s="99"/>
    </row>
    <row r="176" spans="2:6" ht="12.75" customHeight="1" x14ac:dyDescent="0.25">
      <c r="B176" s="99"/>
      <c r="E176" s="99"/>
      <c r="F176" s="99"/>
    </row>
    <row r="177" spans="2:6" ht="12.75" customHeight="1" x14ac:dyDescent="0.25">
      <c r="B177" s="99"/>
      <c r="E177" s="99"/>
      <c r="F177" s="99"/>
    </row>
    <row r="178" spans="2:6" ht="12.75" customHeight="1" x14ac:dyDescent="0.25">
      <c r="B178" s="99"/>
      <c r="E178" s="99"/>
      <c r="F178" s="99"/>
    </row>
    <row r="179" spans="2:6" ht="12.75" customHeight="1" x14ac:dyDescent="0.25">
      <c r="B179" s="99"/>
      <c r="E179" s="99"/>
      <c r="F179" s="99"/>
    </row>
    <row r="180" spans="2:6" ht="12.75" customHeight="1" x14ac:dyDescent="0.25">
      <c r="B180" s="99"/>
      <c r="E180" s="99"/>
      <c r="F180" s="99"/>
    </row>
    <row r="181" spans="2:6" ht="12.75" customHeight="1" x14ac:dyDescent="0.25">
      <c r="B181" s="99"/>
      <c r="E181" s="99"/>
      <c r="F181" s="99"/>
    </row>
    <row r="182" spans="2:6" ht="12.75" customHeight="1" x14ac:dyDescent="0.25">
      <c r="B182" s="99"/>
      <c r="E182" s="99"/>
      <c r="F182" s="99"/>
    </row>
    <row r="183" spans="2:6" ht="12.75" customHeight="1" x14ac:dyDescent="0.25">
      <c r="B183" s="99"/>
      <c r="E183" s="99"/>
      <c r="F183" s="99"/>
    </row>
    <row r="184" spans="2:6" ht="12.75" customHeight="1" x14ac:dyDescent="0.25">
      <c r="B184" s="99"/>
      <c r="E184" s="99"/>
      <c r="F184" s="99"/>
    </row>
    <row r="185" spans="2:6" ht="12.75" customHeight="1" x14ac:dyDescent="0.25">
      <c r="B185" s="99"/>
      <c r="E185" s="99"/>
      <c r="F185" s="99"/>
    </row>
    <row r="186" spans="2:6" ht="12.75" customHeight="1" x14ac:dyDescent="0.25">
      <c r="B186" s="99"/>
      <c r="E186" s="99"/>
      <c r="F186" s="99"/>
    </row>
    <row r="187" spans="2:6" ht="12.75" customHeight="1" x14ac:dyDescent="0.25">
      <c r="B187" s="99"/>
      <c r="E187" s="99"/>
      <c r="F187" s="99"/>
    </row>
    <row r="188" spans="2:6" ht="12.75" customHeight="1" x14ac:dyDescent="0.25">
      <c r="B188" s="99"/>
      <c r="E188" s="99"/>
      <c r="F188" s="99"/>
    </row>
    <row r="189" spans="2:6" ht="12.75" customHeight="1" x14ac:dyDescent="0.25">
      <c r="B189" s="99"/>
      <c r="E189" s="99"/>
      <c r="F189" s="99"/>
    </row>
    <row r="190" spans="2:6" ht="12.75" customHeight="1" x14ac:dyDescent="0.25">
      <c r="B190" s="99"/>
      <c r="E190" s="99"/>
      <c r="F190" s="99"/>
    </row>
    <row r="191" spans="2:6" ht="12.75" customHeight="1" x14ac:dyDescent="0.25">
      <c r="B191" s="99"/>
      <c r="E191" s="99"/>
      <c r="F191" s="99"/>
    </row>
    <row r="192" spans="2:6" ht="12.75" customHeight="1" x14ac:dyDescent="0.25">
      <c r="B192" s="99"/>
      <c r="E192" s="99"/>
      <c r="F192" s="99"/>
    </row>
    <row r="193" spans="2:6" ht="12.75" customHeight="1" x14ac:dyDescent="0.25">
      <c r="B193" s="99"/>
      <c r="E193" s="99"/>
      <c r="F193" s="99"/>
    </row>
    <row r="194" spans="2:6" ht="12.75" customHeight="1" x14ac:dyDescent="0.25">
      <c r="B194" s="99"/>
      <c r="E194" s="99"/>
      <c r="F194" s="99"/>
    </row>
    <row r="195" spans="2:6" ht="12.75" customHeight="1" x14ac:dyDescent="0.25">
      <c r="B195" s="99"/>
      <c r="E195" s="99"/>
      <c r="F195" s="99"/>
    </row>
    <row r="196" spans="2:6" ht="12.75" customHeight="1" x14ac:dyDescent="0.25">
      <c r="B196" s="99"/>
      <c r="E196" s="99"/>
      <c r="F196" s="99"/>
    </row>
    <row r="197" spans="2:6" ht="12.75" customHeight="1" x14ac:dyDescent="0.25">
      <c r="B197" s="99"/>
      <c r="E197" s="99"/>
      <c r="F197" s="99"/>
    </row>
    <row r="198" spans="2:6" ht="12.75" customHeight="1" x14ac:dyDescent="0.25">
      <c r="B198" s="99"/>
      <c r="E198" s="99"/>
      <c r="F198" s="99"/>
    </row>
    <row r="199" spans="2:6" ht="12.75" customHeight="1" x14ac:dyDescent="0.25">
      <c r="B199" s="99"/>
      <c r="E199" s="99"/>
      <c r="F199" s="99"/>
    </row>
    <row r="200" spans="2:6" ht="12.75" customHeight="1" x14ac:dyDescent="0.25">
      <c r="B200" s="99"/>
      <c r="E200" s="99"/>
      <c r="F200" s="99"/>
    </row>
    <row r="201" spans="2:6" ht="12.75" customHeight="1" x14ac:dyDescent="0.25">
      <c r="B201" s="99"/>
      <c r="E201" s="99"/>
      <c r="F201" s="99"/>
    </row>
    <row r="202" spans="2:6" ht="12.75" customHeight="1" x14ac:dyDescent="0.25">
      <c r="B202" s="99"/>
      <c r="E202" s="99"/>
      <c r="F202" s="99"/>
    </row>
    <row r="203" spans="2:6" ht="12.75" customHeight="1" x14ac:dyDescent="0.25">
      <c r="B203" s="99"/>
      <c r="E203" s="99"/>
      <c r="F203" s="99"/>
    </row>
    <row r="204" spans="2:6" ht="12.75" customHeight="1" x14ac:dyDescent="0.25">
      <c r="B204" s="99"/>
      <c r="E204" s="99"/>
      <c r="F204" s="99"/>
    </row>
    <row r="205" spans="2:6" ht="12.75" customHeight="1" x14ac:dyDescent="0.25">
      <c r="B205" s="99"/>
      <c r="E205" s="99"/>
      <c r="F205" s="99"/>
    </row>
    <row r="206" spans="2:6" ht="12.75" customHeight="1" x14ac:dyDescent="0.25">
      <c r="B206" s="99"/>
      <c r="E206" s="99"/>
      <c r="F206" s="99"/>
    </row>
    <row r="207" spans="2:6" ht="12.75" customHeight="1" x14ac:dyDescent="0.25">
      <c r="B207" s="99"/>
      <c r="E207" s="99"/>
      <c r="F207" s="99"/>
    </row>
    <row r="208" spans="2:6" ht="12.75" customHeight="1" x14ac:dyDescent="0.25">
      <c r="B208" s="99"/>
      <c r="E208" s="99"/>
      <c r="F208" s="99"/>
    </row>
    <row r="209" spans="2:6" ht="12.75" customHeight="1" x14ac:dyDescent="0.25">
      <c r="B209" s="99"/>
      <c r="E209" s="99"/>
      <c r="F209" s="99"/>
    </row>
    <row r="210" spans="2:6" ht="12.75" customHeight="1" x14ac:dyDescent="0.25">
      <c r="B210" s="99"/>
      <c r="E210" s="99"/>
      <c r="F210" s="99"/>
    </row>
    <row r="211" spans="2:6" ht="12.75" customHeight="1" x14ac:dyDescent="0.25">
      <c r="B211" s="99"/>
      <c r="E211" s="99"/>
      <c r="F211" s="99"/>
    </row>
    <row r="212" spans="2:6" ht="12.75" customHeight="1" x14ac:dyDescent="0.25">
      <c r="B212" s="99"/>
      <c r="E212" s="99"/>
      <c r="F212" s="99"/>
    </row>
    <row r="213" spans="2:6" ht="12.75" customHeight="1" x14ac:dyDescent="0.25">
      <c r="B213" s="99"/>
      <c r="E213" s="99"/>
      <c r="F213" s="99"/>
    </row>
    <row r="214" spans="2:6" ht="12.75" customHeight="1" x14ac:dyDescent="0.25">
      <c r="B214" s="99"/>
      <c r="E214" s="99"/>
      <c r="F214" s="99"/>
    </row>
    <row r="215" spans="2:6" ht="12.75" customHeight="1" x14ac:dyDescent="0.25">
      <c r="B215" s="99"/>
      <c r="E215" s="99"/>
      <c r="F215" s="99"/>
    </row>
    <row r="216" spans="2:6" ht="12.75" customHeight="1" x14ac:dyDescent="0.25">
      <c r="B216" s="99"/>
      <c r="E216" s="99"/>
      <c r="F216" s="99"/>
    </row>
    <row r="217" spans="2:6" ht="12.75" customHeight="1" x14ac:dyDescent="0.25">
      <c r="B217" s="99"/>
      <c r="E217" s="99"/>
      <c r="F217" s="99"/>
    </row>
    <row r="218" spans="2:6" ht="12.75" customHeight="1" x14ac:dyDescent="0.25">
      <c r="B218" s="99"/>
      <c r="E218" s="99"/>
      <c r="F218" s="99"/>
    </row>
    <row r="219" spans="2:6" ht="12.75" customHeight="1" x14ac:dyDescent="0.25">
      <c r="B219" s="99"/>
      <c r="E219" s="99"/>
      <c r="F219" s="99"/>
    </row>
    <row r="220" spans="2:6" ht="12.75" customHeight="1" x14ac:dyDescent="0.25">
      <c r="B220" s="99"/>
      <c r="E220" s="99"/>
      <c r="F220" s="99"/>
    </row>
    <row r="221" spans="2:6" ht="12.75" customHeight="1" x14ac:dyDescent="0.25">
      <c r="B221" s="99"/>
      <c r="E221" s="99"/>
      <c r="F221" s="99"/>
    </row>
    <row r="222" spans="2:6" ht="12.75" customHeight="1" x14ac:dyDescent="0.25">
      <c r="B222" s="99"/>
      <c r="E222" s="99"/>
      <c r="F222" s="99"/>
    </row>
    <row r="223" spans="2:6" ht="12.75" customHeight="1" x14ac:dyDescent="0.25">
      <c r="B223" s="99"/>
      <c r="E223" s="99"/>
      <c r="F223" s="99"/>
    </row>
    <row r="224" spans="2:6" ht="12.75" customHeight="1" x14ac:dyDescent="0.25">
      <c r="B224" s="99"/>
      <c r="E224" s="99"/>
      <c r="F224" s="99"/>
    </row>
    <row r="225" spans="2:6" ht="12.75" customHeight="1" x14ac:dyDescent="0.25">
      <c r="B225" s="99"/>
      <c r="E225" s="99"/>
      <c r="F225" s="99"/>
    </row>
    <row r="226" spans="2:6" ht="12.75" customHeight="1" x14ac:dyDescent="0.25">
      <c r="B226" s="99"/>
      <c r="E226" s="99"/>
      <c r="F226" s="99"/>
    </row>
    <row r="227" spans="2:6" ht="12.75" customHeight="1" x14ac:dyDescent="0.25">
      <c r="B227" s="99"/>
      <c r="E227" s="99"/>
      <c r="F227" s="99"/>
    </row>
    <row r="228" spans="2:6" ht="12.75" customHeight="1" x14ac:dyDescent="0.25">
      <c r="B228" s="99"/>
      <c r="E228" s="99"/>
      <c r="F228" s="99"/>
    </row>
    <row r="229" spans="2:6" ht="12.75" customHeight="1" x14ac:dyDescent="0.25">
      <c r="B229" s="99"/>
      <c r="E229" s="99"/>
      <c r="F229" s="99"/>
    </row>
    <row r="230" spans="2:6" ht="12.75" customHeight="1" x14ac:dyDescent="0.25">
      <c r="B230" s="99"/>
      <c r="E230" s="99"/>
      <c r="F230" s="99"/>
    </row>
    <row r="231" spans="2:6" ht="12.75" customHeight="1" x14ac:dyDescent="0.25">
      <c r="B231" s="99"/>
      <c r="E231" s="99"/>
      <c r="F231" s="99"/>
    </row>
    <row r="232" spans="2:6" ht="12.75" customHeight="1" x14ac:dyDescent="0.25">
      <c r="B232" s="99"/>
      <c r="E232" s="99"/>
      <c r="F232" s="99"/>
    </row>
    <row r="233" spans="2:6" ht="12.75" customHeight="1" x14ac:dyDescent="0.25">
      <c r="B233" s="99"/>
      <c r="E233" s="99"/>
      <c r="F233" s="99"/>
    </row>
    <row r="234" spans="2:6" ht="12.75" customHeight="1" x14ac:dyDescent="0.25">
      <c r="B234" s="99"/>
      <c r="E234" s="99"/>
      <c r="F234" s="99"/>
    </row>
    <row r="235" spans="2:6" ht="12.75" customHeight="1" x14ac:dyDescent="0.25">
      <c r="B235" s="99"/>
      <c r="E235" s="99"/>
      <c r="F235" s="99"/>
    </row>
    <row r="236" spans="2:6" ht="12.75" customHeight="1" x14ac:dyDescent="0.25">
      <c r="B236" s="99"/>
      <c r="E236" s="99"/>
      <c r="F236" s="99"/>
    </row>
    <row r="237" spans="2:6" ht="12.75" customHeight="1" x14ac:dyDescent="0.25">
      <c r="B237" s="99"/>
      <c r="E237" s="99"/>
      <c r="F237" s="99"/>
    </row>
    <row r="238" spans="2:6" ht="12.75" customHeight="1" x14ac:dyDescent="0.25">
      <c r="B238" s="99"/>
      <c r="E238" s="99"/>
      <c r="F238" s="99"/>
    </row>
    <row r="239" spans="2:6" ht="12.75" customHeight="1" x14ac:dyDescent="0.25">
      <c r="B239" s="99"/>
      <c r="E239" s="99"/>
      <c r="F239" s="99"/>
    </row>
    <row r="240" spans="2:6" ht="12.75" customHeight="1" x14ac:dyDescent="0.25">
      <c r="B240" s="99"/>
      <c r="E240" s="99"/>
      <c r="F240" s="99"/>
    </row>
    <row r="241" spans="2:6" ht="12.75" customHeight="1" x14ac:dyDescent="0.25">
      <c r="B241" s="99"/>
      <c r="E241" s="99"/>
      <c r="F241" s="99"/>
    </row>
    <row r="242" spans="2:6" ht="12.75" customHeight="1" x14ac:dyDescent="0.25">
      <c r="B242" s="99"/>
      <c r="E242" s="99"/>
      <c r="F242" s="99"/>
    </row>
    <row r="243" spans="2:6" ht="12.75" customHeight="1" x14ac:dyDescent="0.25">
      <c r="B243" s="99"/>
      <c r="E243" s="99"/>
      <c r="F243" s="99"/>
    </row>
    <row r="244" spans="2:6" ht="12.75" customHeight="1" x14ac:dyDescent="0.25">
      <c r="B244" s="99"/>
      <c r="E244" s="99"/>
      <c r="F244" s="99"/>
    </row>
    <row r="245" spans="2:6" ht="12.75" customHeight="1" x14ac:dyDescent="0.25">
      <c r="B245" s="99"/>
      <c r="E245" s="99"/>
      <c r="F245" s="99"/>
    </row>
    <row r="246" spans="2:6" ht="12.75" customHeight="1" x14ac:dyDescent="0.25">
      <c r="B246" s="99"/>
      <c r="E246" s="99"/>
      <c r="F246" s="99"/>
    </row>
    <row r="247" spans="2:6" ht="12.75" customHeight="1" x14ac:dyDescent="0.25">
      <c r="B247" s="99"/>
      <c r="E247" s="99"/>
      <c r="F247" s="99"/>
    </row>
    <row r="248" spans="2:6" ht="12.75" customHeight="1" x14ac:dyDescent="0.25">
      <c r="B248" s="99"/>
      <c r="E248" s="99"/>
      <c r="F248" s="99"/>
    </row>
    <row r="249" spans="2:6" ht="12.75" customHeight="1" x14ac:dyDescent="0.25">
      <c r="B249" s="99"/>
      <c r="E249" s="99"/>
      <c r="F249" s="99"/>
    </row>
    <row r="250" spans="2:6" ht="12.75" customHeight="1" x14ac:dyDescent="0.25">
      <c r="B250" s="99"/>
      <c r="E250" s="99"/>
      <c r="F250" s="99"/>
    </row>
    <row r="251" spans="2:6" ht="12.75" customHeight="1" x14ac:dyDescent="0.25">
      <c r="B251" s="99"/>
      <c r="E251" s="99"/>
      <c r="F251" s="99"/>
    </row>
    <row r="252" spans="2:6" ht="12.75" customHeight="1" x14ac:dyDescent="0.25">
      <c r="B252" s="99"/>
      <c r="E252" s="99"/>
      <c r="F252" s="99"/>
    </row>
    <row r="253" spans="2:6" ht="12.75" customHeight="1" x14ac:dyDescent="0.25">
      <c r="B253" s="99"/>
      <c r="E253" s="99"/>
      <c r="F253" s="99"/>
    </row>
    <row r="254" spans="2:6" ht="12.75" customHeight="1" x14ac:dyDescent="0.25">
      <c r="B254" s="99"/>
      <c r="E254" s="99"/>
      <c r="F254" s="99"/>
    </row>
    <row r="255" spans="2:6" ht="12.75" customHeight="1" x14ac:dyDescent="0.25">
      <c r="B255" s="99"/>
      <c r="E255" s="99"/>
      <c r="F255" s="99"/>
    </row>
    <row r="256" spans="2:6" ht="12.75" customHeight="1" x14ac:dyDescent="0.25">
      <c r="B256" s="99"/>
      <c r="E256" s="99"/>
      <c r="F256" s="99"/>
    </row>
    <row r="257" spans="2:6" ht="12.75" customHeight="1" x14ac:dyDescent="0.25">
      <c r="B257" s="99"/>
      <c r="E257" s="99"/>
      <c r="F257" s="99"/>
    </row>
    <row r="258" spans="2:6" ht="12.75" customHeight="1" x14ac:dyDescent="0.25">
      <c r="B258" s="99"/>
      <c r="E258" s="99"/>
      <c r="F258" s="99"/>
    </row>
    <row r="259" spans="2:6" ht="12.75" customHeight="1" x14ac:dyDescent="0.25">
      <c r="B259" s="99"/>
      <c r="E259" s="99"/>
      <c r="F259" s="99"/>
    </row>
    <row r="260" spans="2:6" ht="12.75" customHeight="1" x14ac:dyDescent="0.25">
      <c r="B260" s="99"/>
      <c r="E260" s="99"/>
      <c r="F260" s="99"/>
    </row>
    <row r="261" spans="2:6" ht="12.75" customHeight="1" x14ac:dyDescent="0.25">
      <c r="B261" s="99"/>
      <c r="E261" s="99"/>
      <c r="F261" s="99"/>
    </row>
    <row r="262" spans="2:6" ht="12.75" customHeight="1" x14ac:dyDescent="0.25">
      <c r="B262" s="99"/>
      <c r="E262" s="99"/>
      <c r="F262" s="99"/>
    </row>
    <row r="263" spans="2:6" ht="12.75" customHeight="1" x14ac:dyDescent="0.25">
      <c r="B263" s="99"/>
      <c r="E263" s="99"/>
      <c r="F263" s="99"/>
    </row>
    <row r="264" spans="2:6" ht="12.75" customHeight="1" x14ac:dyDescent="0.25">
      <c r="B264" s="99"/>
      <c r="E264" s="99"/>
      <c r="F264" s="99"/>
    </row>
    <row r="265" spans="2:6" ht="12.75" customHeight="1" x14ac:dyDescent="0.25">
      <c r="B265" s="99"/>
      <c r="E265" s="99"/>
      <c r="F265" s="99"/>
    </row>
    <row r="266" spans="2:6" ht="12.75" customHeight="1" x14ac:dyDescent="0.25">
      <c r="B266" s="99"/>
      <c r="E266" s="99"/>
      <c r="F266" s="99"/>
    </row>
    <row r="267" spans="2:6" ht="12.75" customHeight="1" x14ac:dyDescent="0.25">
      <c r="B267" s="99"/>
      <c r="E267" s="99"/>
      <c r="F267" s="99"/>
    </row>
    <row r="268" spans="2:6" ht="12.75" customHeight="1" x14ac:dyDescent="0.25">
      <c r="B268" s="99"/>
      <c r="E268" s="99"/>
      <c r="F268" s="99"/>
    </row>
    <row r="269" spans="2:6" ht="12.75" customHeight="1" x14ac:dyDescent="0.25">
      <c r="B269" s="99"/>
      <c r="E269" s="99"/>
      <c r="F269" s="99"/>
    </row>
    <row r="270" spans="2:6" ht="12.75" customHeight="1" x14ac:dyDescent="0.25">
      <c r="B270" s="99"/>
      <c r="E270" s="99"/>
      <c r="F270" s="99"/>
    </row>
    <row r="271" spans="2:6" ht="12.75" customHeight="1" x14ac:dyDescent="0.25">
      <c r="B271" s="99"/>
      <c r="E271" s="99"/>
      <c r="F271" s="99"/>
    </row>
    <row r="272" spans="2:6" ht="12.75" customHeight="1" x14ac:dyDescent="0.25">
      <c r="B272" s="99"/>
      <c r="E272" s="99"/>
      <c r="F272" s="99"/>
    </row>
    <row r="273" spans="2:6" ht="12.75" customHeight="1" x14ac:dyDescent="0.25">
      <c r="B273" s="99"/>
      <c r="E273" s="99"/>
      <c r="F273" s="99"/>
    </row>
    <row r="274" spans="2:6" ht="12.75" customHeight="1" x14ac:dyDescent="0.25">
      <c r="B274" s="99"/>
      <c r="E274" s="99"/>
      <c r="F274" s="99"/>
    </row>
    <row r="275" spans="2:6" ht="12.75" customHeight="1" x14ac:dyDescent="0.25">
      <c r="B275" s="99"/>
      <c r="E275" s="99"/>
      <c r="F275" s="99"/>
    </row>
    <row r="276" spans="2:6" ht="12.75" customHeight="1" x14ac:dyDescent="0.25">
      <c r="B276" s="99"/>
      <c r="E276" s="99"/>
      <c r="F276" s="99"/>
    </row>
    <row r="277" spans="2:6" ht="12.75" customHeight="1" x14ac:dyDescent="0.25">
      <c r="B277" s="99"/>
      <c r="E277" s="99"/>
      <c r="F277" s="99"/>
    </row>
    <row r="278" spans="2:6" ht="12.75" customHeight="1" x14ac:dyDescent="0.25">
      <c r="B278" s="99"/>
      <c r="E278" s="99"/>
      <c r="F278" s="99"/>
    </row>
    <row r="279" spans="2:6" ht="12.75" customHeight="1" x14ac:dyDescent="0.25">
      <c r="B279" s="99"/>
      <c r="E279" s="99"/>
      <c r="F279" s="99"/>
    </row>
    <row r="280" spans="2:6" ht="12.75" customHeight="1" x14ac:dyDescent="0.25">
      <c r="B280" s="99"/>
      <c r="E280" s="99"/>
      <c r="F280" s="99"/>
    </row>
    <row r="281" spans="2:6" ht="12.75" customHeight="1" x14ac:dyDescent="0.25">
      <c r="B281" s="99"/>
      <c r="E281" s="99"/>
      <c r="F281" s="99"/>
    </row>
    <row r="282" spans="2:6" ht="12.75" customHeight="1" x14ac:dyDescent="0.25">
      <c r="B282" s="99"/>
      <c r="E282" s="99"/>
      <c r="F282" s="99"/>
    </row>
    <row r="283" spans="2:6" ht="12.75" customHeight="1" x14ac:dyDescent="0.25">
      <c r="B283" s="99"/>
      <c r="E283" s="99"/>
      <c r="F283" s="99"/>
    </row>
    <row r="284" spans="2:6" ht="12.75" customHeight="1" x14ac:dyDescent="0.25">
      <c r="B284" s="99"/>
      <c r="E284" s="99"/>
      <c r="F284" s="99"/>
    </row>
    <row r="285" spans="2:6" ht="12.75" customHeight="1" x14ac:dyDescent="0.25">
      <c r="B285" s="99"/>
      <c r="E285" s="99"/>
      <c r="F285" s="99"/>
    </row>
    <row r="286" spans="2:6" ht="12.75" customHeight="1" x14ac:dyDescent="0.25">
      <c r="B286" s="99"/>
      <c r="E286" s="99"/>
      <c r="F286" s="99"/>
    </row>
    <row r="287" spans="2:6" ht="12.75" customHeight="1" x14ac:dyDescent="0.25">
      <c r="B287" s="99"/>
      <c r="E287" s="99"/>
      <c r="F287" s="99"/>
    </row>
    <row r="288" spans="2:6" ht="12.75" customHeight="1" x14ac:dyDescent="0.25">
      <c r="B288" s="99"/>
      <c r="E288" s="99"/>
      <c r="F288" s="99"/>
    </row>
    <row r="289" spans="2:6" ht="12.75" customHeight="1" x14ac:dyDescent="0.25">
      <c r="B289" s="99"/>
      <c r="E289" s="99"/>
      <c r="F289" s="99"/>
    </row>
    <row r="290" spans="2:6" ht="12.75" customHeight="1" x14ac:dyDescent="0.25">
      <c r="B290" s="99"/>
      <c r="E290" s="99"/>
      <c r="F290" s="99"/>
    </row>
    <row r="291" spans="2:6" ht="12.75" customHeight="1" x14ac:dyDescent="0.25">
      <c r="B291" s="99"/>
      <c r="E291" s="99"/>
      <c r="F291" s="99"/>
    </row>
    <row r="292" spans="2:6" ht="12.75" customHeight="1" x14ac:dyDescent="0.25">
      <c r="B292" s="99"/>
      <c r="E292" s="99"/>
      <c r="F292" s="99"/>
    </row>
    <row r="293" spans="2:6" ht="12.75" customHeight="1" x14ac:dyDescent="0.25">
      <c r="B293" s="99"/>
      <c r="E293" s="99"/>
      <c r="F293" s="99"/>
    </row>
    <row r="294" spans="2:6" ht="12.75" customHeight="1" x14ac:dyDescent="0.25">
      <c r="B294" s="99"/>
      <c r="E294" s="99"/>
      <c r="F294" s="99"/>
    </row>
    <row r="295" spans="2:6" ht="12.75" customHeight="1" x14ac:dyDescent="0.25">
      <c r="B295" s="99"/>
      <c r="E295" s="99"/>
      <c r="F295" s="99"/>
    </row>
    <row r="296" spans="2:6" ht="12.75" customHeight="1" x14ac:dyDescent="0.25">
      <c r="B296" s="99"/>
      <c r="E296" s="99"/>
      <c r="F296" s="99"/>
    </row>
    <row r="297" spans="2:6" ht="12.75" customHeight="1" x14ac:dyDescent="0.25">
      <c r="B297" s="99"/>
      <c r="E297" s="99"/>
      <c r="F297" s="99"/>
    </row>
    <row r="298" spans="2:6" ht="12.75" customHeight="1" x14ac:dyDescent="0.25">
      <c r="B298" s="99"/>
      <c r="E298" s="99"/>
      <c r="F298" s="99"/>
    </row>
    <row r="299" spans="2:6" ht="12.75" customHeight="1" x14ac:dyDescent="0.25">
      <c r="B299" s="99"/>
      <c r="E299" s="99"/>
      <c r="F299" s="99"/>
    </row>
    <row r="300" spans="2:6" ht="12.75" customHeight="1" x14ac:dyDescent="0.25">
      <c r="B300" s="99"/>
      <c r="E300" s="99"/>
      <c r="F300" s="99"/>
    </row>
    <row r="301" spans="2:6" ht="12.75" customHeight="1" x14ac:dyDescent="0.25">
      <c r="B301" s="99"/>
      <c r="E301" s="99"/>
      <c r="F301" s="99"/>
    </row>
    <row r="302" spans="2:6" ht="12.75" customHeight="1" x14ac:dyDescent="0.25">
      <c r="B302" s="99"/>
      <c r="E302" s="99"/>
      <c r="F302" s="99"/>
    </row>
    <row r="303" spans="2:6" ht="12.75" customHeight="1" x14ac:dyDescent="0.25">
      <c r="B303" s="99"/>
      <c r="E303" s="99"/>
      <c r="F303" s="99"/>
    </row>
    <row r="304" spans="2:6" ht="12.75" customHeight="1" x14ac:dyDescent="0.25">
      <c r="B304" s="99"/>
      <c r="E304" s="99"/>
      <c r="F304" s="99"/>
    </row>
    <row r="305" spans="2:6" ht="12.75" customHeight="1" x14ac:dyDescent="0.25">
      <c r="B305" s="99"/>
      <c r="E305" s="99"/>
      <c r="F305" s="99"/>
    </row>
    <row r="306" spans="2:6" ht="12.75" customHeight="1" x14ac:dyDescent="0.25">
      <c r="B306" s="99"/>
      <c r="E306" s="99"/>
      <c r="F306" s="99"/>
    </row>
    <row r="307" spans="2:6" ht="12.75" customHeight="1" x14ac:dyDescent="0.25">
      <c r="B307" s="99"/>
      <c r="E307" s="99"/>
      <c r="F307" s="99"/>
    </row>
    <row r="308" spans="2:6" ht="12.75" customHeight="1" x14ac:dyDescent="0.25">
      <c r="B308" s="99"/>
      <c r="E308" s="99"/>
      <c r="F308" s="99"/>
    </row>
    <row r="309" spans="2:6" ht="12.75" customHeight="1" x14ac:dyDescent="0.25">
      <c r="B309" s="99"/>
      <c r="E309" s="99"/>
      <c r="F309" s="99"/>
    </row>
    <row r="310" spans="2:6" ht="12.75" customHeight="1" x14ac:dyDescent="0.25">
      <c r="B310" s="99"/>
      <c r="E310" s="99"/>
      <c r="F310" s="99"/>
    </row>
    <row r="311" spans="2:6" ht="12.75" customHeight="1" x14ac:dyDescent="0.25">
      <c r="B311" s="99"/>
      <c r="E311" s="99"/>
      <c r="F311" s="99"/>
    </row>
    <row r="312" spans="2:6" ht="12.75" customHeight="1" x14ac:dyDescent="0.25">
      <c r="B312" s="99"/>
      <c r="E312" s="99"/>
      <c r="F312" s="99"/>
    </row>
    <row r="313" spans="2:6" ht="12.75" customHeight="1" x14ac:dyDescent="0.25">
      <c r="B313" s="99"/>
      <c r="E313" s="99"/>
      <c r="F313" s="99"/>
    </row>
    <row r="314" spans="2:6" ht="12.75" customHeight="1" x14ac:dyDescent="0.25">
      <c r="B314" s="99"/>
      <c r="E314" s="99"/>
      <c r="F314" s="99"/>
    </row>
    <row r="315" spans="2:6" ht="12.75" customHeight="1" x14ac:dyDescent="0.25">
      <c r="B315" s="99"/>
      <c r="E315" s="99"/>
      <c r="F315" s="99"/>
    </row>
    <row r="316" spans="2:6" ht="12.75" customHeight="1" x14ac:dyDescent="0.25">
      <c r="B316" s="99"/>
      <c r="E316" s="99"/>
      <c r="F316" s="99"/>
    </row>
    <row r="317" spans="2:6" ht="12.75" customHeight="1" x14ac:dyDescent="0.25">
      <c r="B317" s="99"/>
      <c r="E317" s="99"/>
      <c r="F317" s="99"/>
    </row>
    <row r="318" spans="2:6" ht="12.75" customHeight="1" x14ac:dyDescent="0.25">
      <c r="B318" s="99"/>
      <c r="E318" s="99"/>
      <c r="F318" s="99"/>
    </row>
    <row r="319" spans="2:6" ht="12.75" customHeight="1" x14ac:dyDescent="0.25">
      <c r="B319" s="99"/>
      <c r="E319" s="99"/>
      <c r="F319" s="99"/>
    </row>
    <row r="320" spans="2:6" ht="12.75" customHeight="1" x14ac:dyDescent="0.25">
      <c r="B320" s="99"/>
      <c r="E320" s="99"/>
      <c r="F320" s="99"/>
    </row>
    <row r="321" spans="2:6" ht="12.75" customHeight="1" x14ac:dyDescent="0.25">
      <c r="B321" s="99"/>
      <c r="E321" s="99"/>
      <c r="F321" s="99"/>
    </row>
    <row r="322" spans="2:6" ht="12.75" customHeight="1" x14ac:dyDescent="0.25">
      <c r="B322" s="99"/>
      <c r="E322" s="99"/>
      <c r="F322" s="99"/>
    </row>
    <row r="323" spans="2:6" ht="12.75" customHeight="1" x14ac:dyDescent="0.25">
      <c r="B323" s="99"/>
      <c r="E323" s="99"/>
      <c r="F323" s="99"/>
    </row>
    <row r="324" spans="2:6" ht="12.75" customHeight="1" x14ac:dyDescent="0.25">
      <c r="B324" s="99"/>
      <c r="E324" s="99"/>
      <c r="F324" s="99"/>
    </row>
    <row r="325" spans="2:6" ht="12.75" customHeight="1" x14ac:dyDescent="0.25">
      <c r="B325" s="99"/>
      <c r="E325" s="99"/>
      <c r="F325" s="99"/>
    </row>
    <row r="326" spans="2:6" ht="12.75" customHeight="1" x14ac:dyDescent="0.25">
      <c r="B326" s="99"/>
      <c r="E326" s="99"/>
      <c r="F326" s="99"/>
    </row>
    <row r="327" spans="2:6" ht="12.75" customHeight="1" x14ac:dyDescent="0.25">
      <c r="B327" s="99"/>
      <c r="E327" s="99"/>
      <c r="F327" s="99"/>
    </row>
    <row r="328" spans="2:6" ht="12.75" customHeight="1" x14ac:dyDescent="0.25">
      <c r="B328" s="99"/>
      <c r="E328" s="99"/>
      <c r="F328" s="99"/>
    </row>
    <row r="329" spans="2:6" ht="12.75" customHeight="1" x14ac:dyDescent="0.25">
      <c r="B329" s="99"/>
      <c r="E329" s="99"/>
      <c r="F329" s="99"/>
    </row>
    <row r="330" spans="2:6" ht="12.75" customHeight="1" x14ac:dyDescent="0.25">
      <c r="B330" s="99"/>
      <c r="E330" s="99"/>
      <c r="F330" s="99"/>
    </row>
    <row r="331" spans="2:6" ht="12.75" customHeight="1" x14ac:dyDescent="0.25">
      <c r="B331" s="99"/>
      <c r="E331" s="99"/>
      <c r="F331" s="99"/>
    </row>
    <row r="332" spans="2:6" ht="12.75" customHeight="1" x14ac:dyDescent="0.25">
      <c r="B332" s="99"/>
      <c r="E332" s="99"/>
      <c r="F332" s="99"/>
    </row>
    <row r="333" spans="2:6" ht="12.75" customHeight="1" x14ac:dyDescent="0.25">
      <c r="B333" s="99"/>
      <c r="E333" s="99"/>
      <c r="F333" s="99"/>
    </row>
    <row r="334" spans="2:6" ht="12.75" customHeight="1" x14ac:dyDescent="0.25">
      <c r="B334" s="99"/>
      <c r="E334" s="99"/>
      <c r="F334" s="99"/>
    </row>
    <row r="335" spans="2:6" ht="12.75" customHeight="1" x14ac:dyDescent="0.25">
      <c r="B335" s="99"/>
      <c r="E335" s="99"/>
      <c r="F335" s="99"/>
    </row>
    <row r="336" spans="2:6" ht="12.75" customHeight="1" x14ac:dyDescent="0.25">
      <c r="B336" s="99"/>
      <c r="E336" s="99"/>
      <c r="F336" s="99"/>
    </row>
    <row r="337" spans="2:6" ht="12.75" customHeight="1" x14ac:dyDescent="0.25">
      <c r="B337" s="99"/>
      <c r="E337" s="99"/>
      <c r="F337" s="99"/>
    </row>
    <row r="338" spans="2:6" ht="12.75" customHeight="1" x14ac:dyDescent="0.25">
      <c r="B338" s="99"/>
      <c r="E338" s="99"/>
      <c r="F338" s="99"/>
    </row>
    <row r="339" spans="2:6" ht="12.75" customHeight="1" x14ac:dyDescent="0.25">
      <c r="B339" s="99"/>
      <c r="E339" s="99"/>
      <c r="F339" s="99"/>
    </row>
    <row r="340" spans="2:6" ht="12.75" customHeight="1" x14ac:dyDescent="0.25">
      <c r="B340" s="99"/>
      <c r="E340" s="99"/>
      <c r="F340" s="99"/>
    </row>
    <row r="341" spans="2:6" ht="12.75" customHeight="1" x14ac:dyDescent="0.25">
      <c r="B341" s="99"/>
      <c r="E341" s="99"/>
      <c r="F341" s="99"/>
    </row>
    <row r="342" spans="2:6" ht="12.75" customHeight="1" x14ac:dyDescent="0.25">
      <c r="B342" s="99"/>
      <c r="E342" s="99"/>
      <c r="F342" s="99"/>
    </row>
    <row r="343" spans="2:6" ht="12.75" customHeight="1" x14ac:dyDescent="0.25">
      <c r="B343" s="99"/>
      <c r="E343" s="99"/>
      <c r="F343" s="99"/>
    </row>
    <row r="344" spans="2:6" ht="12.75" customHeight="1" x14ac:dyDescent="0.25">
      <c r="B344" s="99"/>
      <c r="E344" s="99"/>
      <c r="F344" s="99"/>
    </row>
    <row r="345" spans="2:6" ht="12.75" customHeight="1" x14ac:dyDescent="0.25">
      <c r="B345" s="99"/>
      <c r="E345" s="99"/>
      <c r="F345" s="99"/>
    </row>
    <row r="346" spans="2:6" ht="12.75" customHeight="1" x14ac:dyDescent="0.25">
      <c r="B346" s="99"/>
      <c r="E346" s="99"/>
      <c r="F346" s="99"/>
    </row>
    <row r="347" spans="2:6" ht="12.75" customHeight="1" x14ac:dyDescent="0.25">
      <c r="B347" s="99"/>
      <c r="E347" s="99"/>
      <c r="F347" s="99"/>
    </row>
    <row r="348" spans="2:6" ht="12.75" customHeight="1" x14ac:dyDescent="0.25">
      <c r="B348" s="99"/>
      <c r="E348" s="99"/>
      <c r="F348" s="99"/>
    </row>
    <row r="349" spans="2:6" ht="12.75" customHeight="1" x14ac:dyDescent="0.25">
      <c r="B349" s="99"/>
      <c r="E349" s="99"/>
      <c r="F349" s="99"/>
    </row>
    <row r="350" spans="2:6" ht="12.75" customHeight="1" x14ac:dyDescent="0.25">
      <c r="B350" s="99"/>
      <c r="E350" s="99"/>
      <c r="F350" s="99"/>
    </row>
    <row r="351" spans="2:6" ht="12.75" customHeight="1" x14ac:dyDescent="0.25">
      <c r="B351" s="99"/>
      <c r="E351" s="99"/>
      <c r="F351" s="99"/>
    </row>
    <row r="352" spans="2:6" ht="12.75" customHeight="1" x14ac:dyDescent="0.25">
      <c r="B352" s="99"/>
      <c r="E352" s="99"/>
      <c r="F352" s="99"/>
    </row>
    <row r="353" spans="2:6" ht="12.75" customHeight="1" x14ac:dyDescent="0.25">
      <c r="B353" s="99"/>
      <c r="E353" s="99"/>
      <c r="F353" s="99"/>
    </row>
    <row r="354" spans="2:6" ht="12.75" customHeight="1" x14ac:dyDescent="0.25">
      <c r="B354" s="99"/>
      <c r="E354" s="99"/>
      <c r="F354" s="99"/>
    </row>
    <row r="355" spans="2:6" ht="12.75" customHeight="1" x14ac:dyDescent="0.25">
      <c r="B355" s="99"/>
      <c r="E355" s="99"/>
      <c r="F355" s="99"/>
    </row>
    <row r="356" spans="2:6" ht="12.75" customHeight="1" x14ac:dyDescent="0.25">
      <c r="B356" s="99"/>
      <c r="E356" s="99"/>
      <c r="F356" s="99"/>
    </row>
    <row r="357" spans="2:6" ht="12.75" customHeight="1" x14ac:dyDescent="0.25">
      <c r="B357" s="99"/>
      <c r="E357" s="99"/>
      <c r="F357" s="99"/>
    </row>
    <row r="358" spans="2:6" ht="12.75" customHeight="1" x14ac:dyDescent="0.25">
      <c r="B358" s="99"/>
      <c r="E358" s="99"/>
      <c r="F358" s="99"/>
    </row>
    <row r="359" spans="2:6" ht="12.75" customHeight="1" x14ac:dyDescent="0.25">
      <c r="B359" s="99"/>
      <c r="E359" s="99"/>
      <c r="F359" s="99"/>
    </row>
    <row r="360" spans="2:6" ht="12.75" customHeight="1" x14ac:dyDescent="0.25">
      <c r="B360" s="99"/>
      <c r="E360" s="99"/>
      <c r="F360" s="99"/>
    </row>
    <row r="361" spans="2:6" ht="12.75" customHeight="1" x14ac:dyDescent="0.25">
      <c r="B361" s="99"/>
      <c r="E361" s="99"/>
      <c r="F361" s="99"/>
    </row>
    <row r="362" spans="2:6" ht="12.75" customHeight="1" x14ac:dyDescent="0.25">
      <c r="B362" s="99"/>
      <c r="E362" s="99"/>
      <c r="F362" s="99"/>
    </row>
    <row r="363" spans="2:6" ht="12.75" customHeight="1" x14ac:dyDescent="0.25">
      <c r="B363" s="99"/>
      <c r="E363" s="99"/>
      <c r="F363" s="99"/>
    </row>
    <row r="364" spans="2:6" ht="12.75" customHeight="1" x14ac:dyDescent="0.25">
      <c r="B364" s="99"/>
      <c r="E364" s="99"/>
      <c r="F364" s="99"/>
    </row>
    <row r="365" spans="2:6" ht="12.75" customHeight="1" x14ac:dyDescent="0.25">
      <c r="B365" s="99"/>
      <c r="E365" s="99"/>
      <c r="F365" s="99"/>
    </row>
    <row r="366" spans="2:6" ht="12.75" customHeight="1" x14ac:dyDescent="0.25">
      <c r="B366" s="99"/>
      <c r="E366" s="99"/>
      <c r="F366" s="99"/>
    </row>
    <row r="367" spans="2:6" ht="12.75" customHeight="1" x14ac:dyDescent="0.25">
      <c r="B367" s="99"/>
      <c r="E367" s="99"/>
      <c r="F367" s="99"/>
    </row>
    <row r="368" spans="2:6" ht="12.75" customHeight="1" x14ac:dyDescent="0.25">
      <c r="B368" s="99"/>
      <c r="E368" s="99"/>
      <c r="F368" s="99"/>
    </row>
    <row r="369" spans="2:6" ht="12.75" customHeight="1" x14ac:dyDescent="0.25">
      <c r="B369" s="99"/>
      <c r="E369" s="99"/>
      <c r="F369" s="99"/>
    </row>
    <row r="370" spans="2:6" ht="12.75" customHeight="1" x14ac:dyDescent="0.25">
      <c r="B370" s="99"/>
      <c r="E370" s="99"/>
      <c r="F370" s="99"/>
    </row>
    <row r="371" spans="2:6" ht="12.75" customHeight="1" x14ac:dyDescent="0.25">
      <c r="B371" s="99"/>
      <c r="E371" s="99"/>
      <c r="F371" s="99"/>
    </row>
    <row r="372" spans="2:6" ht="12.75" customHeight="1" x14ac:dyDescent="0.25">
      <c r="B372" s="99"/>
      <c r="E372" s="99"/>
      <c r="F372" s="99"/>
    </row>
    <row r="373" spans="2:6" ht="12.75" customHeight="1" x14ac:dyDescent="0.25">
      <c r="B373" s="99"/>
      <c r="E373" s="99"/>
      <c r="F373" s="99"/>
    </row>
    <row r="374" spans="2:6" ht="12.75" customHeight="1" x14ac:dyDescent="0.25">
      <c r="B374" s="99"/>
      <c r="E374" s="99"/>
      <c r="F374" s="99"/>
    </row>
    <row r="375" spans="2:6" ht="12.75" customHeight="1" x14ac:dyDescent="0.25">
      <c r="B375" s="99"/>
      <c r="E375" s="99"/>
      <c r="F375" s="99"/>
    </row>
    <row r="376" spans="2:6" ht="12.75" customHeight="1" x14ac:dyDescent="0.25">
      <c r="B376" s="99"/>
      <c r="E376" s="99"/>
      <c r="F376" s="99"/>
    </row>
    <row r="377" spans="2:6" ht="12.75" customHeight="1" x14ac:dyDescent="0.25">
      <c r="B377" s="99"/>
      <c r="E377" s="99"/>
      <c r="F377" s="99"/>
    </row>
    <row r="378" spans="2:6" ht="12.75" customHeight="1" x14ac:dyDescent="0.25">
      <c r="B378" s="99"/>
      <c r="E378" s="99"/>
      <c r="F378" s="99"/>
    </row>
    <row r="379" spans="2:6" ht="12.75" customHeight="1" x14ac:dyDescent="0.25">
      <c r="B379" s="99"/>
      <c r="E379" s="99"/>
      <c r="F379" s="99"/>
    </row>
    <row r="380" spans="2:6" ht="12.75" customHeight="1" x14ac:dyDescent="0.25">
      <c r="B380" s="99"/>
      <c r="E380" s="99"/>
      <c r="F380" s="99"/>
    </row>
    <row r="381" spans="2:6" ht="12.75" customHeight="1" x14ac:dyDescent="0.25">
      <c r="B381" s="99"/>
      <c r="E381" s="99"/>
      <c r="F381" s="99"/>
    </row>
    <row r="382" spans="2:6" ht="12.75" customHeight="1" x14ac:dyDescent="0.25">
      <c r="B382" s="99"/>
      <c r="E382" s="99"/>
      <c r="F382" s="99"/>
    </row>
    <row r="383" spans="2:6" ht="12.75" customHeight="1" x14ac:dyDescent="0.25">
      <c r="B383" s="99"/>
      <c r="E383" s="99"/>
      <c r="F383" s="99"/>
    </row>
    <row r="384" spans="2:6" ht="12.75" customHeight="1" x14ac:dyDescent="0.25">
      <c r="B384" s="99"/>
      <c r="E384" s="99"/>
      <c r="F384" s="99"/>
    </row>
    <row r="385" spans="2:6" ht="12.75" customHeight="1" x14ac:dyDescent="0.25">
      <c r="B385" s="99"/>
      <c r="E385" s="99"/>
      <c r="F385" s="99"/>
    </row>
    <row r="386" spans="2:6" ht="12.75" customHeight="1" x14ac:dyDescent="0.25">
      <c r="B386" s="99"/>
      <c r="E386" s="99"/>
      <c r="F386" s="99"/>
    </row>
    <row r="387" spans="2:6" ht="12.75" customHeight="1" x14ac:dyDescent="0.25">
      <c r="B387" s="99"/>
      <c r="E387" s="99"/>
      <c r="F387" s="99"/>
    </row>
    <row r="388" spans="2:6" ht="12.75" customHeight="1" x14ac:dyDescent="0.25">
      <c r="B388" s="99"/>
      <c r="E388" s="99"/>
      <c r="F388" s="99"/>
    </row>
    <row r="389" spans="2:6" ht="12.75" customHeight="1" x14ac:dyDescent="0.25">
      <c r="B389" s="99"/>
      <c r="E389" s="99"/>
      <c r="F389" s="99"/>
    </row>
    <row r="390" spans="2:6" ht="12.75" customHeight="1" x14ac:dyDescent="0.25">
      <c r="B390" s="99"/>
      <c r="E390" s="99"/>
      <c r="F390" s="99"/>
    </row>
    <row r="391" spans="2:6" ht="12.75" customHeight="1" x14ac:dyDescent="0.25">
      <c r="B391" s="99"/>
      <c r="E391" s="99"/>
      <c r="F391" s="99"/>
    </row>
    <row r="392" spans="2:6" ht="12.75" customHeight="1" x14ac:dyDescent="0.25">
      <c r="B392" s="99"/>
      <c r="E392" s="99"/>
      <c r="F392" s="99"/>
    </row>
    <row r="393" spans="2:6" ht="12.75" customHeight="1" x14ac:dyDescent="0.25">
      <c r="B393" s="99"/>
      <c r="E393" s="99"/>
      <c r="F393" s="99"/>
    </row>
    <row r="394" spans="2:6" ht="12.75" customHeight="1" x14ac:dyDescent="0.25">
      <c r="B394" s="99"/>
      <c r="E394" s="99"/>
      <c r="F394" s="99"/>
    </row>
    <row r="395" spans="2:6" ht="12.75" customHeight="1" x14ac:dyDescent="0.25">
      <c r="B395" s="99"/>
      <c r="E395" s="99"/>
      <c r="F395" s="99"/>
    </row>
    <row r="396" spans="2:6" ht="12.75" customHeight="1" x14ac:dyDescent="0.25">
      <c r="B396" s="99"/>
      <c r="E396" s="99"/>
      <c r="F396" s="99"/>
    </row>
    <row r="397" spans="2:6" ht="12.75" customHeight="1" x14ac:dyDescent="0.25">
      <c r="B397" s="99"/>
      <c r="E397" s="99"/>
      <c r="F397" s="99"/>
    </row>
    <row r="398" spans="2:6" ht="12.75" customHeight="1" x14ac:dyDescent="0.25">
      <c r="B398" s="99"/>
      <c r="E398" s="99"/>
      <c r="F398" s="99"/>
    </row>
    <row r="399" spans="2:6" ht="12.75" customHeight="1" x14ac:dyDescent="0.25">
      <c r="B399" s="99"/>
      <c r="E399" s="99"/>
      <c r="F399" s="99"/>
    </row>
    <row r="400" spans="2:6" ht="12.75" customHeight="1" x14ac:dyDescent="0.25">
      <c r="B400" s="99"/>
      <c r="E400" s="99"/>
      <c r="F400" s="99"/>
    </row>
    <row r="401" spans="2:6" ht="12.75" customHeight="1" x14ac:dyDescent="0.25">
      <c r="B401" s="99"/>
      <c r="E401" s="99"/>
      <c r="F401" s="99"/>
    </row>
    <row r="402" spans="2:6" ht="12.75" customHeight="1" x14ac:dyDescent="0.25">
      <c r="B402" s="99"/>
      <c r="E402" s="99"/>
      <c r="F402" s="99"/>
    </row>
    <row r="403" spans="2:6" ht="12.75" customHeight="1" x14ac:dyDescent="0.25">
      <c r="B403" s="99"/>
      <c r="E403" s="99"/>
      <c r="F403" s="99"/>
    </row>
    <row r="404" spans="2:6" ht="12.75" customHeight="1" x14ac:dyDescent="0.25">
      <c r="B404" s="99"/>
      <c r="E404" s="99"/>
      <c r="F404" s="99"/>
    </row>
    <row r="405" spans="2:6" ht="12.75" customHeight="1" x14ac:dyDescent="0.25">
      <c r="B405" s="99"/>
      <c r="E405" s="99"/>
      <c r="F405" s="99"/>
    </row>
    <row r="406" spans="2:6" ht="12.75" customHeight="1" x14ac:dyDescent="0.25">
      <c r="B406" s="99"/>
      <c r="E406" s="99"/>
      <c r="F406" s="99"/>
    </row>
    <row r="407" spans="2:6" ht="12.75" customHeight="1" x14ac:dyDescent="0.25">
      <c r="B407" s="99"/>
      <c r="E407" s="99"/>
      <c r="F407" s="99"/>
    </row>
    <row r="408" spans="2:6" ht="12.75" customHeight="1" x14ac:dyDescent="0.25">
      <c r="B408" s="99"/>
      <c r="E408" s="99"/>
      <c r="F408" s="99"/>
    </row>
    <row r="409" spans="2:6" ht="12.75" customHeight="1" x14ac:dyDescent="0.25">
      <c r="B409" s="99"/>
      <c r="E409" s="99"/>
      <c r="F409" s="99"/>
    </row>
    <row r="410" spans="2:6" ht="12.75" customHeight="1" x14ac:dyDescent="0.25">
      <c r="B410" s="99"/>
      <c r="E410" s="99"/>
      <c r="F410" s="99"/>
    </row>
    <row r="411" spans="2:6" ht="12.75" customHeight="1" x14ac:dyDescent="0.25">
      <c r="B411" s="99"/>
      <c r="E411" s="99"/>
      <c r="F411" s="99"/>
    </row>
    <row r="412" spans="2:6" ht="12.75" customHeight="1" x14ac:dyDescent="0.25">
      <c r="B412" s="99"/>
      <c r="E412" s="99"/>
      <c r="F412" s="99"/>
    </row>
    <row r="413" spans="2:6" ht="12.75" customHeight="1" x14ac:dyDescent="0.25">
      <c r="B413" s="99"/>
      <c r="E413" s="99"/>
      <c r="F413" s="99"/>
    </row>
    <row r="414" spans="2:6" ht="12.75" customHeight="1" x14ac:dyDescent="0.25">
      <c r="B414" s="99"/>
      <c r="E414" s="99"/>
      <c r="F414" s="99"/>
    </row>
    <row r="415" spans="2:6" ht="12.75" customHeight="1" x14ac:dyDescent="0.25">
      <c r="B415" s="99"/>
      <c r="E415" s="99"/>
      <c r="F415" s="99"/>
    </row>
    <row r="416" spans="2:6" ht="12.75" customHeight="1" x14ac:dyDescent="0.25">
      <c r="B416" s="99"/>
      <c r="E416" s="99"/>
      <c r="F416" s="99"/>
    </row>
    <row r="417" spans="2:6" ht="12.75" customHeight="1" x14ac:dyDescent="0.25">
      <c r="B417" s="99"/>
      <c r="E417" s="99"/>
      <c r="F417" s="99"/>
    </row>
    <row r="418" spans="2:6" ht="12.75" customHeight="1" x14ac:dyDescent="0.25">
      <c r="B418" s="99"/>
      <c r="E418" s="99"/>
      <c r="F418" s="99"/>
    </row>
    <row r="419" spans="2:6" ht="12.75" customHeight="1" x14ac:dyDescent="0.25">
      <c r="B419" s="99"/>
      <c r="E419" s="99"/>
      <c r="F419" s="99"/>
    </row>
    <row r="420" spans="2:6" ht="12.75" customHeight="1" x14ac:dyDescent="0.25">
      <c r="B420" s="99"/>
      <c r="E420" s="99"/>
      <c r="F420" s="99"/>
    </row>
    <row r="421" spans="2:6" ht="12.75" customHeight="1" x14ac:dyDescent="0.25">
      <c r="B421" s="99"/>
      <c r="E421" s="99"/>
      <c r="F421" s="99"/>
    </row>
    <row r="422" spans="2:6" ht="12.75" customHeight="1" x14ac:dyDescent="0.25">
      <c r="B422" s="99"/>
      <c r="E422" s="99"/>
      <c r="F422" s="99"/>
    </row>
    <row r="423" spans="2:6" ht="12.75" customHeight="1" x14ac:dyDescent="0.25">
      <c r="B423" s="99"/>
      <c r="E423" s="99"/>
      <c r="F423" s="99"/>
    </row>
    <row r="424" spans="2:6" ht="12.75" customHeight="1" x14ac:dyDescent="0.25">
      <c r="B424" s="99"/>
      <c r="E424" s="99"/>
      <c r="F424" s="99"/>
    </row>
    <row r="425" spans="2:6" ht="12.75" customHeight="1" x14ac:dyDescent="0.25">
      <c r="B425" s="99"/>
      <c r="E425" s="99"/>
      <c r="F425" s="99"/>
    </row>
    <row r="426" spans="2:6" ht="12.75" customHeight="1" x14ac:dyDescent="0.25">
      <c r="B426" s="99"/>
      <c r="E426" s="99"/>
      <c r="F426" s="99"/>
    </row>
    <row r="427" spans="2:6" ht="12.75" customHeight="1" x14ac:dyDescent="0.25">
      <c r="B427" s="99"/>
      <c r="E427" s="99"/>
      <c r="F427" s="99"/>
    </row>
    <row r="428" spans="2:6" ht="12.75" customHeight="1" x14ac:dyDescent="0.25">
      <c r="B428" s="99"/>
      <c r="E428" s="99"/>
      <c r="F428" s="99"/>
    </row>
    <row r="429" spans="2:6" ht="12.75" customHeight="1" x14ac:dyDescent="0.25">
      <c r="B429" s="99"/>
      <c r="E429" s="99"/>
      <c r="F429" s="99"/>
    </row>
    <row r="430" spans="2:6" ht="12.75" customHeight="1" x14ac:dyDescent="0.25">
      <c r="B430" s="99"/>
      <c r="E430" s="99"/>
      <c r="F430" s="99"/>
    </row>
    <row r="431" spans="2:6" ht="12.75" customHeight="1" x14ac:dyDescent="0.25">
      <c r="B431" s="99"/>
      <c r="E431" s="99"/>
      <c r="F431" s="99"/>
    </row>
    <row r="432" spans="2:6" ht="12.75" customHeight="1" x14ac:dyDescent="0.25">
      <c r="B432" s="99"/>
      <c r="E432" s="99"/>
      <c r="F432" s="99"/>
    </row>
    <row r="433" spans="2:6" ht="12.75" customHeight="1" x14ac:dyDescent="0.25">
      <c r="B433" s="99"/>
      <c r="E433" s="99"/>
      <c r="F433" s="99"/>
    </row>
    <row r="434" spans="2:6" ht="12.75" customHeight="1" x14ac:dyDescent="0.25">
      <c r="B434" s="99"/>
      <c r="E434" s="99"/>
      <c r="F434" s="99"/>
    </row>
    <row r="435" spans="2:6" ht="12.75" customHeight="1" x14ac:dyDescent="0.25">
      <c r="B435" s="99"/>
      <c r="E435" s="99"/>
      <c r="F435" s="99"/>
    </row>
    <row r="436" spans="2:6" ht="12.75" customHeight="1" x14ac:dyDescent="0.25">
      <c r="B436" s="99"/>
      <c r="E436" s="99"/>
      <c r="F436" s="99"/>
    </row>
    <row r="437" spans="2:6" ht="12.75" customHeight="1" x14ac:dyDescent="0.25">
      <c r="B437" s="99"/>
      <c r="E437" s="99"/>
      <c r="F437" s="99"/>
    </row>
    <row r="438" spans="2:6" ht="12.75" customHeight="1" x14ac:dyDescent="0.25">
      <c r="B438" s="99"/>
      <c r="E438" s="99"/>
      <c r="F438" s="99"/>
    </row>
    <row r="439" spans="2:6" ht="12.75" customHeight="1" x14ac:dyDescent="0.25">
      <c r="B439" s="99"/>
      <c r="E439" s="99"/>
      <c r="F439" s="99"/>
    </row>
    <row r="440" spans="2:6" ht="12.75" customHeight="1" x14ac:dyDescent="0.25">
      <c r="B440" s="99"/>
      <c r="E440" s="99"/>
      <c r="F440" s="99"/>
    </row>
    <row r="441" spans="2:6" ht="12.75" customHeight="1" x14ac:dyDescent="0.25">
      <c r="B441" s="99"/>
      <c r="E441" s="99"/>
      <c r="F441" s="99"/>
    </row>
    <row r="442" spans="2:6" ht="12.75" customHeight="1" x14ac:dyDescent="0.25">
      <c r="B442" s="99"/>
      <c r="E442" s="99"/>
      <c r="F442" s="99"/>
    </row>
    <row r="443" spans="2:6" ht="12.75" customHeight="1" x14ac:dyDescent="0.25">
      <c r="B443" s="99"/>
      <c r="E443" s="99"/>
      <c r="F443" s="99"/>
    </row>
    <row r="444" spans="2:6" ht="12.75" customHeight="1" x14ac:dyDescent="0.25">
      <c r="B444" s="99"/>
      <c r="E444" s="99"/>
      <c r="F444" s="99"/>
    </row>
    <row r="445" spans="2:6" ht="12.75" customHeight="1" x14ac:dyDescent="0.25">
      <c r="B445" s="99"/>
      <c r="E445" s="99"/>
      <c r="F445" s="99"/>
    </row>
    <row r="446" spans="2:6" ht="12.75" customHeight="1" x14ac:dyDescent="0.25">
      <c r="B446" s="99"/>
      <c r="E446" s="99"/>
      <c r="F446" s="99"/>
    </row>
    <row r="447" spans="2:6" ht="12.75" customHeight="1" x14ac:dyDescent="0.25">
      <c r="B447" s="99"/>
      <c r="E447" s="99"/>
      <c r="F447" s="99"/>
    </row>
    <row r="448" spans="2:6" ht="12.75" customHeight="1" x14ac:dyDescent="0.25">
      <c r="B448" s="99"/>
      <c r="E448" s="99"/>
      <c r="F448" s="99"/>
    </row>
    <row r="449" spans="2:6" ht="12.75" customHeight="1" x14ac:dyDescent="0.25">
      <c r="B449" s="99"/>
      <c r="E449" s="99"/>
      <c r="F449" s="99"/>
    </row>
    <row r="450" spans="2:6" ht="12.75" customHeight="1" x14ac:dyDescent="0.25">
      <c r="B450" s="99"/>
      <c r="E450" s="99"/>
      <c r="F450" s="99"/>
    </row>
    <row r="451" spans="2:6" ht="12.75" customHeight="1" x14ac:dyDescent="0.25">
      <c r="B451" s="99"/>
      <c r="E451" s="99"/>
      <c r="F451" s="99"/>
    </row>
    <row r="452" spans="2:6" ht="12.75" customHeight="1" x14ac:dyDescent="0.25">
      <c r="B452" s="99"/>
      <c r="E452" s="99"/>
      <c r="F452" s="99"/>
    </row>
    <row r="453" spans="2:6" ht="12.75" customHeight="1" x14ac:dyDescent="0.25">
      <c r="B453" s="99"/>
      <c r="E453" s="99"/>
      <c r="F453" s="99"/>
    </row>
    <row r="454" spans="2:6" ht="12.75" customHeight="1" x14ac:dyDescent="0.25">
      <c r="B454" s="99"/>
      <c r="E454" s="99"/>
      <c r="F454" s="99"/>
    </row>
    <row r="455" spans="2:6" ht="12.75" customHeight="1" x14ac:dyDescent="0.25">
      <c r="B455" s="99"/>
      <c r="E455" s="99"/>
      <c r="F455" s="99"/>
    </row>
    <row r="456" spans="2:6" ht="12.75" customHeight="1" x14ac:dyDescent="0.25">
      <c r="B456" s="99"/>
      <c r="E456" s="99"/>
      <c r="F456" s="99"/>
    </row>
    <row r="457" spans="2:6" ht="12.75" customHeight="1" x14ac:dyDescent="0.25">
      <c r="B457" s="99"/>
      <c r="E457" s="99"/>
      <c r="F457" s="99"/>
    </row>
    <row r="458" spans="2:6" ht="12.75" customHeight="1" x14ac:dyDescent="0.25">
      <c r="B458" s="99"/>
      <c r="E458" s="99"/>
      <c r="F458" s="99"/>
    </row>
    <row r="459" spans="2:6" ht="12.75" customHeight="1" x14ac:dyDescent="0.25">
      <c r="B459" s="99"/>
      <c r="E459" s="99"/>
      <c r="F459" s="99"/>
    </row>
    <row r="460" spans="2:6" ht="12.75" customHeight="1" x14ac:dyDescent="0.25">
      <c r="B460" s="99"/>
      <c r="E460" s="99"/>
      <c r="F460" s="99"/>
    </row>
    <row r="461" spans="2:6" ht="12.75" customHeight="1" x14ac:dyDescent="0.25">
      <c r="B461" s="99"/>
      <c r="E461" s="99"/>
      <c r="F461" s="99"/>
    </row>
    <row r="462" spans="2:6" ht="12.75" customHeight="1" x14ac:dyDescent="0.25">
      <c r="B462" s="99"/>
      <c r="E462" s="99"/>
      <c r="F462" s="99"/>
    </row>
    <row r="463" spans="2:6" ht="12.75" customHeight="1" x14ac:dyDescent="0.25">
      <c r="B463" s="99"/>
      <c r="E463" s="99"/>
      <c r="F463" s="99"/>
    </row>
    <row r="464" spans="2:6" ht="12.75" customHeight="1" x14ac:dyDescent="0.25">
      <c r="B464" s="99"/>
      <c r="E464" s="99"/>
      <c r="F464" s="99"/>
    </row>
    <row r="465" spans="2:6" ht="12.75" customHeight="1" x14ac:dyDescent="0.25">
      <c r="B465" s="99"/>
      <c r="E465" s="99"/>
      <c r="F465" s="99"/>
    </row>
    <row r="466" spans="2:6" ht="12.75" customHeight="1" x14ac:dyDescent="0.25">
      <c r="B466" s="99"/>
      <c r="E466" s="99"/>
      <c r="F466" s="99"/>
    </row>
    <row r="467" spans="2:6" ht="12.75" customHeight="1" x14ac:dyDescent="0.25">
      <c r="B467" s="99"/>
      <c r="E467" s="99"/>
      <c r="F467" s="99"/>
    </row>
    <row r="468" spans="2:6" ht="12.75" customHeight="1" x14ac:dyDescent="0.25">
      <c r="B468" s="99"/>
      <c r="E468" s="99"/>
      <c r="F468" s="99"/>
    </row>
    <row r="469" spans="2:6" ht="12.75" customHeight="1" x14ac:dyDescent="0.25">
      <c r="B469" s="99"/>
      <c r="E469" s="99"/>
      <c r="F469" s="99"/>
    </row>
    <row r="470" spans="2:6" ht="12.75" customHeight="1" x14ac:dyDescent="0.25">
      <c r="B470" s="99"/>
      <c r="E470" s="99"/>
      <c r="F470" s="99"/>
    </row>
    <row r="471" spans="2:6" ht="12.75" customHeight="1" x14ac:dyDescent="0.25">
      <c r="B471" s="99"/>
      <c r="E471" s="99"/>
      <c r="F471" s="99"/>
    </row>
    <row r="472" spans="2:6" ht="12.75" customHeight="1" x14ac:dyDescent="0.25">
      <c r="B472" s="99"/>
      <c r="E472" s="99"/>
      <c r="F472" s="99"/>
    </row>
    <row r="473" spans="2:6" ht="12.75" customHeight="1" x14ac:dyDescent="0.25">
      <c r="B473" s="99"/>
      <c r="E473" s="99"/>
      <c r="F473" s="99"/>
    </row>
    <row r="474" spans="2:6" ht="12.75" customHeight="1" x14ac:dyDescent="0.25">
      <c r="B474" s="99"/>
      <c r="E474" s="99"/>
      <c r="F474" s="99"/>
    </row>
    <row r="475" spans="2:6" ht="12.75" customHeight="1" x14ac:dyDescent="0.25">
      <c r="B475" s="99"/>
      <c r="E475" s="99"/>
      <c r="F475" s="99"/>
    </row>
    <row r="476" spans="2:6" ht="12.75" customHeight="1" x14ac:dyDescent="0.25">
      <c r="B476" s="99"/>
      <c r="E476" s="99"/>
      <c r="F476" s="99"/>
    </row>
    <row r="477" spans="2:6" ht="12.75" customHeight="1" x14ac:dyDescent="0.25">
      <c r="B477" s="99"/>
      <c r="E477" s="99"/>
      <c r="F477" s="99"/>
    </row>
    <row r="478" spans="2:6" ht="12.75" customHeight="1" x14ac:dyDescent="0.25">
      <c r="B478" s="99"/>
      <c r="E478" s="99"/>
      <c r="F478" s="99"/>
    </row>
    <row r="479" spans="2:6" ht="12.75" customHeight="1" x14ac:dyDescent="0.25">
      <c r="B479" s="99"/>
      <c r="E479" s="99"/>
      <c r="F479" s="99"/>
    </row>
    <row r="480" spans="2:6" ht="12.75" customHeight="1" x14ac:dyDescent="0.25">
      <c r="B480" s="99"/>
      <c r="E480" s="99"/>
      <c r="F480" s="99"/>
    </row>
    <row r="481" spans="2:6" ht="12.75" customHeight="1" x14ac:dyDescent="0.25">
      <c r="B481" s="99"/>
      <c r="E481" s="99"/>
      <c r="F481" s="99"/>
    </row>
    <row r="482" spans="2:6" ht="12.75" customHeight="1" x14ac:dyDescent="0.25">
      <c r="B482" s="99"/>
      <c r="E482" s="99"/>
      <c r="F482" s="99"/>
    </row>
    <row r="483" spans="2:6" ht="12.75" customHeight="1" x14ac:dyDescent="0.25">
      <c r="B483" s="99"/>
      <c r="E483" s="99"/>
      <c r="F483" s="99"/>
    </row>
    <row r="484" spans="2:6" ht="12.75" customHeight="1" x14ac:dyDescent="0.25">
      <c r="B484" s="99"/>
      <c r="E484" s="99"/>
      <c r="F484" s="99"/>
    </row>
    <row r="485" spans="2:6" ht="12.75" customHeight="1" x14ac:dyDescent="0.25">
      <c r="B485" s="99"/>
      <c r="E485" s="99"/>
      <c r="F485" s="99"/>
    </row>
    <row r="486" spans="2:6" ht="12.75" customHeight="1" x14ac:dyDescent="0.25">
      <c r="B486" s="99"/>
      <c r="E486" s="99"/>
      <c r="F486" s="99"/>
    </row>
    <row r="487" spans="2:6" ht="12.75" customHeight="1" x14ac:dyDescent="0.25">
      <c r="B487" s="99"/>
      <c r="E487" s="99"/>
      <c r="F487" s="99"/>
    </row>
    <row r="488" spans="2:6" ht="12.75" customHeight="1" x14ac:dyDescent="0.25">
      <c r="B488" s="99"/>
      <c r="E488" s="99"/>
      <c r="F488" s="99"/>
    </row>
    <row r="489" spans="2:6" ht="12.75" customHeight="1" x14ac:dyDescent="0.25">
      <c r="B489" s="99"/>
      <c r="E489" s="99"/>
      <c r="F489" s="99"/>
    </row>
    <row r="490" spans="2:6" ht="12.75" customHeight="1" x14ac:dyDescent="0.25">
      <c r="B490" s="99"/>
      <c r="E490" s="99"/>
      <c r="F490" s="99"/>
    </row>
    <row r="491" spans="2:6" ht="12.75" customHeight="1" x14ac:dyDescent="0.25">
      <c r="B491" s="99"/>
      <c r="E491" s="99"/>
      <c r="F491" s="99"/>
    </row>
    <row r="492" spans="2:6" ht="12.75" customHeight="1" x14ac:dyDescent="0.25">
      <c r="B492" s="99"/>
      <c r="E492" s="99"/>
      <c r="F492" s="99"/>
    </row>
    <row r="493" spans="2:6" ht="12.75" customHeight="1" x14ac:dyDescent="0.25">
      <c r="B493" s="99"/>
      <c r="E493" s="99"/>
      <c r="F493" s="99"/>
    </row>
    <row r="494" spans="2:6" ht="12.75" customHeight="1" x14ac:dyDescent="0.25">
      <c r="B494" s="99"/>
      <c r="E494" s="99"/>
      <c r="F494" s="99"/>
    </row>
    <row r="495" spans="2:6" ht="12.75" customHeight="1" x14ac:dyDescent="0.25">
      <c r="B495" s="99"/>
      <c r="E495" s="99"/>
      <c r="F495" s="99"/>
    </row>
    <row r="496" spans="2:6" ht="12.75" customHeight="1" x14ac:dyDescent="0.25">
      <c r="B496" s="99"/>
      <c r="E496" s="99"/>
      <c r="F496" s="99"/>
    </row>
    <row r="497" spans="2:6" ht="12.75" customHeight="1" x14ac:dyDescent="0.25">
      <c r="B497" s="99"/>
      <c r="E497" s="99"/>
      <c r="F497" s="99"/>
    </row>
    <row r="498" spans="2:6" ht="12.75" customHeight="1" x14ac:dyDescent="0.25">
      <c r="B498" s="99"/>
      <c r="E498" s="99"/>
      <c r="F498" s="99"/>
    </row>
    <row r="499" spans="2:6" ht="12.75" customHeight="1" x14ac:dyDescent="0.25">
      <c r="B499" s="99"/>
      <c r="E499" s="99"/>
      <c r="F499" s="99"/>
    </row>
    <row r="500" spans="2:6" ht="12.75" customHeight="1" x14ac:dyDescent="0.25">
      <c r="B500" s="99"/>
      <c r="E500" s="99"/>
      <c r="F500" s="99"/>
    </row>
    <row r="501" spans="2:6" ht="12.75" customHeight="1" x14ac:dyDescent="0.25">
      <c r="B501" s="99"/>
      <c r="E501" s="99"/>
      <c r="F501" s="99"/>
    </row>
    <row r="502" spans="2:6" ht="12.75" customHeight="1" x14ac:dyDescent="0.25">
      <c r="B502" s="99"/>
      <c r="E502" s="99"/>
      <c r="F502" s="99"/>
    </row>
    <row r="503" spans="2:6" ht="12.75" customHeight="1" x14ac:dyDescent="0.25">
      <c r="B503" s="99"/>
      <c r="E503" s="99"/>
      <c r="F503" s="99"/>
    </row>
    <row r="504" spans="2:6" ht="12.75" customHeight="1" x14ac:dyDescent="0.25">
      <c r="B504" s="99"/>
      <c r="E504" s="99"/>
      <c r="F504" s="99"/>
    </row>
    <row r="505" spans="2:6" ht="12.75" customHeight="1" x14ac:dyDescent="0.25">
      <c r="B505" s="99"/>
      <c r="E505" s="99"/>
      <c r="F505" s="99"/>
    </row>
    <row r="506" spans="2:6" ht="12.75" customHeight="1" x14ac:dyDescent="0.25">
      <c r="B506" s="99"/>
      <c r="E506" s="99"/>
      <c r="F506" s="99"/>
    </row>
    <row r="507" spans="2:6" ht="12.75" customHeight="1" x14ac:dyDescent="0.25">
      <c r="B507" s="99"/>
      <c r="E507" s="99"/>
      <c r="F507" s="99"/>
    </row>
    <row r="508" spans="2:6" ht="12.75" customHeight="1" x14ac:dyDescent="0.25">
      <c r="B508" s="99"/>
      <c r="E508" s="99"/>
      <c r="F508" s="99"/>
    </row>
    <row r="509" spans="2:6" ht="12.75" customHeight="1" x14ac:dyDescent="0.25">
      <c r="B509" s="99"/>
      <c r="E509" s="99"/>
      <c r="F509" s="99"/>
    </row>
    <row r="510" spans="2:6" ht="12.75" customHeight="1" x14ac:dyDescent="0.25">
      <c r="B510" s="99"/>
      <c r="E510" s="99"/>
      <c r="F510" s="99"/>
    </row>
    <row r="511" spans="2:6" ht="12.75" customHeight="1" x14ac:dyDescent="0.25">
      <c r="B511" s="99"/>
      <c r="E511" s="99"/>
      <c r="F511" s="99"/>
    </row>
    <row r="512" spans="2:6" ht="12.75" customHeight="1" x14ac:dyDescent="0.25">
      <c r="B512" s="99"/>
      <c r="E512" s="99"/>
      <c r="F512" s="99"/>
    </row>
    <row r="513" spans="2:6" ht="12.75" customHeight="1" x14ac:dyDescent="0.25">
      <c r="B513" s="99"/>
      <c r="E513" s="99"/>
      <c r="F513" s="99"/>
    </row>
    <row r="514" spans="2:6" ht="12.75" customHeight="1" x14ac:dyDescent="0.25">
      <c r="B514" s="99"/>
      <c r="E514" s="99"/>
      <c r="F514" s="99"/>
    </row>
    <row r="515" spans="2:6" ht="12.75" customHeight="1" x14ac:dyDescent="0.25">
      <c r="B515" s="99"/>
      <c r="E515" s="99"/>
      <c r="F515" s="99"/>
    </row>
    <row r="516" spans="2:6" ht="12.75" customHeight="1" x14ac:dyDescent="0.25">
      <c r="B516" s="99"/>
      <c r="E516" s="99"/>
      <c r="F516" s="99"/>
    </row>
    <row r="517" spans="2:6" ht="12.75" customHeight="1" x14ac:dyDescent="0.25">
      <c r="B517" s="99"/>
      <c r="E517" s="99"/>
      <c r="F517" s="99"/>
    </row>
    <row r="518" spans="2:6" ht="12.75" customHeight="1" x14ac:dyDescent="0.25">
      <c r="B518" s="99"/>
      <c r="E518" s="99"/>
      <c r="F518" s="99"/>
    </row>
    <row r="519" spans="2:6" ht="12.75" customHeight="1" x14ac:dyDescent="0.25">
      <c r="B519" s="99"/>
      <c r="E519" s="99"/>
      <c r="F519" s="99"/>
    </row>
    <row r="520" spans="2:6" ht="12.75" customHeight="1" x14ac:dyDescent="0.25">
      <c r="B520" s="99"/>
      <c r="E520" s="99"/>
      <c r="F520" s="99"/>
    </row>
    <row r="521" spans="2:6" ht="12.75" customHeight="1" x14ac:dyDescent="0.25">
      <c r="B521" s="99"/>
      <c r="E521" s="99"/>
      <c r="F521" s="99"/>
    </row>
    <row r="522" spans="2:6" ht="12.75" customHeight="1" x14ac:dyDescent="0.25">
      <c r="B522" s="99"/>
      <c r="E522" s="99"/>
      <c r="F522" s="99"/>
    </row>
    <row r="523" spans="2:6" ht="12.75" customHeight="1" x14ac:dyDescent="0.25">
      <c r="B523" s="99"/>
      <c r="E523" s="99"/>
      <c r="F523" s="99"/>
    </row>
    <row r="524" spans="2:6" ht="12.75" customHeight="1" x14ac:dyDescent="0.25">
      <c r="B524" s="99"/>
      <c r="E524" s="99"/>
      <c r="F524" s="99"/>
    </row>
    <row r="525" spans="2:6" ht="12.75" customHeight="1" x14ac:dyDescent="0.25">
      <c r="B525" s="99"/>
      <c r="E525" s="99"/>
      <c r="F525" s="99"/>
    </row>
    <row r="526" spans="2:6" ht="12.75" customHeight="1" x14ac:dyDescent="0.25">
      <c r="B526" s="99"/>
      <c r="E526" s="99"/>
      <c r="F526" s="99"/>
    </row>
    <row r="527" spans="2:6" ht="12.75" customHeight="1" x14ac:dyDescent="0.25">
      <c r="B527" s="99"/>
      <c r="E527" s="99"/>
      <c r="F527" s="99"/>
    </row>
    <row r="528" spans="2:6" ht="12.75" customHeight="1" x14ac:dyDescent="0.25">
      <c r="B528" s="99"/>
      <c r="E528" s="99"/>
      <c r="F528" s="99"/>
    </row>
    <row r="529" spans="2:6" ht="12.75" customHeight="1" x14ac:dyDescent="0.25">
      <c r="B529" s="99"/>
      <c r="E529" s="99"/>
      <c r="F529" s="99"/>
    </row>
    <row r="530" spans="2:6" ht="12.75" customHeight="1" x14ac:dyDescent="0.25">
      <c r="B530" s="99"/>
      <c r="E530" s="99"/>
      <c r="F530" s="99"/>
    </row>
    <row r="531" spans="2:6" ht="12.75" customHeight="1" x14ac:dyDescent="0.25">
      <c r="B531" s="99"/>
      <c r="E531" s="99"/>
      <c r="F531" s="99"/>
    </row>
    <row r="532" spans="2:6" ht="12.75" customHeight="1" x14ac:dyDescent="0.25">
      <c r="B532" s="99"/>
      <c r="E532" s="99"/>
      <c r="F532" s="99"/>
    </row>
    <row r="533" spans="2:6" ht="12.75" customHeight="1" x14ac:dyDescent="0.25">
      <c r="B533" s="99"/>
      <c r="E533" s="99"/>
      <c r="F533" s="99"/>
    </row>
    <row r="534" spans="2:6" ht="12.75" customHeight="1" x14ac:dyDescent="0.25">
      <c r="B534" s="99"/>
      <c r="E534" s="99"/>
      <c r="F534" s="99"/>
    </row>
    <row r="535" spans="2:6" ht="12.75" customHeight="1" x14ac:dyDescent="0.25">
      <c r="B535" s="99"/>
      <c r="E535" s="99"/>
      <c r="F535" s="99"/>
    </row>
    <row r="536" spans="2:6" ht="12.75" customHeight="1" x14ac:dyDescent="0.25">
      <c r="B536" s="99"/>
      <c r="E536" s="99"/>
      <c r="F536" s="99"/>
    </row>
    <row r="537" spans="2:6" ht="12.75" customHeight="1" x14ac:dyDescent="0.25">
      <c r="B537" s="99"/>
      <c r="E537" s="99"/>
      <c r="F537" s="99"/>
    </row>
    <row r="538" spans="2:6" ht="12.75" customHeight="1" x14ac:dyDescent="0.25">
      <c r="B538" s="99"/>
      <c r="E538" s="99"/>
      <c r="F538" s="99"/>
    </row>
    <row r="539" spans="2:6" ht="12.75" customHeight="1" x14ac:dyDescent="0.25">
      <c r="B539" s="99"/>
      <c r="E539" s="99"/>
      <c r="F539" s="99"/>
    </row>
    <row r="540" spans="2:6" ht="12.75" customHeight="1" x14ac:dyDescent="0.25">
      <c r="B540" s="99"/>
      <c r="E540" s="99"/>
      <c r="F540" s="99"/>
    </row>
    <row r="541" spans="2:6" ht="12.75" customHeight="1" x14ac:dyDescent="0.25">
      <c r="B541" s="99"/>
      <c r="E541" s="99"/>
      <c r="F541" s="99"/>
    </row>
    <row r="542" spans="2:6" ht="12.75" customHeight="1" x14ac:dyDescent="0.25">
      <c r="B542" s="99"/>
      <c r="E542" s="99"/>
      <c r="F542" s="99"/>
    </row>
    <row r="543" spans="2:6" ht="12.75" customHeight="1" x14ac:dyDescent="0.25">
      <c r="B543" s="99"/>
      <c r="E543" s="99"/>
      <c r="F543" s="99"/>
    </row>
    <row r="544" spans="2:6" ht="12.75" customHeight="1" x14ac:dyDescent="0.25">
      <c r="B544" s="99"/>
      <c r="E544" s="99"/>
      <c r="F544" s="99"/>
    </row>
    <row r="545" spans="2:6" ht="12.75" customHeight="1" x14ac:dyDescent="0.25">
      <c r="B545" s="99"/>
      <c r="E545" s="99"/>
      <c r="F545" s="99"/>
    </row>
    <row r="546" spans="2:6" ht="12.75" customHeight="1" x14ac:dyDescent="0.25">
      <c r="B546" s="99"/>
      <c r="E546" s="99"/>
      <c r="F546" s="99"/>
    </row>
    <row r="547" spans="2:6" ht="12.75" customHeight="1" x14ac:dyDescent="0.25">
      <c r="B547" s="99"/>
      <c r="E547" s="99"/>
      <c r="F547" s="99"/>
    </row>
    <row r="548" spans="2:6" ht="12.75" customHeight="1" x14ac:dyDescent="0.25">
      <c r="B548" s="99"/>
      <c r="E548" s="99"/>
      <c r="F548" s="99"/>
    </row>
    <row r="549" spans="2:6" ht="12.75" customHeight="1" x14ac:dyDescent="0.25">
      <c r="B549" s="99"/>
      <c r="E549" s="99"/>
      <c r="F549" s="99"/>
    </row>
    <row r="550" spans="2:6" ht="12.75" customHeight="1" x14ac:dyDescent="0.25">
      <c r="B550" s="99"/>
      <c r="E550" s="99"/>
      <c r="F550" s="99"/>
    </row>
    <row r="551" spans="2:6" ht="12.75" customHeight="1" x14ac:dyDescent="0.25">
      <c r="B551" s="99"/>
      <c r="E551" s="99"/>
      <c r="F551" s="99"/>
    </row>
    <row r="552" spans="2:6" ht="12.75" customHeight="1" x14ac:dyDescent="0.25">
      <c r="B552" s="99"/>
      <c r="E552" s="99"/>
      <c r="F552" s="99"/>
    </row>
    <row r="553" spans="2:6" ht="12.75" customHeight="1" x14ac:dyDescent="0.25">
      <c r="B553" s="99"/>
      <c r="E553" s="99"/>
      <c r="F553" s="99"/>
    </row>
    <row r="554" spans="2:6" ht="12.75" customHeight="1" x14ac:dyDescent="0.25">
      <c r="B554" s="99"/>
      <c r="E554" s="99"/>
      <c r="F554" s="99"/>
    </row>
    <row r="555" spans="2:6" ht="12.75" customHeight="1" x14ac:dyDescent="0.25">
      <c r="B555" s="99"/>
      <c r="E555" s="99"/>
      <c r="F555" s="99"/>
    </row>
    <row r="556" spans="2:6" ht="12.75" customHeight="1" x14ac:dyDescent="0.25">
      <c r="B556" s="99"/>
      <c r="E556" s="99"/>
      <c r="F556" s="99"/>
    </row>
    <row r="557" spans="2:6" ht="12.75" customHeight="1" x14ac:dyDescent="0.25">
      <c r="B557" s="99"/>
      <c r="E557" s="99"/>
      <c r="F557" s="99"/>
    </row>
    <row r="558" spans="2:6" ht="12.75" customHeight="1" x14ac:dyDescent="0.25">
      <c r="B558" s="99"/>
      <c r="E558" s="99"/>
      <c r="F558" s="99"/>
    </row>
    <row r="559" spans="2:6" ht="12.75" customHeight="1" x14ac:dyDescent="0.25">
      <c r="B559" s="99"/>
      <c r="E559" s="99"/>
      <c r="F559" s="99"/>
    </row>
    <row r="560" spans="2:6" ht="12.75" customHeight="1" x14ac:dyDescent="0.25">
      <c r="B560" s="99"/>
      <c r="E560" s="99"/>
      <c r="F560" s="99"/>
    </row>
    <row r="561" spans="2:6" ht="12.75" customHeight="1" x14ac:dyDescent="0.25">
      <c r="B561" s="99"/>
      <c r="E561" s="99"/>
      <c r="F561" s="99"/>
    </row>
    <row r="562" spans="2:6" ht="12.75" customHeight="1" x14ac:dyDescent="0.25">
      <c r="B562" s="99"/>
      <c r="E562" s="99"/>
      <c r="F562" s="99"/>
    </row>
    <row r="563" spans="2:6" ht="12.75" customHeight="1" x14ac:dyDescent="0.25">
      <c r="B563" s="99"/>
      <c r="E563" s="99"/>
      <c r="F563" s="99"/>
    </row>
    <row r="564" spans="2:6" ht="12.75" customHeight="1" x14ac:dyDescent="0.25">
      <c r="B564" s="99"/>
      <c r="E564" s="99"/>
      <c r="F564" s="99"/>
    </row>
    <row r="565" spans="2:6" ht="12.75" customHeight="1" x14ac:dyDescent="0.25">
      <c r="B565" s="99"/>
      <c r="E565" s="99"/>
      <c r="F565" s="99"/>
    </row>
    <row r="566" spans="2:6" ht="12.75" customHeight="1" x14ac:dyDescent="0.25">
      <c r="B566" s="99"/>
      <c r="E566" s="99"/>
      <c r="F566" s="99"/>
    </row>
    <row r="567" spans="2:6" ht="12.75" customHeight="1" x14ac:dyDescent="0.25">
      <c r="B567" s="99"/>
      <c r="E567" s="99"/>
      <c r="F567" s="99"/>
    </row>
    <row r="568" spans="2:6" ht="12.75" customHeight="1" x14ac:dyDescent="0.25">
      <c r="B568" s="99"/>
      <c r="E568" s="99"/>
      <c r="F568" s="99"/>
    </row>
    <row r="569" spans="2:6" ht="12.75" customHeight="1" x14ac:dyDescent="0.25">
      <c r="B569" s="99"/>
      <c r="E569" s="99"/>
      <c r="F569" s="99"/>
    </row>
    <row r="570" spans="2:6" ht="12.75" customHeight="1" x14ac:dyDescent="0.25">
      <c r="B570" s="99"/>
      <c r="E570" s="99"/>
      <c r="F570" s="99"/>
    </row>
    <row r="571" spans="2:6" ht="12.75" customHeight="1" x14ac:dyDescent="0.25">
      <c r="B571" s="99"/>
      <c r="E571" s="99"/>
      <c r="F571" s="99"/>
    </row>
    <row r="572" spans="2:6" ht="12.75" customHeight="1" x14ac:dyDescent="0.25">
      <c r="B572" s="99"/>
      <c r="E572" s="99"/>
      <c r="F572" s="99"/>
    </row>
    <row r="573" spans="2:6" ht="12.75" customHeight="1" x14ac:dyDescent="0.25">
      <c r="B573" s="99"/>
      <c r="E573" s="99"/>
      <c r="F573" s="99"/>
    </row>
    <row r="574" spans="2:6" ht="12.75" customHeight="1" x14ac:dyDescent="0.25">
      <c r="B574" s="99"/>
      <c r="E574" s="99"/>
      <c r="F574" s="99"/>
    </row>
    <row r="575" spans="2:6" ht="12.75" customHeight="1" x14ac:dyDescent="0.25">
      <c r="B575" s="99"/>
      <c r="E575" s="99"/>
      <c r="F575" s="99"/>
    </row>
    <row r="576" spans="2:6" ht="12.75" customHeight="1" x14ac:dyDescent="0.25">
      <c r="B576" s="99"/>
      <c r="E576" s="99"/>
      <c r="F576" s="99"/>
    </row>
    <row r="577" spans="2:6" ht="12.75" customHeight="1" x14ac:dyDescent="0.25">
      <c r="B577" s="99"/>
      <c r="E577" s="99"/>
      <c r="F577" s="99"/>
    </row>
    <row r="578" spans="2:6" ht="12.75" customHeight="1" x14ac:dyDescent="0.25">
      <c r="B578" s="99"/>
      <c r="E578" s="99"/>
      <c r="F578" s="99"/>
    </row>
    <row r="579" spans="2:6" ht="12.75" customHeight="1" x14ac:dyDescent="0.25">
      <c r="B579" s="99"/>
      <c r="E579" s="99"/>
      <c r="F579" s="99"/>
    </row>
    <row r="580" spans="2:6" ht="12.75" customHeight="1" x14ac:dyDescent="0.25">
      <c r="B580" s="99"/>
      <c r="E580" s="99"/>
      <c r="F580" s="99"/>
    </row>
    <row r="581" spans="2:6" ht="12.75" customHeight="1" x14ac:dyDescent="0.25">
      <c r="B581" s="99"/>
      <c r="E581" s="99"/>
      <c r="F581" s="99"/>
    </row>
    <row r="582" spans="2:6" ht="12.75" customHeight="1" x14ac:dyDescent="0.25">
      <c r="B582" s="99"/>
      <c r="E582" s="99"/>
      <c r="F582" s="99"/>
    </row>
    <row r="583" spans="2:6" ht="12.75" customHeight="1" x14ac:dyDescent="0.25">
      <c r="B583" s="99"/>
      <c r="E583" s="99"/>
      <c r="F583" s="99"/>
    </row>
    <row r="584" spans="2:6" ht="12.75" customHeight="1" x14ac:dyDescent="0.25">
      <c r="B584" s="99"/>
      <c r="E584" s="99"/>
      <c r="F584" s="99"/>
    </row>
    <row r="585" spans="2:6" ht="12.75" customHeight="1" x14ac:dyDescent="0.25">
      <c r="B585" s="99"/>
      <c r="E585" s="99"/>
      <c r="F585" s="99"/>
    </row>
    <row r="586" spans="2:6" ht="12.75" customHeight="1" x14ac:dyDescent="0.25">
      <c r="B586" s="99"/>
      <c r="E586" s="99"/>
      <c r="F586" s="99"/>
    </row>
    <row r="587" spans="2:6" ht="12.75" customHeight="1" x14ac:dyDescent="0.25">
      <c r="B587" s="99"/>
      <c r="E587" s="99"/>
      <c r="F587" s="99"/>
    </row>
    <row r="588" spans="2:6" ht="12.75" customHeight="1" x14ac:dyDescent="0.25">
      <c r="B588" s="99"/>
      <c r="E588" s="99"/>
      <c r="F588" s="99"/>
    </row>
    <row r="589" spans="2:6" ht="12.75" customHeight="1" x14ac:dyDescent="0.25">
      <c r="B589" s="99"/>
      <c r="E589" s="99"/>
      <c r="F589" s="99"/>
    </row>
    <row r="590" spans="2:6" ht="12.75" customHeight="1" x14ac:dyDescent="0.25">
      <c r="B590" s="99"/>
      <c r="E590" s="99"/>
      <c r="F590" s="99"/>
    </row>
    <row r="591" spans="2:6" ht="12.75" customHeight="1" x14ac:dyDescent="0.25">
      <c r="B591" s="99"/>
      <c r="E591" s="99"/>
      <c r="F591" s="99"/>
    </row>
    <row r="592" spans="2:6" ht="12.75" customHeight="1" x14ac:dyDescent="0.25">
      <c r="B592" s="99"/>
      <c r="E592" s="99"/>
      <c r="F592" s="99"/>
    </row>
    <row r="593" spans="2:6" ht="12.75" customHeight="1" x14ac:dyDescent="0.25">
      <c r="B593" s="99"/>
      <c r="E593" s="99"/>
      <c r="F593" s="99"/>
    </row>
    <row r="594" spans="2:6" ht="12.75" customHeight="1" x14ac:dyDescent="0.25">
      <c r="B594" s="99"/>
      <c r="E594" s="99"/>
      <c r="F594" s="99"/>
    </row>
    <row r="595" spans="2:6" ht="12.75" customHeight="1" x14ac:dyDescent="0.25">
      <c r="B595" s="99"/>
      <c r="E595" s="99"/>
      <c r="F595" s="99"/>
    </row>
    <row r="596" spans="2:6" ht="12.75" customHeight="1" x14ac:dyDescent="0.25">
      <c r="B596" s="99"/>
      <c r="E596" s="99"/>
      <c r="F596" s="99"/>
    </row>
    <row r="597" spans="2:6" ht="12.75" customHeight="1" x14ac:dyDescent="0.25">
      <c r="B597" s="99"/>
      <c r="E597" s="99"/>
      <c r="F597" s="99"/>
    </row>
    <row r="598" spans="2:6" ht="12.75" customHeight="1" x14ac:dyDescent="0.25">
      <c r="B598" s="99"/>
      <c r="E598" s="99"/>
      <c r="F598" s="99"/>
    </row>
    <row r="599" spans="2:6" ht="12.75" customHeight="1" x14ac:dyDescent="0.25">
      <c r="B599" s="99"/>
      <c r="E599" s="99"/>
      <c r="F599" s="99"/>
    </row>
    <row r="600" spans="2:6" ht="12.75" customHeight="1" x14ac:dyDescent="0.25">
      <c r="B600" s="99"/>
      <c r="E600" s="99"/>
      <c r="F600" s="99"/>
    </row>
    <row r="601" spans="2:6" ht="12.75" customHeight="1" x14ac:dyDescent="0.25">
      <c r="B601" s="99"/>
      <c r="E601" s="99"/>
      <c r="F601" s="99"/>
    </row>
    <row r="602" spans="2:6" ht="12.75" customHeight="1" x14ac:dyDescent="0.25">
      <c r="B602" s="99"/>
      <c r="E602" s="99"/>
      <c r="F602" s="99"/>
    </row>
    <row r="603" spans="2:6" ht="12.75" customHeight="1" x14ac:dyDescent="0.25">
      <c r="B603" s="99"/>
      <c r="E603" s="99"/>
      <c r="F603" s="99"/>
    </row>
    <row r="604" spans="2:6" ht="12.75" customHeight="1" x14ac:dyDescent="0.25">
      <c r="B604" s="99"/>
      <c r="E604" s="99"/>
      <c r="F604" s="99"/>
    </row>
    <row r="605" spans="2:6" ht="12.75" customHeight="1" x14ac:dyDescent="0.25">
      <c r="B605" s="99"/>
      <c r="E605" s="99"/>
      <c r="F605" s="99"/>
    </row>
    <row r="606" spans="2:6" ht="12.75" customHeight="1" x14ac:dyDescent="0.25">
      <c r="B606" s="99"/>
      <c r="E606" s="99"/>
      <c r="F606" s="99"/>
    </row>
    <row r="607" spans="2:6" ht="12.75" customHeight="1" x14ac:dyDescent="0.25">
      <c r="B607" s="99"/>
      <c r="E607" s="99"/>
      <c r="F607" s="99"/>
    </row>
    <row r="608" spans="2:6" ht="12.75" customHeight="1" x14ac:dyDescent="0.25">
      <c r="B608" s="99"/>
      <c r="E608" s="99"/>
      <c r="F608" s="99"/>
    </row>
    <row r="609" spans="2:6" ht="12.75" customHeight="1" x14ac:dyDescent="0.25">
      <c r="B609" s="99"/>
      <c r="E609" s="99"/>
      <c r="F609" s="99"/>
    </row>
    <row r="610" spans="2:6" ht="12.75" customHeight="1" x14ac:dyDescent="0.25">
      <c r="B610" s="99"/>
      <c r="E610" s="99"/>
      <c r="F610" s="99"/>
    </row>
    <row r="611" spans="2:6" ht="12.75" customHeight="1" x14ac:dyDescent="0.25">
      <c r="B611" s="99"/>
      <c r="E611" s="99"/>
      <c r="F611" s="99"/>
    </row>
    <row r="612" spans="2:6" ht="12.75" customHeight="1" x14ac:dyDescent="0.25">
      <c r="B612" s="99"/>
      <c r="E612" s="99"/>
      <c r="F612" s="99"/>
    </row>
    <row r="613" spans="2:6" ht="12.75" customHeight="1" x14ac:dyDescent="0.25">
      <c r="B613" s="99"/>
      <c r="E613" s="99"/>
      <c r="F613" s="99"/>
    </row>
    <row r="614" spans="2:6" ht="12.75" customHeight="1" x14ac:dyDescent="0.25">
      <c r="B614" s="99"/>
      <c r="E614" s="99"/>
      <c r="F614" s="99"/>
    </row>
    <row r="615" spans="2:6" ht="12.75" customHeight="1" x14ac:dyDescent="0.25">
      <c r="B615" s="99"/>
      <c r="E615" s="99"/>
      <c r="F615" s="99"/>
    </row>
    <row r="616" spans="2:6" ht="12.75" customHeight="1" x14ac:dyDescent="0.25">
      <c r="B616" s="99"/>
      <c r="E616" s="99"/>
      <c r="F616" s="99"/>
    </row>
    <row r="617" spans="2:6" ht="12.75" customHeight="1" x14ac:dyDescent="0.25">
      <c r="B617" s="99"/>
      <c r="E617" s="99"/>
      <c r="F617" s="99"/>
    </row>
    <row r="618" spans="2:6" ht="12.75" customHeight="1" x14ac:dyDescent="0.25">
      <c r="B618" s="99"/>
      <c r="E618" s="99"/>
      <c r="F618" s="99"/>
    </row>
    <row r="619" spans="2:6" ht="12.75" customHeight="1" x14ac:dyDescent="0.25">
      <c r="B619" s="99"/>
      <c r="E619" s="99"/>
      <c r="F619" s="99"/>
    </row>
    <row r="620" spans="2:6" ht="12.75" customHeight="1" x14ac:dyDescent="0.25">
      <c r="B620" s="99"/>
      <c r="E620" s="99"/>
      <c r="F620" s="99"/>
    </row>
    <row r="621" spans="2:6" ht="12.75" customHeight="1" x14ac:dyDescent="0.25">
      <c r="B621" s="99"/>
      <c r="E621" s="99"/>
      <c r="F621" s="99"/>
    </row>
    <row r="622" spans="2:6" ht="12.75" customHeight="1" x14ac:dyDescent="0.25">
      <c r="B622" s="99"/>
      <c r="E622" s="99"/>
      <c r="F622" s="99"/>
    </row>
    <row r="623" spans="2:6" ht="12.75" customHeight="1" x14ac:dyDescent="0.25">
      <c r="B623" s="99"/>
      <c r="E623" s="99"/>
      <c r="F623" s="99"/>
    </row>
    <row r="624" spans="2:6" ht="12.75" customHeight="1" x14ac:dyDescent="0.25">
      <c r="B624" s="99"/>
      <c r="E624" s="99"/>
      <c r="F624" s="99"/>
    </row>
    <row r="625" spans="2:6" ht="12.75" customHeight="1" x14ac:dyDescent="0.25">
      <c r="B625" s="99"/>
      <c r="E625" s="99"/>
      <c r="F625" s="99"/>
    </row>
    <row r="626" spans="2:6" ht="12.75" customHeight="1" x14ac:dyDescent="0.25">
      <c r="B626" s="99"/>
      <c r="E626" s="99"/>
      <c r="F626" s="99"/>
    </row>
    <row r="627" spans="2:6" ht="12.75" customHeight="1" x14ac:dyDescent="0.25">
      <c r="B627" s="99"/>
      <c r="E627" s="99"/>
      <c r="F627" s="99"/>
    </row>
    <row r="628" spans="2:6" ht="12.75" customHeight="1" x14ac:dyDescent="0.25">
      <c r="B628" s="99"/>
      <c r="E628" s="99"/>
      <c r="F628" s="99"/>
    </row>
    <row r="629" spans="2:6" ht="12.75" customHeight="1" x14ac:dyDescent="0.25">
      <c r="B629" s="99"/>
      <c r="E629" s="99"/>
      <c r="F629" s="99"/>
    </row>
    <row r="630" spans="2:6" ht="12.75" customHeight="1" x14ac:dyDescent="0.25">
      <c r="B630" s="99"/>
      <c r="E630" s="99"/>
      <c r="F630" s="99"/>
    </row>
    <row r="631" spans="2:6" ht="12.75" customHeight="1" x14ac:dyDescent="0.25">
      <c r="B631" s="99"/>
      <c r="E631" s="99"/>
      <c r="F631" s="99"/>
    </row>
    <row r="632" spans="2:6" ht="12.75" customHeight="1" x14ac:dyDescent="0.25">
      <c r="B632" s="99"/>
      <c r="E632" s="99"/>
      <c r="F632" s="99"/>
    </row>
    <row r="633" spans="2:6" ht="12.75" customHeight="1" x14ac:dyDescent="0.25">
      <c r="B633" s="99"/>
      <c r="E633" s="99"/>
      <c r="F633" s="99"/>
    </row>
    <row r="634" spans="2:6" ht="12.75" customHeight="1" x14ac:dyDescent="0.25">
      <c r="B634" s="99"/>
      <c r="E634" s="99"/>
      <c r="F634" s="99"/>
    </row>
    <row r="635" spans="2:6" ht="12.75" customHeight="1" x14ac:dyDescent="0.25">
      <c r="B635" s="99"/>
      <c r="E635" s="99"/>
      <c r="F635" s="99"/>
    </row>
    <row r="636" spans="2:6" ht="12.75" customHeight="1" x14ac:dyDescent="0.25">
      <c r="B636" s="99"/>
      <c r="E636" s="99"/>
      <c r="F636" s="99"/>
    </row>
    <row r="637" spans="2:6" ht="12.75" customHeight="1" x14ac:dyDescent="0.25">
      <c r="B637" s="99"/>
      <c r="E637" s="99"/>
      <c r="F637" s="99"/>
    </row>
    <row r="638" spans="2:6" ht="12.75" customHeight="1" x14ac:dyDescent="0.25">
      <c r="B638" s="99"/>
      <c r="E638" s="99"/>
      <c r="F638" s="99"/>
    </row>
    <row r="639" spans="2:6" ht="12.75" customHeight="1" x14ac:dyDescent="0.25">
      <c r="B639" s="99"/>
      <c r="E639" s="99"/>
      <c r="F639" s="99"/>
    </row>
    <row r="640" spans="2:6" ht="12.75" customHeight="1" x14ac:dyDescent="0.25">
      <c r="B640" s="99"/>
      <c r="E640" s="99"/>
      <c r="F640" s="99"/>
    </row>
    <row r="641" spans="2:6" ht="12.75" customHeight="1" x14ac:dyDescent="0.25">
      <c r="B641" s="99"/>
      <c r="E641" s="99"/>
      <c r="F641" s="99"/>
    </row>
    <row r="642" spans="2:6" ht="12.75" customHeight="1" x14ac:dyDescent="0.25">
      <c r="B642" s="99"/>
      <c r="E642" s="99"/>
      <c r="F642" s="99"/>
    </row>
    <row r="643" spans="2:6" ht="12.75" customHeight="1" x14ac:dyDescent="0.25">
      <c r="B643" s="99"/>
      <c r="E643" s="99"/>
      <c r="F643" s="99"/>
    </row>
    <row r="644" spans="2:6" ht="12.75" customHeight="1" x14ac:dyDescent="0.25">
      <c r="B644" s="99"/>
      <c r="E644" s="99"/>
      <c r="F644" s="99"/>
    </row>
    <row r="645" spans="2:6" ht="12.75" customHeight="1" x14ac:dyDescent="0.25">
      <c r="B645" s="99"/>
      <c r="E645" s="99"/>
      <c r="F645" s="99"/>
    </row>
    <row r="646" spans="2:6" ht="12.75" customHeight="1" x14ac:dyDescent="0.25">
      <c r="B646" s="99"/>
      <c r="E646" s="99"/>
      <c r="F646" s="99"/>
    </row>
    <row r="647" spans="2:6" ht="12.75" customHeight="1" x14ac:dyDescent="0.25">
      <c r="B647" s="99"/>
      <c r="E647" s="99"/>
      <c r="F647" s="99"/>
    </row>
    <row r="648" spans="2:6" ht="12.75" customHeight="1" x14ac:dyDescent="0.25">
      <c r="B648" s="99"/>
      <c r="E648" s="99"/>
      <c r="F648" s="99"/>
    </row>
    <row r="649" spans="2:6" ht="12.75" customHeight="1" x14ac:dyDescent="0.25">
      <c r="B649" s="99"/>
      <c r="E649" s="99"/>
      <c r="F649" s="99"/>
    </row>
    <row r="650" spans="2:6" ht="12.75" customHeight="1" x14ac:dyDescent="0.25">
      <c r="B650" s="99"/>
      <c r="E650" s="99"/>
      <c r="F650" s="99"/>
    </row>
    <row r="651" spans="2:6" ht="12.75" customHeight="1" x14ac:dyDescent="0.25">
      <c r="B651" s="99"/>
      <c r="E651" s="99"/>
      <c r="F651" s="99"/>
    </row>
    <row r="652" spans="2:6" ht="12.75" customHeight="1" x14ac:dyDescent="0.25">
      <c r="B652" s="99"/>
      <c r="E652" s="99"/>
      <c r="F652" s="99"/>
    </row>
    <row r="653" spans="2:6" ht="12.75" customHeight="1" x14ac:dyDescent="0.25">
      <c r="B653" s="99"/>
      <c r="E653" s="99"/>
      <c r="F653" s="99"/>
    </row>
    <row r="654" spans="2:6" ht="12.75" customHeight="1" x14ac:dyDescent="0.25">
      <c r="B654" s="99"/>
      <c r="E654" s="99"/>
      <c r="F654" s="99"/>
    </row>
    <row r="655" spans="2:6" ht="12.75" customHeight="1" x14ac:dyDescent="0.25">
      <c r="B655" s="99"/>
      <c r="E655" s="99"/>
      <c r="F655" s="99"/>
    </row>
    <row r="656" spans="2:6" ht="12.75" customHeight="1" x14ac:dyDescent="0.25">
      <c r="B656" s="99"/>
      <c r="E656" s="99"/>
      <c r="F656" s="99"/>
    </row>
    <row r="657" spans="2:6" ht="12.75" customHeight="1" x14ac:dyDescent="0.25">
      <c r="B657" s="99"/>
      <c r="E657" s="99"/>
      <c r="F657" s="99"/>
    </row>
    <row r="658" spans="2:6" ht="12.75" customHeight="1" x14ac:dyDescent="0.25">
      <c r="B658" s="99"/>
      <c r="E658" s="99"/>
      <c r="F658" s="99"/>
    </row>
    <row r="659" spans="2:6" ht="12.75" customHeight="1" x14ac:dyDescent="0.25">
      <c r="B659" s="99"/>
      <c r="E659" s="99"/>
      <c r="F659" s="99"/>
    </row>
    <row r="660" spans="2:6" ht="12.75" customHeight="1" x14ac:dyDescent="0.25">
      <c r="B660" s="99"/>
      <c r="E660" s="99"/>
      <c r="F660" s="99"/>
    </row>
    <row r="661" spans="2:6" ht="12.75" customHeight="1" x14ac:dyDescent="0.25">
      <c r="B661" s="99"/>
      <c r="E661" s="99"/>
      <c r="F661" s="99"/>
    </row>
    <row r="662" spans="2:6" ht="12.75" customHeight="1" x14ac:dyDescent="0.25">
      <c r="B662" s="99"/>
      <c r="E662" s="99"/>
      <c r="F662" s="99"/>
    </row>
    <row r="663" spans="2:6" ht="12.75" customHeight="1" x14ac:dyDescent="0.25">
      <c r="B663" s="99"/>
      <c r="E663" s="99"/>
      <c r="F663" s="99"/>
    </row>
    <row r="664" spans="2:6" ht="12.75" customHeight="1" x14ac:dyDescent="0.25">
      <c r="B664" s="99"/>
      <c r="E664" s="99"/>
      <c r="F664" s="99"/>
    </row>
    <row r="665" spans="2:6" ht="12.75" customHeight="1" x14ac:dyDescent="0.25">
      <c r="B665" s="99"/>
      <c r="E665" s="99"/>
      <c r="F665" s="99"/>
    </row>
    <row r="666" spans="2:6" ht="12.75" customHeight="1" x14ac:dyDescent="0.25">
      <c r="B666" s="99"/>
      <c r="E666" s="99"/>
      <c r="F666" s="99"/>
    </row>
    <row r="667" spans="2:6" ht="12.75" customHeight="1" x14ac:dyDescent="0.25">
      <c r="B667" s="99"/>
      <c r="E667" s="99"/>
      <c r="F667" s="99"/>
    </row>
    <row r="668" spans="2:6" ht="12.75" customHeight="1" x14ac:dyDescent="0.25">
      <c r="B668" s="99"/>
      <c r="E668" s="99"/>
      <c r="F668" s="99"/>
    </row>
    <row r="669" spans="2:6" ht="12.75" customHeight="1" x14ac:dyDescent="0.25">
      <c r="B669" s="99"/>
      <c r="E669" s="99"/>
      <c r="F669" s="99"/>
    </row>
    <row r="670" spans="2:6" ht="12.75" customHeight="1" x14ac:dyDescent="0.25">
      <c r="B670" s="99"/>
      <c r="E670" s="99"/>
      <c r="F670" s="99"/>
    </row>
    <row r="671" spans="2:6" ht="12.75" customHeight="1" x14ac:dyDescent="0.25">
      <c r="B671" s="99"/>
      <c r="E671" s="99"/>
      <c r="F671" s="99"/>
    </row>
    <row r="672" spans="2:6" ht="12.75" customHeight="1" x14ac:dyDescent="0.25">
      <c r="B672" s="99"/>
      <c r="E672" s="99"/>
      <c r="F672" s="99"/>
    </row>
    <row r="673" spans="2:6" ht="12.75" customHeight="1" x14ac:dyDescent="0.25">
      <c r="B673" s="99"/>
      <c r="E673" s="99"/>
      <c r="F673" s="99"/>
    </row>
    <row r="674" spans="2:6" ht="12.75" customHeight="1" x14ac:dyDescent="0.25">
      <c r="B674" s="99"/>
      <c r="E674" s="99"/>
      <c r="F674" s="99"/>
    </row>
    <row r="675" spans="2:6" ht="12.75" customHeight="1" x14ac:dyDescent="0.25">
      <c r="B675" s="99"/>
      <c r="E675" s="99"/>
      <c r="F675" s="99"/>
    </row>
    <row r="676" spans="2:6" ht="12.75" customHeight="1" x14ac:dyDescent="0.25">
      <c r="B676" s="99"/>
      <c r="E676" s="99"/>
      <c r="F676" s="99"/>
    </row>
    <row r="677" spans="2:6" ht="12.75" customHeight="1" x14ac:dyDescent="0.25">
      <c r="B677" s="99"/>
      <c r="E677" s="99"/>
      <c r="F677" s="99"/>
    </row>
    <row r="678" spans="2:6" ht="12.75" customHeight="1" x14ac:dyDescent="0.25">
      <c r="B678" s="99"/>
      <c r="E678" s="99"/>
      <c r="F678" s="99"/>
    </row>
    <row r="679" spans="2:6" ht="12.75" customHeight="1" x14ac:dyDescent="0.25">
      <c r="B679" s="99"/>
      <c r="E679" s="99"/>
      <c r="F679" s="99"/>
    </row>
    <row r="680" spans="2:6" ht="12.75" customHeight="1" x14ac:dyDescent="0.25">
      <c r="B680" s="99"/>
      <c r="E680" s="99"/>
      <c r="F680" s="99"/>
    </row>
    <row r="681" spans="2:6" ht="12.75" customHeight="1" x14ac:dyDescent="0.25">
      <c r="B681" s="99"/>
      <c r="E681" s="99"/>
      <c r="F681" s="99"/>
    </row>
    <row r="682" spans="2:6" ht="12.75" customHeight="1" x14ac:dyDescent="0.25">
      <c r="B682" s="99"/>
      <c r="E682" s="99"/>
      <c r="F682" s="99"/>
    </row>
    <row r="683" spans="2:6" ht="12.75" customHeight="1" x14ac:dyDescent="0.25">
      <c r="B683" s="99"/>
      <c r="E683" s="99"/>
      <c r="F683" s="99"/>
    </row>
    <row r="684" spans="2:6" ht="12.75" customHeight="1" x14ac:dyDescent="0.25">
      <c r="B684" s="99"/>
      <c r="E684" s="99"/>
      <c r="F684" s="99"/>
    </row>
    <row r="685" spans="2:6" ht="12.75" customHeight="1" x14ac:dyDescent="0.25">
      <c r="B685" s="99"/>
      <c r="E685" s="99"/>
      <c r="F685" s="99"/>
    </row>
    <row r="686" spans="2:6" ht="12.75" customHeight="1" x14ac:dyDescent="0.25">
      <c r="B686" s="99"/>
      <c r="E686" s="99"/>
      <c r="F686" s="99"/>
    </row>
    <row r="687" spans="2:6" ht="12.75" customHeight="1" x14ac:dyDescent="0.25">
      <c r="B687" s="99"/>
      <c r="E687" s="99"/>
      <c r="F687" s="99"/>
    </row>
    <row r="688" spans="2:6" ht="12.75" customHeight="1" x14ac:dyDescent="0.25">
      <c r="B688" s="99"/>
      <c r="E688" s="99"/>
      <c r="F688" s="99"/>
    </row>
    <row r="689" spans="2:6" ht="12.75" customHeight="1" x14ac:dyDescent="0.25">
      <c r="B689" s="99"/>
      <c r="E689" s="99"/>
      <c r="F689" s="99"/>
    </row>
    <row r="690" spans="2:6" ht="12.75" customHeight="1" x14ac:dyDescent="0.25">
      <c r="B690" s="99"/>
      <c r="E690" s="99"/>
      <c r="F690" s="99"/>
    </row>
    <row r="691" spans="2:6" ht="12.75" customHeight="1" x14ac:dyDescent="0.25">
      <c r="B691" s="99"/>
      <c r="E691" s="99"/>
      <c r="F691" s="99"/>
    </row>
    <row r="692" spans="2:6" ht="12.75" customHeight="1" x14ac:dyDescent="0.25">
      <c r="B692" s="99"/>
      <c r="E692" s="99"/>
      <c r="F692" s="99"/>
    </row>
    <row r="693" spans="2:6" ht="12.75" customHeight="1" x14ac:dyDescent="0.25">
      <c r="B693" s="99"/>
      <c r="E693" s="99"/>
      <c r="F693" s="99"/>
    </row>
    <row r="694" spans="2:6" ht="12.75" customHeight="1" x14ac:dyDescent="0.25">
      <c r="B694" s="99"/>
      <c r="E694" s="99"/>
      <c r="F694" s="99"/>
    </row>
    <row r="695" spans="2:6" ht="12.75" customHeight="1" x14ac:dyDescent="0.25">
      <c r="B695" s="99"/>
      <c r="E695" s="99"/>
      <c r="F695" s="99"/>
    </row>
    <row r="696" spans="2:6" ht="12.75" customHeight="1" x14ac:dyDescent="0.25">
      <c r="B696" s="99"/>
      <c r="E696" s="99"/>
      <c r="F696" s="99"/>
    </row>
    <row r="697" spans="2:6" ht="12.75" customHeight="1" x14ac:dyDescent="0.25">
      <c r="B697" s="99"/>
      <c r="E697" s="99"/>
      <c r="F697" s="99"/>
    </row>
    <row r="698" spans="2:6" ht="12.75" customHeight="1" x14ac:dyDescent="0.25">
      <c r="B698" s="99"/>
      <c r="E698" s="99"/>
      <c r="F698" s="99"/>
    </row>
    <row r="699" spans="2:6" ht="12.75" customHeight="1" x14ac:dyDescent="0.25">
      <c r="B699" s="99"/>
      <c r="E699" s="99"/>
      <c r="F699" s="99"/>
    </row>
    <row r="700" spans="2:6" ht="12.75" customHeight="1" x14ac:dyDescent="0.25">
      <c r="B700" s="99"/>
      <c r="E700" s="99"/>
      <c r="F700" s="99"/>
    </row>
    <row r="701" spans="2:6" ht="12.75" customHeight="1" x14ac:dyDescent="0.25">
      <c r="B701" s="99"/>
      <c r="E701" s="99"/>
      <c r="F701" s="99"/>
    </row>
    <row r="702" spans="2:6" ht="12.75" customHeight="1" x14ac:dyDescent="0.25">
      <c r="B702" s="99"/>
      <c r="E702" s="99"/>
      <c r="F702" s="99"/>
    </row>
    <row r="703" spans="2:6" ht="12.75" customHeight="1" x14ac:dyDescent="0.25">
      <c r="B703" s="99"/>
      <c r="E703" s="99"/>
      <c r="F703" s="99"/>
    </row>
    <row r="704" spans="2:6" ht="12.75" customHeight="1" x14ac:dyDescent="0.25">
      <c r="B704" s="99"/>
      <c r="E704" s="99"/>
      <c r="F704" s="99"/>
    </row>
    <row r="705" spans="2:6" ht="12.75" customHeight="1" x14ac:dyDescent="0.25">
      <c r="B705" s="99"/>
      <c r="E705" s="99"/>
      <c r="F705" s="99"/>
    </row>
    <row r="706" spans="2:6" ht="12.75" customHeight="1" x14ac:dyDescent="0.25">
      <c r="B706" s="99"/>
      <c r="E706" s="99"/>
      <c r="F706" s="99"/>
    </row>
    <row r="707" spans="2:6" ht="12.75" customHeight="1" x14ac:dyDescent="0.25">
      <c r="B707" s="99"/>
      <c r="E707" s="99"/>
      <c r="F707" s="99"/>
    </row>
    <row r="708" spans="2:6" ht="12.75" customHeight="1" x14ac:dyDescent="0.25">
      <c r="B708" s="99"/>
      <c r="E708" s="99"/>
      <c r="F708" s="99"/>
    </row>
    <row r="709" spans="2:6" ht="12.75" customHeight="1" x14ac:dyDescent="0.25">
      <c r="B709" s="99"/>
      <c r="E709" s="99"/>
      <c r="F709" s="99"/>
    </row>
    <row r="710" spans="2:6" ht="12.75" customHeight="1" x14ac:dyDescent="0.25">
      <c r="B710" s="99"/>
      <c r="E710" s="99"/>
      <c r="F710" s="99"/>
    </row>
    <row r="711" spans="2:6" ht="12.75" customHeight="1" x14ac:dyDescent="0.25">
      <c r="B711" s="99"/>
      <c r="E711" s="99"/>
      <c r="F711" s="99"/>
    </row>
    <row r="712" spans="2:6" ht="12.75" customHeight="1" x14ac:dyDescent="0.25">
      <c r="B712" s="99"/>
      <c r="E712" s="99"/>
      <c r="F712" s="99"/>
    </row>
    <row r="713" spans="2:6" ht="12.75" customHeight="1" x14ac:dyDescent="0.25">
      <c r="B713" s="99"/>
      <c r="E713" s="99"/>
      <c r="F713" s="99"/>
    </row>
    <row r="714" spans="2:6" ht="12.75" customHeight="1" x14ac:dyDescent="0.25">
      <c r="B714" s="99"/>
      <c r="E714" s="99"/>
      <c r="F714" s="99"/>
    </row>
    <row r="715" spans="2:6" ht="12.75" customHeight="1" x14ac:dyDescent="0.25">
      <c r="B715" s="99"/>
      <c r="E715" s="99"/>
      <c r="F715" s="99"/>
    </row>
    <row r="716" spans="2:6" ht="12.75" customHeight="1" x14ac:dyDescent="0.25">
      <c r="B716" s="99"/>
      <c r="E716" s="99"/>
      <c r="F716" s="99"/>
    </row>
    <row r="717" spans="2:6" ht="12.75" customHeight="1" x14ac:dyDescent="0.25">
      <c r="B717" s="99"/>
      <c r="E717" s="99"/>
      <c r="F717" s="99"/>
    </row>
    <row r="718" spans="2:6" ht="12.75" customHeight="1" x14ac:dyDescent="0.25">
      <c r="B718" s="99"/>
      <c r="E718" s="99"/>
      <c r="F718" s="99"/>
    </row>
    <row r="719" spans="2:6" ht="12.75" customHeight="1" x14ac:dyDescent="0.25">
      <c r="B719" s="99"/>
      <c r="E719" s="99"/>
      <c r="F719" s="99"/>
    </row>
    <row r="720" spans="2:6" ht="12.75" customHeight="1" x14ac:dyDescent="0.25">
      <c r="B720" s="99"/>
      <c r="E720" s="99"/>
      <c r="F720" s="99"/>
    </row>
    <row r="721" spans="2:6" ht="12.75" customHeight="1" x14ac:dyDescent="0.25">
      <c r="B721" s="99"/>
      <c r="E721" s="99"/>
      <c r="F721" s="99"/>
    </row>
    <row r="722" spans="2:6" ht="12.75" customHeight="1" x14ac:dyDescent="0.25">
      <c r="B722" s="99"/>
      <c r="E722" s="99"/>
      <c r="F722" s="99"/>
    </row>
    <row r="723" spans="2:6" ht="12.75" customHeight="1" x14ac:dyDescent="0.25">
      <c r="B723" s="99"/>
      <c r="E723" s="99"/>
      <c r="F723" s="99"/>
    </row>
    <row r="724" spans="2:6" ht="12.75" customHeight="1" x14ac:dyDescent="0.25">
      <c r="B724" s="99"/>
      <c r="E724" s="99"/>
      <c r="F724" s="99"/>
    </row>
    <row r="725" spans="2:6" ht="12.75" customHeight="1" x14ac:dyDescent="0.25">
      <c r="B725" s="99"/>
      <c r="E725" s="99"/>
      <c r="F725" s="99"/>
    </row>
    <row r="726" spans="2:6" ht="12.75" customHeight="1" x14ac:dyDescent="0.25">
      <c r="B726" s="99"/>
      <c r="E726" s="99"/>
      <c r="F726" s="99"/>
    </row>
    <row r="727" spans="2:6" ht="12.75" customHeight="1" x14ac:dyDescent="0.25">
      <c r="B727" s="99"/>
      <c r="E727" s="99"/>
      <c r="F727" s="99"/>
    </row>
    <row r="728" spans="2:6" ht="12.75" customHeight="1" x14ac:dyDescent="0.25">
      <c r="B728" s="99"/>
      <c r="E728" s="99"/>
      <c r="F728" s="99"/>
    </row>
    <row r="729" spans="2:6" ht="12.75" customHeight="1" x14ac:dyDescent="0.25">
      <c r="B729" s="99"/>
      <c r="E729" s="99"/>
      <c r="F729" s="99"/>
    </row>
    <row r="730" spans="2:6" ht="12.75" customHeight="1" x14ac:dyDescent="0.25">
      <c r="B730" s="99"/>
      <c r="E730" s="99"/>
      <c r="F730" s="99"/>
    </row>
    <row r="731" spans="2:6" ht="12.75" customHeight="1" x14ac:dyDescent="0.25">
      <c r="B731" s="99"/>
      <c r="E731" s="99"/>
      <c r="F731" s="99"/>
    </row>
    <row r="732" spans="2:6" ht="12.75" customHeight="1" x14ac:dyDescent="0.25">
      <c r="B732" s="99"/>
      <c r="E732" s="99"/>
      <c r="F732" s="99"/>
    </row>
    <row r="733" spans="2:6" ht="12.75" customHeight="1" x14ac:dyDescent="0.25">
      <c r="B733" s="99"/>
      <c r="E733" s="99"/>
      <c r="F733" s="99"/>
    </row>
    <row r="734" spans="2:6" ht="12.75" customHeight="1" x14ac:dyDescent="0.25">
      <c r="B734" s="99"/>
      <c r="E734" s="99"/>
      <c r="F734" s="99"/>
    </row>
    <row r="735" spans="2:6" ht="12.75" customHeight="1" x14ac:dyDescent="0.25">
      <c r="B735" s="99"/>
      <c r="E735" s="99"/>
      <c r="F735" s="99"/>
    </row>
    <row r="736" spans="2:6" ht="12.75" customHeight="1" x14ac:dyDescent="0.25">
      <c r="B736" s="99"/>
      <c r="E736" s="99"/>
      <c r="F736" s="99"/>
    </row>
    <row r="737" spans="2:6" ht="12.75" customHeight="1" x14ac:dyDescent="0.25">
      <c r="B737" s="99"/>
      <c r="E737" s="99"/>
      <c r="F737" s="99"/>
    </row>
    <row r="738" spans="2:6" ht="12.75" customHeight="1" x14ac:dyDescent="0.25">
      <c r="B738" s="99"/>
      <c r="E738" s="99"/>
      <c r="F738" s="99"/>
    </row>
    <row r="739" spans="2:6" ht="12.75" customHeight="1" x14ac:dyDescent="0.25">
      <c r="B739" s="99"/>
      <c r="E739" s="99"/>
      <c r="F739" s="99"/>
    </row>
    <row r="740" spans="2:6" ht="12.75" customHeight="1" x14ac:dyDescent="0.25">
      <c r="B740" s="99"/>
      <c r="E740" s="99"/>
      <c r="F740" s="99"/>
    </row>
    <row r="741" spans="2:6" ht="12.75" customHeight="1" x14ac:dyDescent="0.25">
      <c r="B741" s="99"/>
      <c r="E741" s="99"/>
      <c r="F741" s="99"/>
    </row>
    <row r="742" spans="2:6" ht="12.75" customHeight="1" x14ac:dyDescent="0.25">
      <c r="B742" s="99"/>
      <c r="E742" s="99"/>
      <c r="F742" s="99"/>
    </row>
    <row r="743" spans="2:6" ht="12.75" customHeight="1" x14ac:dyDescent="0.25">
      <c r="B743" s="99"/>
      <c r="E743" s="99"/>
      <c r="F743" s="99"/>
    </row>
    <row r="744" spans="2:6" ht="12.75" customHeight="1" x14ac:dyDescent="0.25">
      <c r="B744" s="99"/>
      <c r="E744" s="99"/>
      <c r="F744" s="99"/>
    </row>
    <row r="745" spans="2:6" ht="12.75" customHeight="1" x14ac:dyDescent="0.25">
      <c r="B745" s="99"/>
      <c r="E745" s="99"/>
      <c r="F745" s="99"/>
    </row>
    <row r="746" spans="2:6" ht="12.75" customHeight="1" x14ac:dyDescent="0.25">
      <c r="B746" s="99"/>
      <c r="E746" s="99"/>
      <c r="F746" s="99"/>
    </row>
    <row r="747" spans="2:6" ht="12.75" customHeight="1" x14ac:dyDescent="0.25">
      <c r="B747" s="99"/>
      <c r="E747" s="99"/>
      <c r="F747" s="99"/>
    </row>
    <row r="748" spans="2:6" ht="12.75" customHeight="1" x14ac:dyDescent="0.25">
      <c r="B748" s="99"/>
      <c r="E748" s="99"/>
      <c r="F748" s="99"/>
    </row>
    <row r="749" spans="2:6" ht="12.75" customHeight="1" x14ac:dyDescent="0.25">
      <c r="B749" s="99"/>
      <c r="E749" s="99"/>
      <c r="F749" s="99"/>
    </row>
    <row r="750" spans="2:6" ht="12.75" customHeight="1" x14ac:dyDescent="0.25">
      <c r="B750" s="99"/>
      <c r="E750" s="99"/>
      <c r="F750" s="99"/>
    </row>
    <row r="751" spans="2:6" ht="12.75" customHeight="1" x14ac:dyDescent="0.25">
      <c r="B751" s="99"/>
      <c r="E751" s="99"/>
      <c r="F751" s="99"/>
    </row>
    <row r="752" spans="2:6" ht="12.75" customHeight="1" x14ac:dyDescent="0.25">
      <c r="B752" s="99"/>
      <c r="E752" s="99"/>
      <c r="F752" s="99"/>
    </row>
    <row r="753" spans="2:6" ht="12.75" customHeight="1" x14ac:dyDescent="0.25">
      <c r="B753" s="99"/>
      <c r="E753" s="99"/>
      <c r="F753" s="99"/>
    </row>
    <row r="754" spans="2:6" ht="12.75" customHeight="1" x14ac:dyDescent="0.25">
      <c r="B754" s="99"/>
      <c r="E754" s="99"/>
      <c r="F754" s="99"/>
    </row>
    <row r="755" spans="2:6" ht="12.75" customHeight="1" x14ac:dyDescent="0.25">
      <c r="B755" s="99"/>
      <c r="E755" s="99"/>
      <c r="F755" s="99"/>
    </row>
    <row r="756" spans="2:6" ht="12.75" customHeight="1" x14ac:dyDescent="0.25">
      <c r="B756" s="99"/>
      <c r="E756" s="99"/>
      <c r="F756" s="99"/>
    </row>
    <row r="757" spans="2:6" ht="12.75" customHeight="1" x14ac:dyDescent="0.25">
      <c r="B757" s="99"/>
      <c r="E757" s="99"/>
      <c r="F757" s="99"/>
    </row>
    <row r="758" spans="2:6" ht="12.75" customHeight="1" x14ac:dyDescent="0.25">
      <c r="B758" s="99"/>
      <c r="E758" s="99"/>
      <c r="F758" s="99"/>
    </row>
    <row r="759" spans="2:6" ht="12.75" customHeight="1" x14ac:dyDescent="0.25">
      <c r="B759" s="99"/>
      <c r="E759" s="99"/>
      <c r="F759" s="99"/>
    </row>
    <row r="760" spans="2:6" ht="12.75" customHeight="1" x14ac:dyDescent="0.25">
      <c r="B760" s="99"/>
      <c r="E760" s="99"/>
      <c r="F760" s="99"/>
    </row>
    <row r="761" spans="2:6" ht="12.75" customHeight="1" x14ac:dyDescent="0.25">
      <c r="B761" s="99"/>
      <c r="E761" s="99"/>
      <c r="F761" s="99"/>
    </row>
    <row r="762" spans="2:6" ht="12.75" customHeight="1" x14ac:dyDescent="0.25">
      <c r="B762" s="99"/>
      <c r="E762" s="99"/>
      <c r="F762" s="99"/>
    </row>
    <row r="763" spans="2:6" ht="12.75" customHeight="1" x14ac:dyDescent="0.25">
      <c r="B763" s="99"/>
      <c r="E763" s="99"/>
      <c r="F763" s="99"/>
    </row>
    <row r="764" spans="2:6" ht="12.75" customHeight="1" x14ac:dyDescent="0.25">
      <c r="B764" s="99"/>
      <c r="E764" s="99"/>
      <c r="F764" s="99"/>
    </row>
    <row r="765" spans="2:6" ht="12.75" customHeight="1" x14ac:dyDescent="0.25">
      <c r="B765" s="99"/>
      <c r="E765" s="99"/>
      <c r="F765" s="99"/>
    </row>
    <row r="766" spans="2:6" ht="12.75" customHeight="1" x14ac:dyDescent="0.25">
      <c r="B766" s="99"/>
      <c r="E766" s="99"/>
      <c r="F766" s="99"/>
    </row>
    <row r="767" spans="2:6" ht="12.75" customHeight="1" x14ac:dyDescent="0.25">
      <c r="B767" s="99"/>
      <c r="E767" s="99"/>
      <c r="F767" s="99"/>
    </row>
    <row r="768" spans="2:6" ht="12.75" customHeight="1" x14ac:dyDescent="0.25">
      <c r="B768" s="99"/>
      <c r="E768" s="99"/>
      <c r="F768" s="99"/>
    </row>
    <row r="769" spans="2:6" ht="12.75" customHeight="1" x14ac:dyDescent="0.25">
      <c r="B769" s="99"/>
      <c r="E769" s="99"/>
      <c r="F769" s="99"/>
    </row>
    <row r="770" spans="2:6" ht="12.75" customHeight="1" x14ac:dyDescent="0.25">
      <c r="B770" s="99"/>
      <c r="E770" s="99"/>
      <c r="F770" s="99"/>
    </row>
    <row r="771" spans="2:6" ht="12.75" customHeight="1" x14ac:dyDescent="0.25">
      <c r="B771" s="99"/>
      <c r="E771" s="99"/>
      <c r="F771" s="99"/>
    </row>
    <row r="772" spans="2:6" ht="12.75" customHeight="1" x14ac:dyDescent="0.25">
      <c r="B772" s="99"/>
      <c r="E772" s="99"/>
      <c r="F772" s="99"/>
    </row>
    <row r="773" spans="2:6" ht="12.75" customHeight="1" x14ac:dyDescent="0.25">
      <c r="B773" s="99"/>
      <c r="E773" s="99"/>
      <c r="F773" s="99"/>
    </row>
    <row r="774" spans="2:6" ht="12.75" customHeight="1" x14ac:dyDescent="0.25">
      <c r="B774" s="99"/>
      <c r="E774" s="99"/>
      <c r="F774" s="99"/>
    </row>
    <row r="775" spans="2:6" ht="12.75" customHeight="1" x14ac:dyDescent="0.25">
      <c r="B775" s="99"/>
      <c r="E775" s="99"/>
      <c r="F775" s="99"/>
    </row>
    <row r="776" spans="2:6" ht="12.75" customHeight="1" x14ac:dyDescent="0.25">
      <c r="B776" s="99"/>
      <c r="E776" s="99"/>
      <c r="F776" s="99"/>
    </row>
    <row r="777" spans="2:6" ht="12.75" customHeight="1" x14ac:dyDescent="0.25">
      <c r="B777" s="99"/>
      <c r="E777" s="99"/>
      <c r="F777" s="99"/>
    </row>
    <row r="778" spans="2:6" ht="12.75" customHeight="1" x14ac:dyDescent="0.25">
      <c r="B778" s="99"/>
      <c r="E778" s="99"/>
      <c r="F778" s="99"/>
    </row>
    <row r="779" spans="2:6" ht="12.75" customHeight="1" x14ac:dyDescent="0.25">
      <c r="B779" s="99"/>
      <c r="E779" s="99"/>
      <c r="F779" s="99"/>
    </row>
    <row r="780" spans="2:6" ht="12.75" customHeight="1" x14ac:dyDescent="0.25">
      <c r="B780" s="99"/>
      <c r="E780" s="99"/>
      <c r="F780" s="99"/>
    </row>
    <row r="781" spans="2:6" ht="12.75" customHeight="1" x14ac:dyDescent="0.25">
      <c r="B781" s="99"/>
      <c r="E781" s="99"/>
      <c r="F781" s="99"/>
    </row>
    <row r="782" spans="2:6" ht="12.75" customHeight="1" x14ac:dyDescent="0.25">
      <c r="B782" s="99"/>
      <c r="E782" s="99"/>
      <c r="F782" s="99"/>
    </row>
    <row r="783" spans="2:6" ht="12.75" customHeight="1" x14ac:dyDescent="0.25">
      <c r="B783" s="99"/>
      <c r="E783" s="99"/>
      <c r="F783" s="99"/>
    </row>
    <row r="784" spans="2:6" ht="12.75" customHeight="1" x14ac:dyDescent="0.25">
      <c r="B784" s="99"/>
      <c r="E784" s="99"/>
      <c r="F784" s="99"/>
    </row>
    <row r="785" spans="2:6" ht="12.75" customHeight="1" x14ac:dyDescent="0.25">
      <c r="B785" s="99"/>
      <c r="E785" s="99"/>
      <c r="F785" s="99"/>
    </row>
    <row r="786" spans="2:6" ht="12.75" customHeight="1" x14ac:dyDescent="0.25">
      <c r="B786" s="99"/>
      <c r="E786" s="99"/>
      <c r="F786" s="99"/>
    </row>
    <row r="787" spans="2:6" ht="12.75" customHeight="1" x14ac:dyDescent="0.25">
      <c r="B787" s="99"/>
      <c r="E787" s="99"/>
      <c r="F787" s="99"/>
    </row>
    <row r="788" spans="2:6" ht="12.75" customHeight="1" x14ac:dyDescent="0.25">
      <c r="B788" s="99"/>
      <c r="E788" s="99"/>
      <c r="F788" s="99"/>
    </row>
    <row r="789" spans="2:6" ht="12.75" customHeight="1" x14ac:dyDescent="0.25">
      <c r="B789" s="99"/>
      <c r="E789" s="99"/>
      <c r="F789" s="99"/>
    </row>
    <row r="790" spans="2:6" ht="12.75" customHeight="1" x14ac:dyDescent="0.25">
      <c r="B790" s="99"/>
      <c r="E790" s="99"/>
      <c r="F790" s="99"/>
    </row>
    <row r="791" spans="2:6" ht="12.75" customHeight="1" x14ac:dyDescent="0.25">
      <c r="B791" s="99"/>
      <c r="E791" s="99"/>
      <c r="F791" s="99"/>
    </row>
    <row r="792" spans="2:6" ht="12.75" customHeight="1" x14ac:dyDescent="0.25">
      <c r="B792" s="99"/>
      <c r="E792" s="99"/>
      <c r="F792" s="99"/>
    </row>
    <row r="793" spans="2:6" ht="12.75" customHeight="1" x14ac:dyDescent="0.25">
      <c r="B793" s="99"/>
      <c r="E793" s="99"/>
      <c r="F793" s="99"/>
    </row>
    <row r="794" spans="2:6" ht="12.75" customHeight="1" x14ac:dyDescent="0.25">
      <c r="B794" s="99"/>
      <c r="E794" s="99"/>
      <c r="F794" s="99"/>
    </row>
    <row r="795" spans="2:6" ht="12.75" customHeight="1" x14ac:dyDescent="0.25">
      <c r="B795" s="99"/>
      <c r="E795" s="99"/>
      <c r="F795" s="99"/>
    </row>
    <row r="796" spans="2:6" ht="12.75" customHeight="1" x14ac:dyDescent="0.25">
      <c r="B796" s="99"/>
      <c r="E796" s="99"/>
      <c r="F796" s="99"/>
    </row>
    <row r="797" spans="2:6" ht="12.75" customHeight="1" x14ac:dyDescent="0.25">
      <c r="B797" s="99"/>
      <c r="E797" s="99"/>
      <c r="F797" s="99"/>
    </row>
    <row r="798" spans="2:6" ht="12.75" customHeight="1" x14ac:dyDescent="0.25">
      <c r="B798" s="99"/>
      <c r="E798" s="99"/>
      <c r="F798" s="99"/>
    </row>
    <row r="799" spans="2:6" ht="12.75" customHeight="1" x14ac:dyDescent="0.25">
      <c r="B799" s="99"/>
      <c r="E799" s="99"/>
      <c r="F799" s="99"/>
    </row>
    <row r="800" spans="2:6" ht="12.75" customHeight="1" x14ac:dyDescent="0.25">
      <c r="B800" s="99"/>
      <c r="E800" s="99"/>
      <c r="F800" s="99"/>
    </row>
    <row r="801" spans="2:6" ht="12.75" customHeight="1" x14ac:dyDescent="0.25">
      <c r="B801" s="99"/>
      <c r="E801" s="99"/>
      <c r="F801" s="99"/>
    </row>
    <row r="802" spans="2:6" ht="12.75" customHeight="1" x14ac:dyDescent="0.25">
      <c r="B802" s="99"/>
      <c r="E802" s="99"/>
      <c r="F802" s="99"/>
    </row>
    <row r="803" spans="2:6" ht="12.75" customHeight="1" x14ac:dyDescent="0.25">
      <c r="B803" s="99"/>
      <c r="E803" s="99"/>
      <c r="F803" s="99"/>
    </row>
    <row r="804" spans="2:6" ht="12.75" customHeight="1" x14ac:dyDescent="0.25">
      <c r="B804" s="99"/>
      <c r="E804" s="99"/>
      <c r="F804" s="99"/>
    </row>
    <row r="805" spans="2:6" ht="12.75" customHeight="1" x14ac:dyDescent="0.25">
      <c r="B805" s="99"/>
      <c r="E805" s="99"/>
      <c r="F805" s="99"/>
    </row>
    <row r="806" spans="2:6" ht="12.75" customHeight="1" x14ac:dyDescent="0.25">
      <c r="B806" s="99"/>
      <c r="E806" s="99"/>
      <c r="F806" s="99"/>
    </row>
    <row r="807" spans="2:6" ht="12.75" customHeight="1" x14ac:dyDescent="0.25">
      <c r="B807" s="99"/>
      <c r="E807" s="99"/>
      <c r="F807" s="99"/>
    </row>
    <row r="808" spans="2:6" ht="12.75" customHeight="1" x14ac:dyDescent="0.25">
      <c r="B808" s="99"/>
      <c r="E808" s="99"/>
      <c r="F808" s="99"/>
    </row>
    <row r="809" spans="2:6" ht="12.75" customHeight="1" x14ac:dyDescent="0.25">
      <c r="B809" s="99"/>
      <c r="E809" s="99"/>
      <c r="F809" s="99"/>
    </row>
    <row r="810" spans="2:6" ht="12.75" customHeight="1" x14ac:dyDescent="0.25">
      <c r="B810" s="99"/>
      <c r="E810" s="99"/>
      <c r="F810" s="99"/>
    </row>
    <row r="811" spans="2:6" ht="12.75" customHeight="1" x14ac:dyDescent="0.25">
      <c r="B811" s="99"/>
      <c r="E811" s="99"/>
      <c r="F811" s="99"/>
    </row>
    <row r="812" spans="2:6" ht="12.75" customHeight="1" x14ac:dyDescent="0.25">
      <c r="B812" s="99"/>
      <c r="E812" s="99"/>
      <c r="F812" s="99"/>
    </row>
    <row r="813" spans="2:6" ht="12.75" customHeight="1" x14ac:dyDescent="0.25">
      <c r="B813" s="99"/>
      <c r="E813" s="99"/>
      <c r="F813" s="99"/>
    </row>
    <row r="814" spans="2:6" ht="12.75" customHeight="1" x14ac:dyDescent="0.25">
      <c r="B814" s="99"/>
      <c r="E814" s="99"/>
      <c r="F814" s="99"/>
    </row>
    <row r="815" spans="2:6" ht="12.75" customHeight="1" x14ac:dyDescent="0.25">
      <c r="B815" s="99"/>
      <c r="E815" s="99"/>
      <c r="F815" s="99"/>
    </row>
    <row r="816" spans="2:6" ht="12.75" customHeight="1" x14ac:dyDescent="0.25">
      <c r="B816" s="99"/>
      <c r="E816" s="99"/>
      <c r="F816" s="99"/>
    </row>
    <row r="817" spans="2:6" ht="12.75" customHeight="1" x14ac:dyDescent="0.25">
      <c r="B817" s="99"/>
      <c r="E817" s="99"/>
      <c r="F817" s="99"/>
    </row>
    <row r="818" spans="2:6" ht="12.75" customHeight="1" x14ac:dyDescent="0.25">
      <c r="B818" s="99"/>
      <c r="E818" s="99"/>
      <c r="F818" s="99"/>
    </row>
    <row r="819" spans="2:6" ht="12.75" customHeight="1" x14ac:dyDescent="0.25">
      <c r="B819" s="99"/>
      <c r="E819" s="99"/>
      <c r="F819" s="99"/>
    </row>
    <row r="820" spans="2:6" ht="12.75" customHeight="1" x14ac:dyDescent="0.25">
      <c r="B820" s="99"/>
      <c r="E820" s="99"/>
      <c r="F820" s="99"/>
    </row>
    <row r="821" spans="2:6" ht="12.75" customHeight="1" x14ac:dyDescent="0.25">
      <c r="B821" s="99"/>
      <c r="E821" s="99"/>
      <c r="F821" s="99"/>
    </row>
    <row r="822" spans="2:6" ht="12.75" customHeight="1" x14ac:dyDescent="0.25">
      <c r="B822" s="99"/>
      <c r="E822" s="99"/>
      <c r="F822" s="99"/>
    </row>
    <row r="823" spans="2:6" ht="12.75" customHeight="1" x14ac:dyDescent="0.25">
      <c r="B823" s="99"/>
      <c r="E823" s="99"/>
      <c r="F823" s="99"/>
    </row>
    <row r="824" spans="2:6" ht="12.75" customHeight="1" x14ac:dyDescent="0.25">
      <c r="B824" s="99"/>
      <c r="E824" s="99"/>
      <c r="F824" s="99"/>
    </row>
    <row r="825" spans="2:6" ht="12.75" customHeight="1" x14ac:dyDescent="0.25">
      <c r="B825" s="99"/>
      <c r="E825" s="99"/>
      <c r="F825" s="99"/>
    </row>
    <row r="826" spans="2:6" ht="12.75" customHeight="1" x14ac:dyDescent="0.25">
      <c r="B826" s="99"/>
      <c r="E826" s="99"/>
      <c r="F826" s="99"/>
    </row>
    <row r="827" spans="2:6" ht="12.75" customHeight="1" x14ac:dyDescent="0.25">
      <c r="B827" s="99"/>
      <c r="E827" s="99"/>
      <c r="F827" s="99"/>
    </row>
    <row r="828" spans="2:6" ht="12.75" customHeight="1" x14ac:dyDescent="0.25">
      <c r="B828" s="99"/>
      <c r="E828" s="99"/>
      <c r="F828" s="99"/>
    </row>
    <row r="829" spans="2:6" ht="12.75" customHeight="1" x14ac:dyDescent="0.25">
      <c r="B829" s="99"/>
      <c r="E829" s="99"/>
      <c r="F829" s="99"/>
    </row>
    <row r="830" spans="2:6" ht="12.75" customHeight="1" x14ac:dyDescent="0.25">
      <c r="B830" s="99"/>
      <c r="E830" s="99"/>
      <c r="F830" s="99"/>
    </row>
    <row r="831" spans="2:6" ht="12.75" customHeight="1" x14ac:dyDescent="0.25">
      <c r="B831" s="99"/>
      <c r="E831" s="99"/>
      <c r="F831" s="99"/>
    </row>
    <row r="832" spans="2:6" ht="12.75" customHeight="1" x14ac:dyDescent="0.25">
      <c r="B832" s="99"/>
      <c r="E832" s="99"/>
      <c r="F832" s="99"/>
    </row>
    <row r="833" spans="2:6" ht="12.75" customHeight="1" x14ac:dyDescent="0.25">
      <c r="B833" s="99"/>
      <c r="E833" s="99"/>
      <c r="F833" s="99"/>
    </row>
    <row r="834" spans="2:6" ht="12.75" customHeight="1" x14ac:dyDescent="0.25">
      <c r="B834" s="99"/>
      <c r="E834" s="99"/>
      <c r="F834" s="99"/>
    </row>
    <row r="835" spans="2:6" ht="12.75" customHeight="1" x14ac:dyDescent="0.25">
      <c r="B835" s="99"/>
      <c r="E835" s="99"/>
      <c r="F835" s="99"/>
    </row>
    <row r="836" spans="2:6" ht="12.75" customHeight="1" x14ac:dyDescent="0.25">
      <c r="B836" s="99"/>
      <c r="E836" s="99"/>
      <c r="F836" s="99"/>
    </row>
    <row r="837" spans="2:6" ht="12.75" customHeight="1" x14ac:dyDescent="0.25">
      <c r="B837" s="99"/>
      <c r="E837" s="99"/>
      <c r="F837" s="99"/>
    </row>
    <row r="838" spans="2:6" ht="12.75" customHeight="1" x14ac:dyDescent="0.25">
      <c r="B838" s="99"/>
      <c r="E838" s="99"/>
      <c r="F838" s="99"/>
    </row>
    <row r="839" spans="2:6" ht="12.75" customHeight="1" x14ac:dyDescent="0.25">
      <c r="B839" s="99"/>
      <c r="E839" s="99"/>
      <c r="F839" s="99"/>
    </row>
    <row r="840" spans="2:6" ht="12.75" customHeight="1" x14ac:dyDescent="0.25">
      <c r="B840" s="99"/>
      <c r="E840" s="99"/>
      <c r="F840" s="99"/>
    </row>
    <row r="841" spans="2:6" ht="12.75" customHeight="1" x14ac:dyDescent="0.25">
      <c r="B841" s="99"/>
      <c r="E841" s="99"/>
      <c r="F841" s="99"/>
    </row>
    <row r="842" spans="2:6" ht="12.75" customHeight="1" x14ac:dyDescent="0.25">
      <c r="B842" s="99"/>
      <c r="E842" s="99"/>
      <c r="F842" s="99"/>
    </row>
    <row r="843" spans="2:6" ht="12.75" customHeight="1" x14ac:dyDescent="0.25">
      <c r="B843" s="99"/>
      <c r="E843" s="99"/>
      <c r="F843" s="99"/>
    </row>
    <row r="844" spans="2:6" ht="12.75" customHeight="1" x14ac:dyDescent="0.25">
      <c r="B844" s="99"/>
      <c r="E844" s="99"/>
      <c r="F844" s="99"/>
    </row>
    <row r="845" spans="2:6" ht="12.75" customHeight="1" x14ac:dyDescent="0.25">
      <c r="B845" s="99"/>
      <c r="E845" s="99"/>
      <c r="F845" s="99"/>
    </row>
    <row r="846" spans="2:6" ht="12.75" customHeight="1" x14ac:dyDescent="0.25">
      <c r="B846" s="99"/>
      <c r="E846" s="99"/>
      <c r="F846" s="99"/>
    </row>
    <row r="847" spans="2:6" ht="12.75" customHeight="1" x14ac:dyDescent="0.25">
      <c r="B847" s="99"/>
      <c r="E847" s="99"/>
      <c r="F847" s="99"/>
    </row>
    <row r="848" spans="2:6" ht="12.75" customHeight="1" x14ac:dyDescent="0.25">
      <c r="B848" s="99"/>
      <c r="E848" s="99"/>
      <c r="F848" s="99"/>
    </row>
    <row r="849" spans="2:6" ht="12.75" customHeight="1" x14ac:dyDescent="0.25">
      <c r="B849" s="99"/>
      <c r="E849" s="99"/>
      <c r="F849" s="99"/>
    </row>
    <row r="850" spans="2:6" ht="12.75" customHeight="1" x14ac:dyDescent="0.25">
      <c r="B850" s="99"/>
      <c r="E850" s="99"/>
      <c r="F850" s="99"/>
    </row>
    <row r="851" spans="2:6" ht="12.75" customHeight="1" x14ac:dyDescent="0.25">
      <c r="B851" s="99"/>
      <c r="E851" s="99"/>
      <c r="F851" s="99"/>
    </row>
    <row r="852" spans="2:6" ht="12.75" customHeight="1" x14ac:dyDescent="0.25">
      <c r="B852" s="99"/>
      <c r="E852" s="99"/>
      <c r="F852" s="99"/>
    </row>
    <row r="853" spans="2:6" ht="12.75" customHeight="1" x14ac:dyDescent="0.25">
      <c r="B853" s="99"/>
      <c r="E853" s="99"/>
      <c r="F853" s="99"/>
    </row>
    <row r="854" spans="2:6" ht="12.75" customHeight="1" x14ac:dyDescent="0.25">
      <c r="B854" s="99"/>
      <c r="E854" s="99"/>
      <c r="F854" s="99"/>
    </row>
    <row r="855" spans="2:6" ht="12.75" customHeight="1" x14ac:dyDescent="0.25">
      <c r="B855" s="99"/>
      <c r="E855" s="99"/>
      <c r="F855" s="99"/>
    </row>
    <row r="856" spans="2:6" ht="12.75" customHeight="1" x14ac:dyDescent="0.25">
      <c r="B856" s="99"/>
      <c r="E856" s="99"/>
      <c r="F856" s="99"/>
    </row>
    <row r="857" spans="2:6" ht="12.75" customHeight="1" x14ac:dyDescent="0.25">
      <c r="B857" s="99"/>
      <c r="E857" s="99"/>
      <c r="F857" s="99"/>
    </row>
    <row r="858" spans="2:6" ht="12.75" customHeight="1" x14ac:dyDescent="0.25">
      <c r="B858" s="99"/>
      <c r="E858" s="99"/>
      <c r="F858" s="99"/>
    </row>
    <row r="859" spans="2:6" ht="12.75" customHeight="1" x14ac:dyDescent="0.25">
      <c r="B859" s="99"/>
      <c r="E859" s="99"/>
      <c r="F859" s="99"/>
    </row>
    <row r="860" spans="2:6" ht="12.75" customHeight="1" x14ac:dyDescent="0.25">
      <c r="B860" s="99"/>
      <c r="E860" s="99"/>
      <c r="F860" s="99"/>
    </row>
    <row r="861" spans="2:6" ht="12.75" customHeight="1" x14ac:dyDescent="0.25">
      <c r="B861" s="99"/>
      <c r="E861" s="99"/>
      <c r="F861" s="99"/>
    </row>
    <row r="862" spans="2:6" ht="12.75" customHeight="1" x14ac:dyDescent="0.25">
      <c r="B862" s="99"/>
      <c r="E862" s="99"/>
      <c r="F862" s="99"/>
    </row>
    <row r="863" spans="2:6" ht="12.75" customHeight="1" x14ac:dyDescent="0.25">
      <c r="B863" s="99"/>
      <c r="E863" s="99"/>
      <c r="F863" s="99"/>
    </row>
    <row r="864" spans="2:6" ht="12.75" customHeight="1" x14ac:dyDescent="0.25">
      <c r="B864" s="99"/>
      <c r="E864" s="99"/>
      <c r="F864" s="99"/>
    </row>
    <row r="865" spans="2:6" ht="12.75" customHeight="1" x14ac:dyDescent="0.25">
      <c r="B865" s="99"/>
      <c r="E865" s="99"/>
      <c r="F865" s="99"/>
    </row>
    <row r="866" spans="2:6" ht="12.75" customHeight="1" x14ac:dyDescent="0.25">
      <c r="B866" s="99"/>
      <c r="E866" s="99"/>
      <c r="F866" s="99"/>
    </row>
    <row r="867" spans="2:6" ht="12.75" customHeight="1" x14ac:dyDescent="0.25">
      <c r="B867" s="99"/>
      <c r="E867" s="99"/>
      <c r="F867" s="99"/>
    </row>
    <row r="868" spans="2:6" ht="12.75" customHeight="1" x14ac:dyDescent="0.25">
      <c r="B868" s="99"/>
      <c r="E868" s="99"/>
      <c r="F868" s="99"/>
    </row>
    <row r="869" spans="2:6" ht="12.75" customHeight="1" x14ac:dyDescent="0.25">
      <c r="B869" s="99"/>
      <c r="E869" s="99"/>
      <c r="F869" s="99"/>
    </row>
    <row r="870" spans="2:6" ht="12.75" customHeight="1" x14ac:dyDescent="0.25">
      <c r="B870" s="99"/>
      <c r="E870" s="99"/>
      <c r="F870" s="99"/>
    </row>
    <row r="871" spans="2:6" ht="12.75" customHeight="1" x14ac:dyDescent="0.25">
      <c r="B871" s="99"/>
      <c r="E871" s="99"/>
      <c r="F871" s="99"/>
    </row>
    <row r="872" spans="2:6" ht="12.75" customHeight="1" x14ac:dyDescent="0.25">
      <c r="B872" s="99"/>
      <c r="E872" s="99"/>
      <c r="F872" s="99"/>
    </row>
    <row r="873" spans="2:6" ht="12.75" customHeight="1" x14ac:dyDescent="0.25">
      <c r="B873" s="99"/>
      <c r="E873" s="99"/>
      <c r="F873" s="99"/>
    </row>
    <row r="874" spans="2:6" ht="12.75" customHeight="1" x14ac:dyDescent="0.25">
      <c r="B874" s="99"/>
      <c r="E874" s="99"/>
      <c r="F874" s="99"/>
    </row>
    <row r="875" spans="2:6" ht="12.75" customHeight="1" x14ac:dyDescent="0.25">
      <c r="B875" s="99"/>
      <c r="E875" s="99"/>
      <c r="F875" s="99"/>
    </row>
    <row r="876" spans="2:6" ht="12.75" customHeight="1" x14ac:dyDescent="0.25">
      <c r="B876" s="99"/>
      <c r="E876" s="99"/>
      <c r="F876" s="99"/>
    </row>
    <row r="877" spans="2:6" ht="12.75" customHeight="1" x14ac:dyDescent="0.25">
      <c r="B877" s="99"/>
      <c r="E877" s="99"/>
      <c r="F877" s="99"/>
    </row>
    <row r="878" spans="2:6" ht="12.75" customHeight="1" x14ac:dyDescent="0.25">
      <c r="B878" s="99"/>
      <c r="E878" s="99"/>
      <c r="F878" s="99"/>
    </row>
    <row r="879" spans="2:6" ht="12.75" customHeight="1" x14ac:dyDescent="0.25">
      <c r="B879" s="99"/>
      <c r="E879" s="99"/>
      <c r="F879" s="99"/>
    </row>
    <row r="880" spans="2:6" ht="12.75" customHeight="1" x14ac:dyDescent="0.25">
      <c r="B880" s="99"/>
      <c r="E880" s="99"/>
      <c r="F880" s="99"/>
    </row>
    <row r="881" spans="2:6" ht="12.75" customHeight="1" x14ac:dyDescent="0.25">
      <c r="B881" s="99"/>
      <c r="E881" s="99"/>
      <c r="F881" s="99"/>
    </row>
    <row r="882" spans="2:6" ht="12.75" customHeight="1" x14ac:dyDescent="0.25">
      <c r="B882" s="99"/>
      <c r="E882" s="99"/>
      <c r="F882" s="99"/>
    </row>
    <row r="883" spans="2:6" ht="12.75" customHeight="1" x14ac:dyDescent="0.25">
      <c r="B883" s="99"/>
      <c r="E883" s="99"/>
      <c r="F883" s="99"/>
    </row>
    <row r="884" spans="2:6" ht="12.75" customHeight="1" x14ac:dyDescent="0.25">
      <c r="B884" s="99"/>
      <c r="E884" s="99"/>
      <c r="F884" s="99"/>
    </row>
    <row r="885" spans="2:6" ht="12.75" customHeight="1" x14ac:dyDescent="0.25">
      <c r="B885" s="99"/>
      <c r="E885" s="99"/>
      <c r="F885" s="99"/>
    </row>
    <row r="886" spans="2:6" ht="12.75" customHeight="1" x14ac:dyDescent="0.25">
      <c r="B886" s="99"/>
      <c r="E886" s="99"/>
      <c r="F886" s="99"/>
    </row>
    <row r="887" spans="2:6" ht="12.75" customHeight="1" x14ac:dyDescent="0.25">
      <c r="B887" s="99"/>
      <c r="E887" s="99"/>
      <c r="F887" s="99"/>
    </row>
    <row r="888" spans="2:6" ht="12.75" customHeight="1" x14ac:dyDescent="0.25">
      <c r="B888" s="99"/>
      <c r="E888" s="99"/>
      <c r="F888" s="99"/>
    </row>
    <row r="889" spans="2:6" ht="12.75" customHeight="1" x14ac:dyDescent="0.25">
      <c r="B889" s="99"/>
      <c r="E889" s="99"/>
      <c r="F889" s="99"/>
    </row>
    <row r="890" spans="2:6" ht="12.75" customHeight="1" x14ac:dyDescent="0.25">
      <c r="B890" s="99"/>
      <c r="E890" s="99"/>
      <c r="F890" s="99"/>
    </row>
    <row r="891" spans="2:6" ht="12.75" customHeight="1" x14ac:dyDescent="0.25">
      <c r="B891" s="99"/>
      <c r="E891" s="99"/>
      <c r="F891" s="99"/>
    </row>
    <row r="892" spans="2:6" ht="12.75" customHeight="1" x14ac:dyDescent="0.25">
      <c r="B892" s="99"/>
      <c r="E892" s="99"/>
      <c r="F892" s="99"/>
    </row>
    <row r="893" spans="2:6" ht="12.75" customHeight="1" x14ac:dyDescent="0.25">
      <c r="B893" s="99"/>
      <c r="E893" s="99"/>
      <c r="F893" s="99"/>
    </row>
    <row r="894" spans="2:6" ht="12.75" customHeight="1" x14ac:dyDescent="0.25">
      <c r="B894" s="99"/>
      <c r="E894" s="99"/>
      <c r="F894" s="99"/>
    </row>
    <row r="895" spans="2:6" ht="12.75" customHeight="1" x14ac:dyDescent="0.25">
      <c r="B895" s="99"/>
      <c r="E895" s="99"/>
      <c r="F895" s="99"/>
    </row>
    <row r="896" spans="2:6" ht="12.75" customHeight="1" x14ac:dyDescent="0.25">
      <c r="B896" s="99"/>
      <c r="E896" s="99"/>
      <c r="F896" s="99"/>
    </row>
    <row r="897" spans="2:6" ht="12.75" customHeight="1" x14ac:dyDescent="0.25">
      <c r="B897" s="99"/>
      <c r="E897" s="99"/>
      <c r="F897" s="99"/>
    </row>
    <row r="898" spans="2:6" ht="12.75" customHeight="1" x14ac:dyDescent="0.25">
      <c r="B898" s="99"/>
      <c r="E898" s="99"/>
      <c r="F898" s="99"/>
    </row>
    <row r="899" spans="2:6" ht="12.75" customHeight="1" x14ac:dyDescent="0.25">
      <c r="B899" s="99"/>
      <c r="E899" s="99"/>
      <c r="F899" s="99"/>
    </row>
    <row r="900" spans="2:6" ht="12.75" customHeight="1" x14ac:dyDescent="0.25">
      <c r="B900" s="99"/>
      <c r="E900" s="99"/>
      <c r="F900" s="99"/>
    </row>
    <row r="901" spans="2:6" ht="12.75" customHeight="1" x14ac:dyDescent="0.25">
      <c r="B901" s="99"/>
      <c r="E901" s="99"/>
      <c r="F901" s="99"/>
    </row>
    <row r="902" spans="2:6" ht="12.75" customHeight="1" x14ac:dyDescent="0.25">
      <c r="B902" s="99"/>
      <c r="E902" s="99"/>
      <c r="F902" s="99"/>
    </row>
    <row r="903" spans="2:6" ht="12.75" customHeight="1" x14ac:dyDescent="0.25">
      <c r="B903" s="99"/>
      <c r="E903" s="99"/>
      <c r="F903" s="99"/>
    </row>
    <row r="904" spans="2:6" ht="12.75" customHeight="1" x14ac:dyDescent="0.25">
      <c r="B904" s="99"/>
      <c r="E904" s="99"/>
      <c r="F904" s="99"/>
    </row>
    <row r="905" spans="2:6" ht="12.75" customHeight="1" x14ac:dyDescent="0.25">
      <c r="B905" s="99"/>
      <c r="E905" s="99"/>
      <c r="F905" s="99"/>
    </row>
    <row r="906" spans="2:6" ht="12.75" customHeight="1" x14ac:dyDescent="0.25">
      <c r="B906" s="99"/>
      <c r="E906" s="99"/>
      <c r="F906" s="99"/>
    </row>
    <row r="907" spans="2:6" ht="12.75" customHeight="1" x14ac:dyDescent="0.25">
      <c r="B907" s="99"/>
      <c r="E907" s="99"/>
      <c r="F907" s="99"/>
    </row>
    <row r="908" spans="2:6" ht="12.75" customHeight="1" x14ac:dyDescent="0.25">
      <c r="B908" s="99"/>
      <c r="E908" s="99"/>
      <c r="F908" s="99"/>
    </row>
    <row r="909" spans="2:6" ht="12.75" customHeight="1" x14ac:dyDescent="0.25">
      <c r="B909" s="99"/>
      <c r="E909" s="99"/>
      <c r="F909" s="99"/>
    </row>
    <row r="910" spans="2:6" ht="12.75" customHeight="1" x14ac:dyDescent="0.25">
      <c r="B910" s="99"/>
      <c r="E910" s="99"/>
      <c r="F910" s="99"/>
    </row>
    <row r="911" spans="2:6" ht="12.75" customHeight="1" x14ac:dyDescent="0.25">
      <c r="B911" s="99"/>
      <c r="E911" s="99"/>
      <c r="F911" s="99"/>
    </row>
    <row r="912" spans="2:6" ht="12.75" customHeight="1" x14ac:dyDescent="0.25">
      <c r="B912" s="99"/>
      <c r="E912" s="99"/>
      <c r="F912" s="99"/>
    </row>
    <row r="913" spans="2:6" ht="12.75" customHeight="1" x14ac:dyDescent="0.25">
      <c r="B913" s="99"/>
      <c r="E913" s="99"/>
      <c r="F913" s="99"/>
    </row>
    <row r="914" spans="2:6" ht="12.75" customHeight="1" x14ac:dyDescent="0.25">
      <c r="B914" s="99"/>
      <c r="E914" s="99"/>
      <c r="F914" s="99"/>
    </row>
    <row r="915" spans="2:6" ht="12.75" customHeight="1" x14ac:dyDescent="0.25">
      <c r="B915" s="99"/>
      <c r="E915" s="99"/>
      <c r="F915" s="99"/>
    </row>
    <row r="916" spans="2:6" ht="12.75" customHeight="1" x14ac:dyDescent="0.25">
      <c r="B916" s="99"/>
      <c r="E916" s="99"/>
      <c r="F916" s="99"/>
    </row>
    <row r="917" spans="2:6" ht="12.75" customHeight="1" x14ac:dyDescent="0.25">
      <c r="B917" s="99"/>
      <c r="E917" s="99"/>
      <c r="F917" s="99"/>
    </row>
    <row r="918" spans="2:6" ht="12.75" customHeight="1" x14ac:dyDescent="0.25">
      <c r="B918" s="99"/>
      <c r="E918" s="99"/>
      <c r="F918" s="99"/>
    </row>
    <row r="919" spans="2:6" ht="12.75" customHeight="1" x14ac:dyDescent="0.25">
      <c r="B919" s="99"/>
      <c r="E919" s="99"/>
      <c r="F919" s="99"/>
    </row>
    <row r="920" spans="2:6" ht="12.75" customHeight="1" x14ac:dyDescent="0.25">
      <c r="B920" s="99"/>
      <c r="E920" s="99"/>
      <c r="F920" s="99"/>
    </row>
    <row r="921" spans="2:6" ht="12.75" customHeight="1" x14ac:dyDescent="0.25">
      <c r="B921" s="99"/>
      <c r="E921" s="99"/>
      <c r="F921" s="99"/>
    </row>
    <row r="922" spans="2:6" ht="12.75" customHeight="1" x14ac:dyDescent="0.25">
      <c r="B922" s="99"/>
      <c r="E922" s="99"/>
      <c r="F922" s="99"/>
    </row>
    <row r="923" spans="2:6" ht="12.75" customHeight="1" x14ac:dyDescent="0.25">
      <c r="B923" s="99"/>
      <c r="E923" s="99"/>
      <c r="F923" s="99"/>
    </row>
    <row r="924" spans="2:6" ht="12.75" customHeight="1" x14ac:dyDescent="0.25">
      <c r="B924" s="99"/>
      <c r="E924" s="99"/>
      <c r="F924" s="99"/>
    </row>
    <row r="925" spans="2:6" ht="12.75" customHeight="1" x14ac:dyDescent="0.25">
      <c r="B925" s="99"/>
      <c r="E925" s="99"/>
      <c r="F925" s="99"/>
    </row>
    <row r="926" spans="2:6" ht="12.75" customHeight="1" x14ac:dyDescent="0.25">
      <c r="B926" s="99"/>
      <c r="E926" s="99"/>
      <c r="F926" s="99"/>
    </row>
    <row r="927" spans="2:6" ht="12.75" customHeight="1" x14ac:dyDescent="0.25">
      <c r="B927" s="99"/>
      <c r="E927" s="99"/>
      <c r="F927" s="99"/>
    </row>
    <row r="928" spans="2:6" ht="12.75" customHeight="1" x14ac:dyDescent="0.25">
      <c r="B928" s="99"/>
      <c r="E928" s="99"/>
      <c r="F928" s="99"/>
    </row>
    <row r="929" spans="2:6" ht="12.75" customHeight="1" x14ac:dyDescent="0.25">
      <c r="B929" s="99"/>
      <c r="E929" s="99"/>
      <c r="F929" s="99"/>
    </row>
    <row r="930" spans="2:6" ht="12.75" customHeight="1" x14ac:dyDescent="0.25">
      <c r="B930" s="99"/>
      <c r="E930" s="99"/>
      <c r="F930" s="99"/>
    </row>
    <row r="931" spans="2:6" ht="12.75" customHeight="1" x14ac:dyDescent="0.25">
      <c r="B931" s="99"/>
      <c r="E931" s="99"/>
      <c r="F931" s="99"/>
    </row>
    <row r="932" spans="2:6" ht="12.75" customHeight="1" x14ac:dyDescent="0.25">
      <c r="B932" s="99"/>
      <c r="E932" s="99"/>
      <c r="F932" s="99"/>
    </row>
    <row r="933" spans="2:6" ht="12.75" customHeight="1" x14ac:dyDescent="0.25">
      <c r="B933" s="99"/>
      <c r="E933" s="99"/>
      <c r="F933" s="99"/>
    </row>
    <row r="934" spans="2:6" ht="12.75" customHeight="1" x14ac:dyDescent="0.25">
      <c r="B934" s="99"/>
      <c r="E934" s="99"/>
      <c r="F934" s="99"/>
    </row>
    <row r="935" spans="2:6" ht="12.75" customHeight="1" x14ac:dyDescent="0.25">
      <c r="B935" s="99"/>
      <c r="E935" s="99"/>
      <c r="F935" s="99"/>
    </row>
    <row r="936" spans="2:6" ht="12.75" customHeight="1" x14ac:dyDescent="0.25">
      <c r="B936" s="99"/>
      <c r="E936" s="99"/>
      <c r="F936" s="99"/>
    </row>
    <row r="937" spans="2:6" ht="12.75" customHeight="1" x14ac:dyDescent="0.25">
      <c r="B937" s="99"/>
      <c r="E937" s="99"/>
      <c r="F937" s="99"/>
    </row>
    <row r="938" spans="2:6" ht="12.75" customHeight="1" x14ac:dyDescent="0.25">
      <c r="B938" s="99"/>
      <c r="E938" s="99"/>
      <c r="F938" s="99"/>
    </row>
    <row r="939" spans="2:6" ht="12.75" customHeight="1" x14ac:dyDescent="0.25">
      <c r="B939" s="99"/>
      <c r="E939" s="99"/>
      <c r="F939" s="99"/>
    </row>
    <row r="940" spans="2:6" ht="12.75" customHeight="1" x14ac:dyDescent="0.25">
      <c r="B940" s="99"/>
      <c r="E940" s="99"/>
      <c r="F940" s="99"/>
    </row>
    <row r="941" spans="2:6" ht="12.75" customHeight="1" x14ac:dyDescent="0.25">
      <c r="B941" s="99"/>
      <c r="E941" s="99"/>
      <c r="F941" s="99"/>
    </row>
    <row r="942" spans="2:6" ht="12.75" customHeight="1" x14ac:dyDescent="0.25">
      <c r="B942" s="99"/>
      <c r="E942" s="99"/>
      <c r="F942" s="99"/>
    </row>
    <row r="943" spans="2:6" ht="12.75" customHeight="1" x14ac:dyDescent="0.25">
      <c r="B943" s="99"/>
      <c r="E943" s="99"/>
      <c r="F943" s="99"/>
    </row>
    <row r="944" spans="2:6" ht="12.75" customHeight="1" x14ac:dyDescent="0.25">
      <c r="B944" s="99"/>
      <c r="E944" s="99"/>
      <c r="F944" s="99"/>
    </row>
    <row r="945" spans="2:6" ht="12.75" customHeight="1" x14ac:dyDescent="0.25">
      <c r="B945" s="99"/>
      <c r="E945" s="99"/>
      <c r="F945" s="99"/>
    </row>
    <row r="946" spans="2:6" ht="12.75" customHeight="1" x14ac:dyDescent="0.25">
      <c r="B946" s="99"/>
      <c r="E946" s="99"/>
      <c r="F946" s="99"/>
    </row>
    <row r="947" spans="2:6" ht="12.75" customHeight="1" x14ac:dyDescent="0.25">
      <c r="B947" s="99"/>
      <c r="E947" s="99"/>
      <c r="F947" s="99"/>
    </row>
    <row r="948" spans="2:6" ht="12.75" customHeight="1" x14ac:dyDescent="0.25">
      <c r="B948" s="99"/>
      <c r="E948" s="99"/>
      <c r="F948" s="99"/>
    </row>
    <row r="949" spans="2:6" ht="12.75" customHeight="1" x14ac:dyDescent="0.25">
      <c r="B949" s="99"/>
      <c r="E949" s="99"/>
      <c r="F949" s="99"/>
    </row>
    <row r="950" spans="2:6" ht="12.75" customHeight="1" x14ac:dyDescent="0.25">
      <c r="B950" s="99"/>
      <c r="E950" s="99"/>
      <c r="F950" s="99"/>
    </row>
    <row r="951" spans="2:6" ht="12.75" customHeight="1" x14ac:dyDescent="0.25">
      <c r="B951" s="99"/>
      <c r="E951" s="99"/>
      <c r="F951" s="99"/>
    </row>
    <row r="952" spans="2:6" ht="12.75" customHeight="1" x14ac:dyDescent="0.25">
      <c r="B952" s="99"/>
      <c r="E952" s="99"/>
      <c r="F952" s="99"/>
    </row>
    <row r="953" spans="2:6" ht="12.75" customHeight="1" x14ac:dyDescent="0.25">
      <c r="B953" s="99"/>
      <c r="E953" s="99"/>
      <c r="F953" s="99"/>
    </row>
    <row r="954" spans="2:6" ht="12.75" customHeight="1" x14ac:dyDescent="0.25">
      <c r="B954" s="99"/>
      <c r="E954" s="99"/>
      <c r="F954" s="99"/>
    </row>
    <row r="955" spans="2:6" ht="12.75" customHeight="1" x14ac:dyDescent="0.25">
      <c r="B955" s="99"/>
      <c r="E955" s="99"/>
      <c r="F955" s="99"/>
    </row>
    <row r="956" spans="2:6" ht="12.75" customHeight="1" x14ac:dyDescent="0.25">
      <c r="B956" s="99"/>
      <c r="E956" s="99"/>
      <c r="F956" s="99"/>
    </row>
    <row r="957" spans="2:6" ht="12.75" customHeight="1" x14ac:dyDescent="0.25">
      <c r="B957" s="99"/>
      <c r="E957" s="99"/>
      <c r="F957" s="99"/>
    </row>
    <row r="958" spans="2:6" ht="12.75" customHeight="1" x14ac:dyDescent="0.25">
      <c r="B958" s="99"/>
      <c r="E958" s="99"/>
      <c r="F958" s="99"/>
    </row>
    <row r="959" spans="2:6" ht="12.75" customHeight="1" x14ac:dyDescent="0.25">
      <c r="B959" s="99"/>
      <c r="E959" s="99"/>
      <c r="F959" s="99"/>
    </row>
    <row r="960" spans="2:6" ht="12.75" customHeight="1" x14ac:dyDescent="0.25">
      <c r="B960" s="99"/>
      <c r="E960" s="99"/>
      <c r="F960" s="99"/>
    </row>
    <row r="961" spans="2:6" ht="12.75" customHeight="1" x14ac:dyDescent="0.25">
      <c r="B961" s="99"/>
      <c r="E961" s="99"/>
      <c r="F961" s="99"/>
    </row>
    <row r="962" spans="2:6" ht="12.75" customHeight="1" x14ac:dyDescent="0.25">
      <c r="B962" s="99"/>
      <c r="E962" s="99"/>
      <c r="F962" s="99"/>
    </row>
    <row r="963" spans="2:6" ht="12.75" customHeight="1" x14ac:dyDescent="0.25">
      <c r="B963" s="99"/>
      <c r="E963" s="99"/>
      <c r="F963" s="99"/>
    </row>
    <row r="964" spans="2:6" ht="12.75" customHeight="1" x14ac:dyDescent="0.25">
      <c r="B964" s="99"/>
      <c r="E964" s="99"/>
      <c r="F964" s="99"/>
    </row>
    <row r="965" spans="2:6" ht="12.75" customHeight="1" x14ac:dyDescent="0.25">
      <c r="B965" s="99"/>
      <c r="E965" s="99"/>
      <c r="F965" s="99"/>
    </row>
    <row r="966" spans="2:6" ht="12.75" customHeight="1" x14ac:dyDescent="0.25">
      <c r="B966" s="99"/>
      <c r="E966" s="99"/>
      <c r="F966" s="99"/>
    </row>
    <row r="967" spans="2:6" ht="12.75" customHeight="1" x14ac:dyDescent="0.25">
      <c r="B967" s="99"/>
      <c r="E967" s="99"/>
      <c r="F967" s="99"/>
    </row>
    <row r="968" spans="2:6" ht="12.75" customHeight="1" x14ac:dyDescent="0.25">
      <c r="B968" s="99"/>
      <c r="E968" s="99"/>
      <c r="F968" s="99"/>
    </row>
    <row r="969" spans="2:6" ht="12.75" customHeight="1" x14ac:dyDescent="0.25">
      <c r="B969" s="99"/>
      <c r="E969" s="99"/>
      <c r="F969" s="99"/>
    </row>
    <row r="970" spans="2:6" ht="12.75" customHeight="1" x14ac:dyDescent="0.25">
      <c r="B970" s="99"/>
      <c r="E970" s="99"/>
      <c r="F970" s="99"/>
    </row>
    <row r="971" spans="2:6" ht="12.75" customHeight="1" x14ac:dyDescent="0.25">
      <c r="B971" s="99"/>
      <c r="E971" s="99"/>
      <c r="F971" s="99"/>
    </row>
  </sheetData>
  <mergeCells count="10">
    <mergeCell ref="AL2:AM2"/>
    <mergeCell ref="AL3:AM3"/>
    <mergeCell ref="B62:H62"/>
    <mergeCell ref="B63:H63"/>
    <mergeCell ref="B43:J43"/>
    <mergeCell ref="R26:U26"/>
    <mergeCell ref="B42:J42"/>
    <mergeCell ref="B58:J58"/>
    <mergeCell ref="R25:U25"/>
    <mergeCell ref="B2:H3"/>
  </mergeCells>
  <printOptions horizontalCentered="1"/>
  <pageMargins left="0.4" right="0.4" top="1" bottom="0.5" header="0.3" footer="0.511811023622047"/>
  <pageSetup paperSize="9" scale="46"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rgb="FF0070C0"/>
    <pageSetUpPr fitToPage="1"/>
  </sheetPr>
  <dimension ref="A1:AD162"/>
  <sheetViews>
    <sheetView topLeftCell="N20" zoomScale="85" zoomScaleNormal="85" workbookViewId="0">
      <selection activeCell="T72" sqref="T72:U72"/>
    </sheetView>
  </sheetViews>
  <sheetFormatPr defaultColWidth="12.5" defaultRowHeight="14" x14ac:dyDescent="0.3"/>
  <cols>
    <col min="1" max="1" width="16.33203125" style="1" customWidth="1"/>
    <col min="2" max="2" width="32.83203125" bestFit="1" customWidth="1"/>
    <col min="3" max="3" width="16.9140625" customWidth="1"/>
    <col min="4" max="4" width="20.25" customWidth="1"/>
    <col min="5" max="5" width="18.9140625" customWidth="1"/>
    <col min="6" max="6" width="23.08203125" customWidth="1"/>
    <col min="7" max="7" width="25.1640625" customWidth="1"/>
    <col min="8" max="8" width="36.1640625" customWidth="1"/>
    <col min="9" max="9" width="18" customWidth="1"/>
    <col min="12" max="12" width="8.33203125" customWidth="1"/>
    <col min="13" max="14" width="4" customWidth="1"/>
    <col min="18" max="18" width="32" customWidth="1"/>
    <col min="19" max="19" width="24.4140625" customWidth="1"/>
    <col min="20" max="20" width="24.58203125" customWidth="1"/>
    <col min="23" max="23" width="29.4140625" customWidth="1"/>
    <col min="24" max="24" width="31.6640625" customWidth="1"/>
    <col min="28" max="28" width="11.33203125" style="777" bestFit="1" customWidth="1"/>
    <col min="29" max="29" width="12.5" style="777"/>
  </cols>
  <sheetData>
    <row r="1" spans="1:30" ht="24" customHeight="1" x14ac:dyDescent="0.3">
      <c r="A1" s="79" t="s">
        <v>235</v>
      </c>
      <c r="B1" s="80">
        <v>1000</v>
      </c>
      <c r="C1" s="88" t="s">
        <v>317</v>
      </c>
      <c r="D1" s="89">
        <f>$S$30/J1</f>
        <v>87867.924528301883</v>
      </c>
      <c r="E1" s="90" t="s">
        <v>240</v>
      </c>
      <c r="F1" s="91" t="s">
        <v>318</v>
      </c>
      <c r="G1" s="90" t="s">
        <v>319</v>
      </c>
      <c r="H1" s="304">
        <f>H52</f>
        <v>46.57</v>
      </c>
      <c r="I1" s="92" t="s">
        <v>242</v>
      </c>
      <c r="J1" s="305">
        <v>0.53</v>
      </c>
      <c r="K1" s="99"/>
      <c r="Y1" s="90" t="s">
        <v>463</v>
      </c>
      <c r="Z1" s="835">
        <v>46070</v>
      </c>
      <c r="AA1" s="90" t="s">
        <v>578</v>
      </c>
      <c r="AB1" s="835">
        <v>500</v>
      </c>
      <c r="AC1" s="90" t="s">
        <v>567</v>
      </c>
      <c r="AD1" s="835">
        <v>321</v>
      </c>
    </row>
    <row r="2" spans="1:30" ht="12.75" customHeight="1" x14ac:dyDescent="0.3">
      <c r="A2" s="264"/>
      <c r="B2" s="1450" t="s">
        <v>648</v>
      </c>
      <c r="C2" s="1458"/>
      <c r="D2" s="1458"/>
      <c r="E2" s="1458"/>
      <c r="F2" s="1458"/>
      <c r="G2" s="1458"/>
      <c r="H2" s="1458"/>
      <c r="I2" s="1458"/>
      <c r="J2" s="1458"/>
      <c r="K2" s="1458"/>
      <c r="L2" s="292"/>
      <c r="M2" s="99"/>
      <c r="N2" s="99"/>
    </row>
    <row r="3" spans="1:30" ht="12.75" customHeight="1" x14ac:dyDescent="0.3">
      <c r="A3" s="264"/>
      <c r="B3" s="1444"/>
      <c r="C3" s="1444"/>
      <c r="D3" s="1444"/>
      <c r="E3" s="1444"/>
      <c r="F3" s="1444"/>
      <c r="G3" s="1444"/>
      <c r="H3" s="1444"/>
      <c r="I3" s="1444"/>
      <c r="J3" s="1444"/>
      <c r="K3" s="1444"/>
      <c r="L3" s="292"/>
      <c r="M3" s="99"/>
      <c r="N3" s="99"/>
    </row>
    <row r="4" spans="1:30" ht="50.75" customHeight="1" x14ac:dyDescent="0.3">
      <c r="A4" s="90" t="s">
        <v>1</v>
      </c>
      <c r="B4" s="90" t="s">
        <v>245</v>
      </c>
      <c r="C4" s="306" t="s">
        <v>321</v>
      </c>
      <c r="D4" s="90" t="s">
        <v>322</v>
      </c>
      <c r="E4" s="107" t="s">
        <v>323</v>
      </c>
      <c r="F4" s="107" t="s">
        <v>324</v>
      </c>
      <c r="G4" s="307" t="s">
        <v>325</v>
      </c>
      <c r="H4" s="108" t="s">
        <v>326</v>
      </c>
      <c r="I4" s="90" t="s">
        <v>250</v>
      </c>
      <c r="J4" s="90" t="s">
        <v>251</v>
      </c>
      <c r="K4" s="90" t="s">
        <v>252</v>
      </c>
      <c r="L4" s="90" t="s">
        <v>253</v>
      </c>
    </row>
    <row r="5" spans="1:30" ht="14.25" customHeight="1" x14ac:dyDescent="0.3">
      <c r="A5" s="265" t="s">
        <v>225</v>
      </c>
      <c r="B5" s="308" t="s">
        <v>227</v>
      </c>
      <c r="C5" s="123" t="s">
        <v>14</v>
      </c>
      <c r="D5" s="115">
        <f>I51/H51</f>
        <v>1886.7924528301887</v>
      </c>
      <c r="E5" s="115">
        <f>I52/D5</f>
        <v>46.57</v>
      </c>
      <c r="F5" s="126">
        <v>1</v>
      </c>
      <c r="G5" s="116">
        <f t="shared" ref="G5:G18" si="0">D5*E5</f>
        <v>87867.924528301883</v>
      </c>
      <c r="H5" s="405">
        <f>D1</f>
        <v>87867.924528301883</v>
      </c>
      <c r="I5" s="80">
        <f>VLOOKUP(B5,All_Ingredients!$A$1:$F$149,6,FALSE())</f>
        <v>0.55000000000000004</v>
      </c>
      <c r="J5" s="118">
        <f>VLOOKUP(B5,All_Ingredients!$A$1:$J$149,10,FALSE())</f>
        <v>14.361111111111111</v>
      </c>
      <c r="K5" s="121">
        <f t="shared" ref="K5" si="1">(H5/I5)/1000</f>
        <v>159.75986277873068</v>
      </c>
      <c r="L5" s="121">
        <f t="shared" ref="L5" si="2">K5*J5</f>
        <v>2294.3291404612155</v>
      </c>
    </row>
    <row r="6" spans="1:30" ht="14.25" customHeight="1" x14ac:dyDescent="0.3">
      <c r="A6" s="269" t="s">
        <v>13</v>
      </c>
      <c r="B6" s="22" t="s">
        <v>12</v>
      </c>
      <c r="C6" s="123" t="s">
        <v>14</v>
      </c>
      <c r="D6" s="124">
        <v>200</v>
      </c>
      <c r="E6" s="196">
        <f t="shared" ref="E6:E18" si="3">$H$52</f>
        <v>46.57</v>
      </c>
      <c r="F6" s="126">
        <v>1</v>
      </c>
      <c r="G6" s="118">
        <f t="shared" si="0"/>
        <v>9314</v>
      </c>
      <c r="H6" s="119">
        <f t="shared" ref="H6:H18" si="4">G6*F6</f>
        <v>9314</v>
      </c>
      <c r="I6" s="80">
        <f>VLOOKUP(B6,All_Ingredients!$A$1:$F$149,6,FALSE())</f>
        <v>0.9</v>
      </c>
      <c r="J6" s="118">
        <f>VLOOKUP(B6,All_Ingredients!$A$1:$J$149,10,FALSE())</f>
        <v>3</v>
      </c>
      <c r="K6" s="121">
        <f t="shared" ref="K6:K18" si="5">(H6/I6)/1000</f>
        <v>10.348888888888888</v>
      </c>
      <c r="L6" s="121">
        <f t="shared" ref="L6:L18" si="6">K6*J6</f>
        <v>31.046666666666667</v>
      </c>
    </row>
    <row r="7" spans="1:30" ht="14.25" customHeight="1" x14ac:dyDescent="0.3">
      <c r="A7" s="269" t="s">
        <v>13</v>
      </c>
      <c r="B7" s="22" t="s">
        <v>17</v>
      </c>
      <c r="C7" s="123" t="s">
        <v>14</v>
      </c>
      <c r="D7" s="124">
        <v>120</v>
      </c>
      <c r="E7" s="196">
        <f t="shared" si="3"/>
        <v>46.57</v>
      </c>
      <c r="F7" s="126">
        <v>1</v>
      </c>
      <c r="G7" s="118">
        <f t="shared" si="0"/>
        <v>5588.4</v>
      </c>
      <c r="H7" s="119">
        <f t="shared" si="4"/>
        <v>5588.4</v>
      </c>
      <c r="I7" s="80">
        <f>VLOOKUP(B7,All_Ingredients!$A$1:$F$149,6,FALSE())</f>
        <v>0.98</v>
      </c>
      <c r="J7" s="118">
        <f>VLOOKUP(B7,All_Ingredients!$A$1:$J$149,10,FALSE())</f>
        <v>3.5</v>
      </c>
      <c r="K7" s="121">
        <f t="shared" si="5"/>
        <v>5.7024489795918365</v>
      </c>
      <c r="L7" s="121">
        <f t="shared" si="6"/>
        <v>19.958571428571428</v>
      </c>
    </row>
    <row r="8" spans="1:30" ht="14.25" customHeight="1" x14ac:dyDescent="0.3">
      <c r="A8" s="269" t="s">
        <v>13</v>
      </c>
      <c r="B8" s="22" t="s">
        <v>762</v>
      </c>
      <c r="C8" s="123" t="s">
        <v>14</v>
      </c>
      <c r="D8" s="124">
        <v>10</v>
      </c>
      <c r="E8" s="196">
        <f t="shared" si="3"/>
        <v>46.57</v>
      </c>
      <c r="F8" s="126">
        <v>0.65</v>
      </c>
      <c r="G8" s="118">
        <f t="shared" si="0"/>
        <v>465.7</v>
      </c>
      <c r="H8" s="119">
        <f t="shared" si="4"/>
        <v>302.70499999999998</v>
      </c>
      <c r="I8" s="80">
        <f>VLOOKUP(B8,All_Ingredients!$A$1:$F$149,6,FALSE())</f>
        <v>1</v>
      </c>
      <c r="J8" s="118">
        <f>VLOOKUP(B8,All_Ingredients!$A$1:$J$149,10,FALSE())</f>
        <v>10.5</v>
      </c>
      <c r="K8" s="121">
        <f t="shared" si="5"/>
        <v>0.302705</v>
      </c>
      <c r="L8" s="121">
        <f t="shared" si="6"/>
        <v>3.1784024999999998</v>
      </c>
    </row>
    <row r="9" spans="1:30" ht="14.25" customHeight="1" x14ac:dyDescent="0.3">
      <c r="A9" s="269" t="s">
        <v>13</v>
      </c>
      <c r="B9" s="322" t="s">
        <v>32</v>
      </c>
      <c r="C9" s="123" t="s">
        <v>14</v>
      </c>
      <c r="D9" s="124">
        <v>50</v>
      </c>
      <c r="E9" s="196">
        <f t="shared" si="3"/>
        <v>46.57</v>
      </c>
      <c r="F9" s="126">
        <v>0.75</v>
      </c>
      <c r="G9" s="118">
        <f t="shared" si="0"/>
        <v>2328.5</v>
      </c>
      <c r="H9" s="119">
        <f t="shared" si="4"/>
        <v>1746.375</v>
      </c>
      <c r="I9" s="80">
        <f>VLOOKUP(B9,All_Ingredients!$A$1:$F$149,6,FALSE())</f>
        <v>0.69</v>
      </c>
      <c r="J9" s="118">
        <f>VLOOKUP(B9,All_Ingredients!$A$1:$J$149,10,FALSE())</f>
        <v>4</v>
      </c>
      <c r="K9" s="121">
        <f t="shared" si="5"/>
        <v>2.5309782608695657</v>
      </c>
      <c r="L9" s="121">
        <f t="shared" si="6"/>
        <v>10.123913043478263</v>
      </c>
    </row>
    <row r="10" spans="1:30" ht="14.25" customHeight="1" x14ac:dyDescent="0.3">
      <c r="A10" s="269" t="s">
        <v>95</v>
      </c>
      <c r="B10" s="322" t="s">
        <v>106</v>
      </c>
      <c r="C10" s="123" t="s">
        <v>14</v>
      </c>
      <c r="D10" s="124">
        <v>20</v>
      </c>
      <c r="E10" s="196">
        <f t="shared" si="3"/>
        <v>46.57</v>
      </c>
      <c r="F10" s="126">
        <v>0.7</v>
      </c>
      <c r="G10" s="118">
        <f t="shared" si="0"/>
        <v>931.4</v>
      </c>
      <c r="H10" s="119">
        <f t="shared" si="4"/>
        <v>651.9799999999999</v>
      </c>
      <c r="I10" s="80">
        <f>VLOOKUP(B10,All_Ingredients!$A$1:$F$149,6,FALSE())</f>
        <v>1</v>
      </c>
      <c r="J10" s="118">
        <f>VLOOKUP(B10,All_Ingredients!$A$1:$J$149,10,FALSE())</f>
        <v>15</v>
      </c>
      <c r="K10" s="121">
        <f t="shared" si="5"/>
        <v>0.65197999999999989</v>
      </c>
      <c r="L10" s="121">
        <f t="shared" si="6"/>
        <v>9.7796999999999983</v>
      </c>
    </row>
    <row r="11" spans="1:30" ht="14.25" customHeight="1" x14ac:dyDescent="0.3">
      <c r="A11" s="269" t="s">
        <v>95</v>
      </c>
      <c r="B11" s="293" t="s">
        <v>140</v>
      </c>
      <c r="C11" s="123" t="s">
        <v>14</v>
      </c>
      <c r="D11" s="124">
        <v>20</v>
      </c>
      <c r="E11" s="196">
        <f t="shared" si="3"/>
        <v>46.57</v>
      </c>
      <c r="F11" s="126">
        <v>0.65</v>
      </c>
      <c r="G11" s="118">
        <f t="shared" si="0"/>
        <v>931.4</v>
      </c>
      <c r="H11" s="119">
        <f t="shared" si="4"/>
        <v>605.41</v>
      </c>
      <c r="I11" s="80">
        <f>VLOOKUP(B11,All_Ingredients!$A$1:$F$149,6,FALSE())</f>
        <v>1</v>
      </c>
      <c r="J11" s="118">
        <f>VLOOKUP(B11,All_Ingredients!$A$1:$J$149,10,FALSE())</f>
        <v>15.277777777777779</v>
      </c>
      <c r="K11" s="121">
        <f t="shared" si="5"/>
        <v>0.60541</v>
      </c>
      <c r="L11" s="121">
        <f t="shared" si="6"/>
        <v>9.2493194444444455</v>
      </c>
    </row>
    <row r="12" spans="1:30" ht="14.25" customHeight="1" x14ac:dyDescent="0.3">
      <c r="A12" s="269" t="s">
        <v>95</v>
      </c>
      <c r="B12" s="293" t="s">
        <v>127</v>
      </c>
      <c r="C12" s="123" t="s">
        <v>14</v>
      </c>
      <c r="D12" s="124">
        <v>10</v>
      </c>
      <c r="E12" s="196">
        <f t="shared" si="3"/>
        <v>46.57</v>
      </c>
      <c r="F12" s="126">
        <v>0.25</v>
      </c>
      <c r="G12" s="118">
        <f t="shared" si="0"/>
        <v>465.7</v>
      </c>
      <c r="H12" s="119">
        <f t="shared" si="4"/>
        <v>116.425</v>
      </c>
      <c r="I12" s="80">
        <f>VLOOKUP(B12,All_Ingredients!$A$1:$F$149,6,FALSE())</f>
        <v>1</v>
      </c>
      <c r="J12" s="118">
        <f>VLOOKUP(B12,All_Ingredients!$A$1:$J$149,10,FALSE())</f>
        <v>125</v>
      </c>
      <c r="K12" s="121">
        <f t="shared" si="5"/>
        <v>0.116425</v>
      </c>
      <c r="L12" s="121">
        <f t="shared" si="6"/>
        <v>14.553125</v>
      </c>
    </row>
    <row r="13" spans="1:30" ht="14.25" customHeight="1" x14ac:dyDescent="0.3">
      <c r="A13" s="269" t="s">
        <v>95</v>
      </c>
      <c r="B13" s="322" t="s">
        <v>108</v>
      </c>
      <c r="C13" s="123" t="s">
        <v>14</v>
      </c>
      <c r="D13" s="124">
        <v>20</v>
      </c>
      <c r="E13" s="196">
        <f t="shared" si="3"/>
        <v>46.57</v>
      </c>
      <c r="F13" s="126">
        <v>0.7</v>
      </c>
      <c r="G13" s="118">
        <f t="shared" si="0"/>
        <v>931.4</v>
      </c>
      <c r="H13" s="119">
        <f t="shared" si="4"/>
        <v>651.9799999999999</v>
      </c>
      <c r="I13" s="80">
        <f>VLOOKUP(B13,All_Ingredients!$A$1:$F$149,6,FALSE())</f>
        <v>1</v>
      </c>
      <c r="J13" s="118">
        <f>VLOOKUP(B13,All_Ingredients!$A$1:$J$149,10,FALSE())</f>
        <v>8</v>
      </c>
      <c r="K13" s="121">
        <f t="shared" si="5"/>
        <v>0.65197999999999989</v>
      </c>
      <c r="L13" s="121">
        <f t="shared" si="6"/>
        <v>5.2158399999999991</v>
      </c>
    </row>
    <row r="14" spans="1:30" ht="14.25" customHeight="1" x14ac:dyDescent="0.3">
      <c r="A14" s="269" t="s">
        <v>154</v>
      </c>
      <c r="B14" s="22" t="s">
        <v>164</v>
      </c>
      <c r="C14" s="123" t="s">
        <v>14</v>
      </c>
      <c r="D14" s="124">
        <v>150</v>
      </c>
      <c r="E14" s="196">
        <f t="shared" si="3"/>
        <v>46.57</v>
      </c>
      <c r="F14" s="126">
        <v>0.85</v>
      </c>
      <c r="G14" s="118">
        <f t="shared" si="0"/>
        <v>6985.5</v>
      </c>
      <c r="H14" s="119">
        <f t="shared" si="4"/>
        <v>5937.6750000000002</v>
      </c>
      <c r="I14" s="80">
        <f>VLOOKUP(B14,All_Ingredients!$A$1:$F$149,6,FALSE())</f>
        <v>1</v>
      </c>
      <c r="J14" s="118">
        <f>VLOOKUP(B14,All_Ingredients!$A$1:$J$149,10,FALSE())</f>
        <v>6.6959999999999997</v>
      </c>
      <c r="K14" s="121">
        <f t="shared" si="5"/>
        <v>5.9376750000000005</v>
      </c>
      <c r="L14" s="121">
        <f t="shared" si="6"/>
        <v>39.758671800000002</v>
      </c>
    </row>
    <row r="15" spans="1:30" ht="15" customHeight="1" x14ac:dyDescent="0.3">
      <c r="A15" s="269" t="s">
        <v>192</v>
      </c>
      <c r="B15" s="22" t="s">
        <v>731</v>
      </c>
      <c r="C15" s="123" t="s">
        <v>14</v>
      </c>
      <c r="D15" s="124">
        <v>70</v>
      </c>
      <c r="E15" s="196">
        <f t="shared" si="3"/>
        <v>46.57</v>
      </c>
      <c r="F15" s="126">
        <v>0.8</v>
      </c>
      <c r="G15" s="118">
        <f t="shared" si="0"/>
        <v>3259.9</v>
      </c>
      <c r="H15" s="119">
        <f t="shared" si="4"/>
        <v>2607.92</v>
      </c>
      <c r="I15" s="80">
        <f>VLOOKUP(B15,All_Ingredients!$A$1:$F$149,6,FALSE())</f>
        <v>1</v>
      </c>
      <c r="J15" s="118">
        <f>VLOOKUP(B15,All_Ingredients!$A$1:$J$149,10,FALSE())</f>
        <v>8.1520833333333336</v>
      </c>
      <c r="K15" s="121">
        <f t="shared" si="5"/>
        <v>2.60792</v>
      </c>
      <c r="L15" s="121">
        <f t="shared" si="6"/>
        <v>21.259981166666666</v>
      </c>
    </row>
    <row r="16" spans="1:30" ht="14.25" customHeight="1" x14ac:dyDescent="0.3">
      <c r="A16" s="269" t="s">
        <v>95</v>
      </c>
      <c r="B16" s="22" t="s">
        <v>94</v>
      </c>
      <c r="C16" s="123" t="s">
        <v>14</v>
      </c>
      <c r="D16" s="124">
        <v>30</v>
      </c>
      <c r="E16" s="196">
        <f t="shared" si="3"/>
        <v>46.57</v>
      </c>
      <c r="F16" s="126">
        <v>0.75</v>
      </c>
      <c r="G16" s="118">
        <f t="shared" si="0"/>
        <v>1397.1</v>
      </c>
      <c r="H16" s="119">
        <f t="shared" si="4"/>
        <v>1047.8249999999998</v>
      </c>
      <c r="I16" s="80">
        <f>VLOOKUP(B16,All_Ingredients!$A$1:$F$149,6,FALSE())</f>
        <v>1</v>
      </c>
      <c r="J16" s="118">
        <f>VLOOKUP(B16,All_Ingredients!$A$1:$J$149,10,FALSE())</f>
        <v>0.74</v>
      </c>
      <c r="K16" s="121">
        <f t="shared" si="5"/>
        <v>1.0478249999999998</v>
      </c>
      <c r="L16" s="121">
        <f t="shared" si="6"/>
        <v>0.77539049999999987</v>
      </c>
    </row>
    <row r="17" spans="1:29" ht="14.25" customHeight="1" x14ac:dyDescent="0.3">
      <c r="A17" s="269" t="s">
        <v>206</v>
      </c>
      <c r="B17" s="22" t="s">
        <v>205</v>
      </c>
      <c r="C17" s="123" t="s">
        <v>161</v>
      </c>
      <c r="D17" s="124">
        <v>200</v>
      </c>
      <c r="E17" s="196">
        <f t="shared" si="3"/>
        <v>46.57</v>
      </c>
      <c r="F17" s="126">
        <v>1</v>
      </c>
      <c r="G17" s="118">
        <f t="shared" si="0"/>
        <v>9314</v>
      </c>
      <c r="H17" s="119">
        <f t="shared" si="4"/>
        <v>9314</v>
      </c>
      <c r="I17" s="80">
        <f>VLOOKUP(B17,All_Ingredients!$A$1:$F$149,6,FALSE())</f>
        <v>1</v>
      </c>
      <c r="J17" s="118">
        <f>VLOOKUP(B17,All_Ingredients!$A$1:$J$149,10,FALSE())</f>
        <v>0</v>
      </c>
      <c r="K17" s="121">
        <f t="shared" si="5"/>
        <v>9.3140000000000001</v>
      </c>
      <c r="L17" s="121">
        <f t="shared" si="6"/>
        <v>0</v>
      </c>
    </row>
    <row r="18" spans="1:29" ht="14.25" customHeight="1" x14ac:dyDescent="0.3">
      <c r="A18" s="269" t="s">
        <v>215</v>
      </c>
      <c r="B18" s="293" t="s">
        <v>877</v>
      </c>
      <c r="C18" s="123" t="s">
        <v>14</v>
      </c>
      <c r="D18" s="124">
        <v>1</v>
      </c>
      <c r="E18" s="196">
        <f t="shared" si="3"/>
        <v>46.57</v>
      </c>
      <c r="F18" s="126">
        <v>0.3</v>
      </c>
      <c r="G18" s="118">
        <f t="shared" si="0"/>
        <v>46.57</v>
      </c>
      <c r="H18" s="119">
        <f t="shared" si="4"/>
        <v>13.971</v>
      </c>
      <c r="I18" s="80">
        <f>VLOOKUP(B18,All_Ingredients!$A$1:$F$149,6,FALSE())</f>
        <v>1</v>
      </c>
      <c r="J18" s="118">
        <f>VLOOKUP(B18,All_Ingredients!$A$1:$J$149,10,FALSE())</f>
        <v>22.5</v>
      </c>
      <c r="K18" s="121">
        <f t="shared" si="5"/>
        <v>1.3971000000000001E-2</v>
      </c>
      <c r="L18" s="121">
        <f t="shared" si="6"/>
        <v>0.3143475</v>
      </c>
    </row>
    <row r="19" spans="1:29" ht="14.25" customHeight="1" x14ac:dyDescent="0.3">
      <c r="A19" s="99"/>
      <c r="B19" s="99"/>
      <c r="C19" s="99"/>
      <c r="D19" s="99"/>
      <c r="E19" s="99"/>
      <c r="F19" s="99"/>
      <c r="L19" s="208"/>
    </row>
    <row r="20" spans="1:29" ht="14.25" customHeight="1" x14ac:dyDescent="0.3">
      <c r="A20" s="99"/>
      <c r="B20" s="99"/>
      <c r="C20" s="99"/>
      <c r="D20" s="99"/>
      <c r="E20" s="99"/>
      <c r="F20" s="99"/>
      <c r="L20" s="208"/>
    </row>
    <row r="21" spans="1:29" ht="14.25" customHeight="1" x14ac:dyDescent="0.3">
      <c r="A21" s="99"/>
      <c r="B21" s="99"/>
      <c r="C21" s="99"/>
      <c r="D21" s="99"/>
      <c r="E21" s="99"/>
      <c r="F21" s="99"/>
      <c r="L21" s="208"/>
    </row>
    <row r="22" spans="1:29" ht="14.25" customHeight="1" x14ac:dyDescent="0.3">
      <c r="A22" s="99"/>
      <c r="F22" s="99"/>
      <c r="L22" s="208"/>
    </row>
    <row r="23" spans="1:29" ht="14.25" customHeight="1" x14ac:dyDescent="0.3">
      <c r="A23" s="99"/>
      <c r="F23" s="99"/>
      <c r="L23" s="208"/>
    </row>
    <row r="24" spans="1:29" ht="14.25" customHeight="1" x14ac:dyDescent="0.3">
      <c r="A24" s="99"/>
      <c r="F24" s="99"/>
      <c r="Z24" s="1265"/>
    </row>
    <row r="25" spans="1:29" ht="15.75" customHeight="1" x14ac:dyDescent="0.35">
      <c r="A25" s="99"/>
      <c r="F25" s="99"/>
      <c r="R25" s="1440" t="str">
        <f>B2</f>
        <v>Beef Zurbian - زربيان لحم</v>
      </c>
      <c r="S25" s="1444"/>
      <c r="T25" s="1444"/>
      <c r="Z25" s="140" t="s">
        <v>256</v>
      </c>
      <c r="AA25" s="141">
        <v>1</v>
      </c>
      <c r="AB25" s="140" t="s">
        <v>253</v>
      </c>
      <c r="AC25" s="1210">
        <f>AC30*AA25</f>
        <v>4.9299651188443865E-2</v>
      </c>
    </row>
    <row r="26" spans="1:29" ht="14.25" customHeight="1" x14ac:dyDescent="0.3">
      <c r="A26" s="99"/>
      <c r="F26" s="99"/>
      <c r="R26" s="1445" t="s">
        <v>328</v>
      </c>
      <c r="S26" s="1446"/>
      <c r="T26" s="1446"/>
      <c r="AB26" s="14"/>
      <c r="AC26" s="14"/>
    </row>
    <row r="27" spans="1:29" ht="14.25" customHeight="1" thickBot="1" x14ac:dyDescent="0.35">
      <c r="A27" s="99"/>
      <c r="F27" s="99"/>
      <c r="R27" s="144" t="s">
        <v>258</v>
      </c>
      <c r="S27" s="145" t="s">
        <v>302</v>
      </c>
      <c r="T27" s="145" t="s">
        <v>261</v>
      </c>
      <c r="U27" s="145" t="s">
        <v>817</v>
      </c>
      <c r="Z27" s="140" t="s">
        <v>262</v>
      </c>
      <c r="AA27" s="146" t="s">
        <v>263</v>
      </c>
      <c r="AB27" s="1167" t="s">
        <v>817</v>
      </c>
      <c r="AC27" s="146" t="s">
        <v>266</v>
      </c>
    </row>
    <row r="28" spans="1:29" ht="14.25" customHeight="1" thickBot="1" x14ac:dyDescent="0.35">
      <c r="F28" s="99"/>
      <c r="R28" s="147" t="s">
        <v>329</v>
      </c>
      <c r="S28" s="1342">
        <f>$Z$1</f>
        <v>46070</v>
      </c>
      <c r="T28" s="1371">
        <f>S28</f>
        <v>46070</v>
      </c>
      <c r="U28" s="1380">
        <f>SUM(H37:H38)</f>
        <v>4195.47</v>
      </c>
      <c r="Z28" s="150"/>
      <c r="AA28" s="151">
        <f>AA25</f>
        <v>1</v>
      </c>
      <c r="AB28" s="1169"/>
      <c r="AC28" s="153">
        <f>SUM(AA28:AB28)</f>
        <v>1</v>
      </c>
    </row>
    <row r="29" spans="1:29" ht="14.25" customHeight="1" thickBot="1" x14ac:dyDescent="0.35">
      <c r="F29" s="99"/>
      <c r="R29" s="147" t="s">
        <v>330</v>
      </c>
      <c r="S29" s="1374">
        <f>$AB$1</f>
        <v>500</v>
      </c>
      <c r="T29" s="756">
        <f>S29</f>
        <v>500</v>
      </c>
      <c r="U29" s="1379"/>
      <c r="Z29" s="150"/>
      <c r="AA29" s="155">
        <v>1</v>
      </c>
      <c r="AB29" s="1173"/>
      <c r="AC29" s="155">
        <f>AC28/$AC$28</f>
        <v>1</v>
      </c>
    </row>
    <row r="30" spans="1:29" ht="14.25" customHeight="1" thickBot="1" x14ac:dyDescent="0.35">
      <c r="B30" s="99"/>
      <c r="E30" s="99"/>
      <c r="F30" s="99"/>
      <c r="R30" s="159" t="s">
        <v>331</v>
      </c>
      <c r="S30" s="1421">
        <f>S28+S29</f>
        <v>46570</v>
      </c>
      <c r="T30" s="1393">
        <f>T28+T29</f>
        <v>46570</v>
      </c>
      <c r="U30" s="1378">
        <f>U28+U29</f>
        <v>4195.47</v>
      </c>
      <c r="Z30" s="140" t="s">
        <v>270</v>
      </c>
      <c r="AA30" s="156">
        <f>S33/(S30)</f>
        <v>4.9266247379454918E-2</v>
      </c>
      <c r="AB30" s="1180">
        <f>U33/T30</f>
        <v>3.340380898894964E-5</v>
      </c>
      <c r="AC30" s="1188">
        <f>SUMPRODUCT(AA29,AA30)+AB30</f>
        <v>4.9299651188443865E-2</v>
      </c>
    </row>
    <row r="31" spans="1:29" ht="14.25" customHeight="1" thickBot="1" x14ac:dyDescent="0.35">
      <c r="R31" s="160" t="s">
        <v>272</v>
      </c>
      <c r="S31" s="154"/>
      <c r="T31" s="154"/>
    </row>
    <row r="32" spans="1:29" ht="31.25" customHeight="1" thickBot="1" x14ac:dyDescent="0.35">
      <c r="R32" s="161" t="s">
        <v>273</v>
      </c>
      <c r="S32" s="154"/>
      <c r="T32" s="154"/>
    </row>
    <row r="33" spans="2:24" ht="18.75" customHeight="1" thickBot="1" x14ac:dyDescent="0.35">
      <c r="R33" s="162" t="s">
        <v>253</v>
      </c>
      <c r="S33" s="1125">
        <f>$L$5</f>
        <v>2294.3291404612155</v>
      </c>
      <c r="T33" s="1213">
        <f>S33+U33</f>
        <v>2295.884755845831</v>
      </c>
      <c r="U33" s="1192">
        <f>SUM(L37:L38)</f>
        <v>1.5556153846153846</v>
      </c>
    </row>
    <row r="35" spans="2:24" ht="15.5" x14ac:dyDescent="0.3">
      <c r="B35" s="1484" t="s">
        <v>649</v>
      </c>
      <c r="C35" s="1484"/>
      <c r="D35" s="1484"/>
      <c r="E35" s="1484"/>
      <c r="F35" s="1484"/>
      <c r="G35" s="870"/>
      <c r="H35" s="870"/>
      <c r="I35" s="877"/>
      <c r="J35" s="877"/>
      <c r="K35" s="877"/>
      <c r="L35" s="877"/>
    </row>
    <row r="36" spans="2:24" ht="39.5" customHeight="1" x14ac:dyDescent="0.3">
      <c r="B36" s="848" t="s">
        <v>245</v>
      </c>
      <c r="C36" s="848" t="s">
        <v>321</v>
      </c>
      <c r="D36" s="850" t="s">
        <v>645</v>
      </c>
      <c r="E36" s="847" t="s">
        <v>646</v>
      </c>
      <c r="F36" s="850" t="s">
        <v>647</v>
      </c>
      <c r="G36" s="870"/>
      <c r="H36" s="850" t="s">
        <v>647</v>
      </c>
      <c r="I36" s="850" t="s">
        <v>250</v>
      </c>
      <c r="J36" s="850" t="s">
        <v>251</v>
      </c>
      <c r="K36" s="850" t="s">
        <v>252</v>
      </c>
      <c r="L36" s="850" t="s">
        <v>253</v>
      </c>
    </row>
    <row r="37" spans="2:24" x14ac:dyDescent="0.3">
      <c r="B37" s="843" t="s">
        <v>716</v>
      </c>
      <c r="C37" s="844" t="s">
        <v>14</v>
      </c>
      <c r="D37" s="845">
        <v>7.0000000000000007E-2</v>
      </c>
      <c r="E37" s="843">
        <f>$AD$1</f>
        <v>321</v>
      </c>
      <c r="F37" s="843">
        <f>D37*E37</f>
        <v>22.470000000000002</v>
      </c>
      <c r="G37" s="14"/>
      <c r="H37" s="843">
        <f>F37</f>
        <v>22.470000000000002</v>
      </c>
      <c r="I37" s="843">
        <f>VLOOKUP(B37,All_Ingredients!$A$1:$F$149,6,FALSE())</f>
        <v>0.65</v>
      </c>
      <c r="J37" s="843">
        <f>VLOOKUP(B37,All_Ingredients!$A$1:$J$149,10,FALSE())</f>
        <v>45</v>
      </c>
      <c r="K37" s="843">
        <f>(H37/I37)/1000</f>
        <v>3.4569230769230769E-2</v>
      </c>
      <c r="L37" s="843">
        <f t="shared" ref="L37" si="7">K37*J37</f>
        <v>1.5556153846153846</v>
      </c>
    </row>
    <row r="38" spans="2:24" x14ac:dyDescent="0.3">
      <c r="B38" s="846" t="s">
        <v>575</v>
      </c>
      <c r="C38" s="844" t="s">
        <v>14</v>
      </c>
      <c r="D38" s="845">
        <v>13</v>
      </c>
      <c r="E38" s="843">
        <f>$AD$1</f>
        <v>321</v>
      </c>
      <c r="F38" s="843">
        <f>D38*E38</f>
        <v>4173</v>
      </c>
      <c r="H38" s="843">
        <f>F38</f>
        <v>4173</v>
      </c>
      <c r="I38" s="843">
        <f>VLOOKUP(B38,All_Ingredients!$A$1:$F$149,6,FALSE())</f>
        <v>1</v>
      </c>
      <c r="J38" s="843">
        <f>VLOOKUP(B38,All_Ingredients!$A$1:$J$149,10,FALSE())</f>
        <v>0</v>
      </c>
      <c r="K38" s="843">
        <f>(H38/I38)/1000</f>
        <v>4.173</v>
      </c>
      <c r="L38" s="843">
        <f t="shared" ref="L38" si="8">K38*J38</f>
        <v>0</v>
      </c>
    </row>
    <row r="40" spans="2:24" ht="14.25" customHeight="1" x14ac:dyDescent="0.3">
      <c r="Q40" s="14"/>
      <c r="R40" s="164" t="s">
        <v>332</v>
      </c>
      <c r="S40" s="238">
        <v>1</v>
      </c>
      <c r="X40" s="14"/>
    </row>
    <row r="41" spans="2:24" ht="14.25" customHeight="1" x14ac:dyDescent="0.3">
      <c r="Q41" s="14"/>
      <c r="R41" s="14"/>
      <c r="S41" s="14"/>
      <c r="T41" s="14"/>
      <c r="U41" s="168"/>
      <c r="V41" s="14"/>
      <c r="W41" s="14"/>
      <c r="X41" s="14"/>
    </row>
    <row r="42" spans="2:24" ht="14.25" customHeight="1" x14ac:dyDescent="0.3">
      <c r="Q42" s="14"/>
      <c r="R42" s="14"/>
      <c r="S42" s="14"/>
      <c r="T42" s="14"/>
      <c r="U42" s="14"/>
      <c r="V42" s="14"/>
      <c r="W42" s="14"/>
      <c r="X42" s="14"/>
    </row>
    <row r="43" spans="2:24" ht="14.25" customHeight="1" x14ac:dyDescent="0.3">
      <c r="Q43" s="169" t="s">
        <v>276</v>
      </c>
      <c r="R43" s="169" t="s">
        <v>277</v>
      </c>
      <c r="S43" s="169" t="s">
        <v>278</v>
      </c>
      <c r="T43" s="169" t="s">
        <v>279</v>
      </c>
      <c r="U43" s="169" t="s">
        <v>280</v>
      </c>
      <c r="V43" s="169" t="s">
        <v>281</v>
      </c>
      <c r="W43" s="257" t="s">
        <v>333</v>
      </c>
      <c r="X43" s="320"/>
    </row>
    <row r="44" spans="2:24" ht="14.25" customHeight="1" x14ac:dyDescent="0.3">
      <c r="Q44" s="171">
        <v>10000</v>
      </c>
      <c r="R44" s="172">
        <v>0</v>
      </c>
      <c r="S44" s="240">
        <v>0</v>
      </c>
      <c r="T44" s="240">
        <v>0</v>
      </c>
      <c r="U44" s="241">
        <f>R44*S44</f>
        <v>0</v>
      </c>
      <c r="V44" s="175">
        <f>R44*T44</f>
        <v>0</v>
      </c>
      <c r="W44" s="259">
        <f>Q44-U44</f>
        <v>10000</v>
      </c>
      <c r="X44" s="297"/>
    </row>
    <row r="46" spans="2:24" x14ac:dyDescent="0.3">
      <c r="O46">
        <v>88924.528301886792</v>
      </c>
    </row>
    <row r="50" spans="1:17" ht="14.5" thickBot="1" x14ac:dyDescent="0.35">
      <c r="G50" s="145" t="s">
        <v>284</v>
      </c>
      <c r="H50" s="145" t="s">
        <v>237</v>
      </c>
      <c r="I50" s="145" t="s">
        <v>285</v>
      </c>
      <c r="J50" s="145" t="s">
        <v>286</v>
      </c>
      <c r="O50">
        <v>18800</v>
      </c>
      <c r="P50">
        <v>10000</v>
      </c>
      <c r="Q50">
        <f>P50/O50</f>
        <v>0.53191489361702127</v>
      </c>
    </row>
    <row r="51" spans="1:17" ht="14.5" thickBot="1" x14ac:dyDescent="0.35">
      <c r="G51" s="309" t="s">
        <v>327</v>
      </c>
      <c r="H51" s="310">
        <v>10</v>
      </c>
      <c r="I51" s="310">
        <f t="shared" ref="I51:I56" si="9">J51/$J$1</f>
        <v>18867.924528301886</v>
      </c>
      <c r="J51" s="311">
        <f>$W$44</f>
        <v>10000</v>
      </c>
      <c r="O51">
        <v>18800</v>
      </c>
      <c r="P51">
        <v>10000</v>
      </c>
      <c r="Q51">
        <f t="shared" ref="Q51:Q54" si="10">P51/O51</f>
        <v>0.53191489361702127</v>
      </c>
    </row>
    <row r="52" spans="1:17" x14ac:dyDescent="0.3">
      <c r="G52" s="161" t="s">
        <v>266</v>
      </c>
      <c r="H52" s="312">
        <f>$E$5</f>
        <v>46.57</v>
      </c>
      <c r="I52" s="313">
        <f t="shared" si="9"/>
        <v>87867.924528301883</v>
      </c>
      <c r="J52" s="314">
        <f>$S$30</f>
        <v>46570</v>
      </c>
      <c r="O52">
        <v>18800</v>
      </c>
      <c r="P52">
        <v>10000</v>
      </c>
      <c r="Q52">
        <f t="shared" si="10"/>
        <v>0.53191489361702127</v>
      </c>
    </row>
    <row r="53" spans="1:17" x14ac:dyDescent="0.3">
      <c r="D53" s="489"/>
      <c r="G53" s="147" t="s">
        <v>288</v>
      </c>
      <c r="H53" s="315">
        <f>MIN($H$52, H51)</f>
        <v>10</v>
      </c>
      <c r="I53" s="175">
        <f t="shared" si="9"/>
        <v>18867.924528301886</v>
      </c>
      <c r="J53" s="316">
        <f>MIN(MAX($J$52,0),$J$51)</f>
        <v>10000</v>
      </c>
      <c r="O53">
        <v>18800</v>
      </c>
      <c r="P53">
        <v>10000</v>
      </c>
      <c r="Q53">
        <f t="shared" si="10"/>
        <v>0.53191489361702127</v>
      </c>
    </row>
    <row r="54" spans="1:17" x14ac:dyDescent="0.3">
      <c r="D54" s="489"/>
      <c r="G54" s="147" t="s">
        <v>289</v>
      </c>
      <c r="H54" s="315">
        <f>MIN(MAX($H$52-H53,0),H51)</f>
        <v>10</v>
      </c>
      <c r="I54" s="175">
        <f t="shared" si="9"/>
        <v>18867.924528301886</v>
      </c>
      <c r="J54" s="183">
        <f>MIN(MAX($J$52-J53,0),$J$51)</f>
        <v>10000</v>
      </c>
      <c r="O54">
        <v>10300</v>
      </c>
      <c r="P54">
        <v>8100</v>
      </c>
      <c r="Q54">
        <f t="shared" si="10"/>
        <v>0.78640776699029125</v>
      </c>
    </row>
    <row r="55" spans="1:17" x14ac:dyDescent="0.3">
      <c r="D55" s="489"/>
      <c r="G55" s="144" t="s">
        <v>290</v>
      </c>
      <c r="H55" s="315">
        <f>MIN(MAX($H$52-H53-H54,0),H51)</f>
        <v>10</v>
      </c>
      <c r="I55" s="175">
        <f t="shared" si="9"/>
        <v>18867.924528301886</v>
      </c>
      <c r="J55" s="316">
        <f>MIN(MAX($J$52-J53-J54,0),$J$51)</f>
        <v>10000</v>
      </c>
    </row>
    <row r="56" spans="1:17" x14ac:dyDescent="0.3">
      <c r="G56" s="144" t="s">
        <v>297</v>
      </c>
      <c r="H56" s="315">
        <f>MIN(MAX($H$52-H53-H54-H55,0),H51)</f>
        <v>10</v>
      </c>
      <c r="I56" s="175">
        <f t="shared" si="9"/>
        <v>18867.924528301886</v>
      </c>
      <c r="J56" s="316">
        <f>MIN(MAX($J$52-J53-J54-J55,0),$J$51)</f>
        <v>10000</v>
      </c>
      <c r="O56">
        <f>SUM(O50:O54)</f>
        <v>85500</v>
      </c>
      <c r="P56">
        <f>SUM(P50:P54)</f>
        <v>48100</v>
      </c>
    </row>
    <row r="57" spans="1:17" x14ac:dyDescent="0.3">
      <c r="G57" s="144" t="s">
        <v>348</v>
      </c>
      <c r="H57" s="315">
        <f>MIN(MAX($H$52-H53-H54-H55-H56,0),H52)</f>
        <v>6.57</v>
      </c>
      <c r="I57" s="175">
        <f>J57/$J$1</f>
        <v>12396.226415094339</v>
      </c>
      <c r="J57" s="316">
        <f>MIN(MAX($J$52-J53-J54-J55-J56,0),$J$51)</f>
        <v>6570</v>
      </c>
    </row>
    <row r="58" spans="1:17" x14ac:dyDescent="0.3">
      <c r="O58">
        <f>O46-O56</f>
        <v>3424.5283018867922</v>
      </c>
    </row>
    <row r="62" spans="1:17" ht="17.75" customHeight="1" x14ac:dyDescent="0.3">
      <c r="A62" s="321"/>
      <c r="B62" s="1438" t="str">
        <f>"زربيان لحم  1 / " &amp; COUNTIF($H$53:$H$57, "&gt;0")</f>
        <v>زربيان لحم  1 / 5</v>
      </c>
      <c r="C62" s="1439"/>
      <c r="D62" s="1439"/>
      <c r="E62" s="1439"/>
      <c r="F62" s="1439"/>
      <c r="G62" s="1439"/>
      <c r="H62" s="1439"/>
    </row>
    <row r="63" spans="1:17" ht="17.75" customHeight="1" x14ac:dyDescent="0.3">
      <c r="A63" s="406"/>
      <c r="B63" s="1436" t="str">
        <f>"Beef Zurbian 1 / " &amp; COUNTIF($H$53:$H$57, "&gt;0")</f>
        <v>Beef Zurbian 1 / 5</v>
      </c>
      <c r="C63" s="1437"/>
      <c r="D63" s="1437"/>
      <c r="E63" s="1437"/>
      <c r="F63" s="1437"/>
      <c r="G63" s="1437"/>
      <c r="H63" s="1437"/>
    </row>
    <row r="64" spans="1:17" ht="48.5" customHeight="1" x14ac:dyDescent="0.3">
      <c r="A64" s="90"/>
      <c r="B64" s="90" t="s">
        <v>245</v>
      </c>
      <c r="C64" s="306" t="s">
        <v>321</v>
      </c>
      <c r="D64" s="90" t="s">
        <v>322</v>
      </c>
      <c r="E64" s="107" t="s">
        <v>323</v>
      </c>
      <c r="F64" s="107" t="s">
        <v>324</v>
      </c>
      <c r="G64" s="307" t="s">
        <v>325</v>
      </c>
      <c r="H64" s="217" t="s">
        <v>249</v>
      </c>
    </row>
    <row r="65" spans="1:21" ht="14.25" customHeight="1" x14ac:dyDescent="0.3">
      <c r="A65" s="218" t="s">
        <v>225</v>
      </c>
      <c r="B65" s="322" t="str">
        <f t="shared" ref="B65:D78" si="11">B5</f>
        <v>Indian Meat Alana  - لحم هندى ألانا</v>
      </c>
      <c r="C65" s="322" t="str">
        <f t="shared" si="11"/>
        <v>gm</v>
      </c>
      <c r="D65" s="323">
        <f t="shared" si="11"/>
        <v>1886.7924528301887</v>
      </c>
      <c r="E65" s="196">
        <f t="shared" ref="E65:E78" si="12">$H$53</f>
        <v>10</v>
      </c>
      <c r="F65" s="126">
        <f t="shared" ref="F65:F78" si="13">F5</f>
        <v>1</v>
      </c>
      <c r="G65" s="118">
        <f t="shared" ref="G65:G78" si="14">D65*E65</f>
        <v>18867.924528301886</v>
      </c>
      <c r="H65" s="119">
        <f t="shared" ref="H65:H78" si="15">G65*F65</f>
        <v>18867.924528301886</v>
      </c>
    </row>
    <row r="66" spans="1:21" ht="14.25" customHeight="1" x14ac:dyDescent="0.3">
      <c r="A66" s="269" t="s">
        <v>13</v>
      </c>
      <c r="B66" s="322" t="str">
        <f t="shared" si="11"/>
        <v>Onion - بصل</v>
      </c>
      <c r="C66" s="322" t="str">
        <f t="shared" si="11"/>
        <v>gm</v>
      </c>
      <c r="D66" s="322">
        <f t="shared" si="11"/>
        <v>200</v>
      </c>
      <c r="E66" s="196">
        <f t="shared" si="12"/>
        <v>10</v>
      </c>
      <c r="F66" s="126">
        <f t="shared" si="13"/>
        <v>1</v>
      </c>
      <c r="G66" s="80">
        <f t="shared" si="14"/>
        <v>2000</v>
      </c>
      <c r="H66" s="119">
        <f t="shared" si="15"/>
        <v>2000</v>
      </c>
    </row>
    <row r="67" spans="1:21" ht="14.25" customHeight="1" x14ac:dyDescent="0.3">
      <c r="A67" s="269" t="s">
        <v>13</v>
      </c>
      <c r="B67" s="322" t="str">
        <f t="shared" si="11"/>
        <v>Tomato - طماطم</v>
      </c>
      <c r="C67" s="322" t="str">
        <f t="shared" si="11"/>
        <v>gm</v>
      </c>
      <c r="D67" s="322">
        <f t="shared" si="11"/>
        <v>120</v>
      </c>
      <c r="E67" s="196">
        <f t="shared" si="12"/>
        <v>10</v>
      </c>
      <c r="F67" s="126">
        <f t="shared" si="13"/>
        <v>1</v>
      </c>
      <c r="G67" s="80">
        <f t="shared" si="14"/>
        <v>1200</v>
      </c>
      <c r="H67" s="119">
        <f t="shared" si="15"/>
        <v>1200</v>
      </c>
    </row>
    <row r="68" spans="1:21" ht="14.25" customHeight="1" x14ac:dyDescent="0.3">
      <c r="A68" s="269" t="s">
        <v>13</v>
      </c>
      <c r="B68" s="322" t="str">
        <f t="shared" si="11"/>
        <v>Garlic - ثوم مقشر</v>
      </c>
      <c r="C68" s="322" t="str">
        <f t="shared" si="11"/>
        <v>gm</v>
      </c>
      <c r="D68" s="322">
        <f t="shared" si="11"/>
        <v>10</v>
      </c>
      <c r="E68" s="196">
        <f t="shared" si="12"/>
        <v>10</v>
      </c>
      <c r="F68" s="126">
        <f t="shared" si="13"/>
        <v>0.65</v>
      </c>
      <c r="G68" s="80">
        <f t="shared" si="14"/>
        <v>100</v>
      </c>
      <c r="H68" s="119">
        <f t="shared" si="15"/>
        <v>65</v>
      </c>
    </row>
    <row r="69" spans="1:21" ht="14.25" customHeight="1" x14ac:dyDescent="0.3">
      <c r="A69" s="269" t="s">
        <v>13</v>
      </c>
      <c r="B69" s="322" t="str">
        <f t="shared" si="11"/>
        <v>Green Bell Pepper - فلفل أخضر رومى</v>
      </c>
      <c r="C69" s="322" t="str">
        <f t="shared" si="11"/>
        <v>gm</v>
      </c>
      <c r="D69" s="322">
        <f t="shared" si="11"/>
        <v>50</v>
      </c>
      <c r="E69" s="196">
        <f t="shared" si="12"/>
        <v>10</v>
      </c>
      <c r="F69" s="126">
        <f t="shared" si="13"/>
        <v>0.75</v>
      </c>
      <c r="G69" s="80">
        <f t="shared" si="14"/>
        <v>500</v>
      </c>
      <c r="H69" s="119">
        <f t="shared" si="15"/>
        <v>375</v>
      </c>
    </row>
    <row r="70" spans="1:21" ht="14.25" customHeight="1" x14ac:dyDescent="0.3">
      <c r="A70" s="269" t="s">
        <v>95</v>
      </c>
      <c r="B70" s="322" t="str">
        <f t="shared" si="11"/>
        <v>Cumin Powder - كمون مطحون</v>
      </c>
      <c r="C70" s="322" t="str">
        <f t="shared" si="11"/>
        <v>gm</v>
      </c>
      <c r="D70" s="322">
        <f t="shared" si="11"/>
        <v>20</v>
      </c>
      <c r="E70" s="196">
        <f t="shared" si="12"/>
        <v>10</v>
      </c>
      <c r="F70" s="126">
        <f t="shared" si="13"/>
        <v>0.7</v>
      </c>
      <c r="G70" s="80">
        <f t="shared" si="14"/>
        <v>200</v>
      </c>
      <c r="H70" s="119">
        <f t="shared" si="15"/>
        <v>140</v>
      </c>
    </row>
    <row r="71" spans="1:21" ht="14.25" customHeight="1" x14ac:dyDescent="0.3">
      <c r="A71" s="269" t="s">
        <v>95</v>
      </c>
      <c r="B71" s="322" t="str">
        <f t="shared" si="11"/>
        <v>Maggi Cubes - مكعبات ماجي</v>
      </c>
      <c r="C71" s="322" t="str">
        <f t="shared" si="11"/>
        <v>gm</v>
      </c>
      <c r="D71" s="322">
        <f t="shared" si="11"/>
        <v>20</v>
      </c>
      <c r="E71" s="196">
        <f t="shared" si="12"/>
        <v>10</v>
      </c>
      <c r="F71" s="126">
        <f t="shared" si="13"/>
        <v>0.65</v>
      </c>
      <c r="G71" s="80">
        <f t="shared" si="14"/>
        <v>200</v>
      </c>
      <c r="H71" s="119">
        <f t="shared" si="15"/>
        <v>130</v>
      </c>
    </row>
    <row r="72" spans="1:21" ht="14.25" customHeight="1" x14ac:dyDescent="0.3">
      <c r="A72" s="269" t="s">
        <v>95</v>
      </c>
      <c r="B72" s="322" t="str">
        <f t="shared" si="11"/>
        <v>Cardamom Whole - هيل حب</v>
      </c>
      <c r="C72" s="322" t="str">
        <f t="shared" si="11"/>
        <v>gm</v>
      </c>
      <c r="D72" s="322">
        <f t="shared" si="11"/>
        <v>10</v>
      </c>
      <c r="E72" s="196">
        <f t="shared" si="12"/>
        <v>10</v>
      </c>
      <c r="F72" s="126">
        <f t="shared" si="13"/>
        <v>0.25</v>
      </c>
      <c r="G72" s="80">
        <f t="shared" si="14"/>
        <v>100</v>
      </c>
      <c r="H72" s="119">
        <f t="shared" si="15"/>
        <v>25</v>
      </c>
      <c r="T72">
        <v>46570</v>
      </c>
      <c r="U72">
        <v>46570</v>
      </c>
    </row>
    <row r="73" spans="1:21" ht="14.25" customHeight="1" x14ac:dyDescent="0.3">
      <c r="A73" s="269" t="s">
        <v>95</v>
      </c>
      <c r="B73" s="322" t="str">
        <f t="shared" si="11"/>
        <v>Coriander Powder - كزبرة مطحونة</v>
      </c>
      <c r="C73" s="322" t="str">
        <f t="shared" si="11"/>
        <v>gm</v>
      </c>
      <c r="D73" s="322">
        <f t="shared" si="11"/>
        <v>20</v>
      </c>
      <c r="E73" s="196">
        <f t="shared" si="12"/>
        <v>10</v>
      </c>
      <c r="F73" s="126">
        <f t="shared" si="13"/>
        <v>0.7</v>
      </c>
      <c r="G73" s="80">
        <f t="shared" si="14"/>
        <v>200</v>
      </c>
      <c r="H73" s="119">
        <f t="shared" si="15"/>
        <v>140</v>
      </c>
    </row>
    <row r="74" spans="1:21" ht="14.25" customHeight="1" x14ac:dyDescent="0.3">
      <c r="A74" s="269" t="s">
        <v>154</v>
      </c>
      <c r="B74" s="322" t="str">
        <f t="shared" si="11"/>
        <v>Yogurt - زبادي</v>
      </c>
      <c r="C74" s="322" t="str">
        <f t="shared" si="11"/>
        <v>gm</v>
      </c>
      <c r="D74" s="322">
        <f t="shared" si="11"/>
        <v>150</v>
      </c>
      <c r="E74" s="196">
        <f t="shared" si="12"/>
        <v>10</v>
      </c>
      <c r="F74" s="126">
        <f t="shared" si="13"/>
        <v>0.85</v>
      </c>
      <c r="G74" s="80">
        <f t="shared" si="14"/>
        <v>1500</v>
      </c>
      <c r="H74" s="119">
        <f t="shared" si="15"/>
        <v>1275</v>
      </c>
    </row>
    <row r="75" spans="1:21" ht="14.25" customHeight="1" x14ac:dyDescent="0.3">
      <c r="A75" s="269" t="s">
        <v>192</v>
      </c>
      <c r="B75" s="322" t="str">
        <f t="shared" si="11"/>
        <v>Tomato Paste - صلصة طماطم</v>
      </c>
      <c r="C75" s="322" t="str">
        <f t="shared" si="11"/>
        <v>gm</v>
      </c>
      <c r="D75" s="322">
        <f t="shared" si="11"/>
        <v>70</v>
      </c>
      <c r="E75" s="196">
        <f t="shared" si="12"/>
        <v>10</v>
      </c>
      <c r="F75" s="126">
        <f t="shared" si="13"/>
        <v>0.8</v>
      </c>
      <c r="G75" s="80">
        <f t="shared" si="14"/>
        <v>700</v>
      </c>
      <c r="H75" s="119">
        <f t="shared" si="15"/>
        <v>560</v>
      </c>
    </row>
    <row r="76" spans="1:21" ht="14.25" customHeight="1" x14ac:dyDescent="0.3">
      <c r="A76" s="269" t="s">
        <v>95</v>
      </c>
      <c r="B76" s="322" t="str">
        <f t="shared" si="11"/>
        <v>Salt - ملح</v>
      </c>
      <c r="C76" s="322" t="str">
        <f t="shared" si="11"/>
        <v>gm</v>
      </c>
      <c r="D76" s="322">
        <f t="shared" si="11"/>
        <v>30</v>
      </c>
      <c r="E76" s="196">
        <f t="shared" si="12"/>
        <v>10</v>
      </c>
      <c r="F76" s="126">
        <f t="shared" si="13"/>
        <v>0.75</v>
      </c>
      <c r="G76" s="80">
        <f t="shared" si="14"/>
        <v>300</v>
      </c>
      <c r="H76" s="119">
        <f t="shared" si="15"/>
        <v>225</v>
      </c>
    </row>
    <row r="77" spans="1:21" ht="14.25" customHeight="1" x14ac:dyDescent="0.3">
      <c r="A77" s="269" t="s">
        <v>206</v>
      </c>
      <c r="B77" s="322" t="str">
        <f t="shared" si="11"/>
        <v>Water - ماء</v>
      </c>
      <c r="C77" s="322" t="str">
        <f t="shared" si="11"/>
        <v>ml</v>
      </c>
      <c r="D77" s="322">
        <f t="shared" si="11"/>
        <v>200</v>
      </c>
      <c r="E77" s="196">
        <f t="shared" si="12"/>
        <v>10</v>
      </c>
      <c r="F77" s="126">
        <f t="shared" si="13"/>
        <v>1</v>
      </c>
      <c r="G77" s="80">
        <f t="shared" si="14"/>
        <v>2000</v>
      </c>
      <c r="H77" s="119">
        <f t="shared" si="15"/>
        <v>2000</v>
      </c>
    </row>
    <row r="78" spans="1:21" ht="14.25" customHeight="1" x14ac:dyDescent="0.3">
      <c r="A78" s="269" t="s">
        <v>215</v>
      </c>
      <c r="B78" s="322" t="str">
        <f t="shared" si="11"/>
        <v>Saffron yellow color powder - لون صفار زعفران بودر</v>
      </c>
      <c r="C78" s="322" t="str">
        <f t="shared" si="11"/>
        <v>gm</v>
      </c>
      <c r="D78" s="322">
        <f t="shared" si="11"/>
        <v>1</v>
      </c>
      <c r="E78" s="196">
        <f t="shared" si="12"/>
        <v>10</v>
      </c>
      <c r="F78" s="126">
        <f t="shared" si="13"/>
        <v>0.3</v>
      </c>
      <c r="G78" s="80">
        <f t="shared" si="14"/>
        <v>10</v>
      </c>
      <c r="H78" s="119">
        <f t="shared" si="15"/>
        <v>3</v>
      </c>
    </row>
    <row r="79" spans="1:21" ht="20.25" customHeight="1" x14ac:dyDescent="0.3">
      <c r="A79" s="210"/>
      <c r="B79" s="197" t="s">
        <v>291</v>
      </c>
      <c r="C79" s="199" t="s">
        <v>277</v>
      </c>
      <c r="D79" s="14"/>
      <c r="E79" s="199" t="s">
        <v>292</v>
      </c>
      <c r="F79" s="14"/>
      <c r="G79" s="878" t="s">
        <v>268</v>
      </c>
      <c r="H79" s="878" t="s">
        <v>703</v>
      </c>
    </row>
    <row r="80" spans="1:21" ht="23.75" customHeight="1" x14ac:dyDescent="0.4">
      <c r="A80" s="210"/>
      <c r="B80" s="198">
        <f>$J$53</f>
        <v>10000</v>
      </c>
      <c r="C80" s="200">
        <f>E80+G80</f>
        <v>0</v>
      </c>
      <c r="D80" s="208"/>
      <c r="E80" s="200">
        <f>$H$53*$S$44</f>
        <v>0</v>
      </c>
      <c r="F80" s="99"/>
      <c r="G80" s="201">
        <f>$H$53*$T$44</f>
        <v>0</v>
      </c>
      <c r="H80" s="201">
        <f>B80+E80</f>
        <v>10000</v>
      </c>
    </row>
    <row r="81" spans="1:10" ht="14.25" customHeight="1" x14ac:dyDescent="0.3">
      <c r="B81" s="99"/>
      <c r="E81" s="99"/>
      <c r="F81" s="99"/>
    </row>
    <row r="82" spans="1:10" ht="17.75" customHeight="1" x14ac:dyDescent="0.3">
      <c r="A82" s="923"/>
      <c r="B82" s="1438" t="str">
        <f>"زربيان لحم  2 / " &amp; COUNTIF($H$53:$H$57, "&gt;0")</f>
        <v>زربيان لحم  2 / 5</v>
      </c>
      <c r="C82" s="1439"/>
      <c r="D82" s="1439"/>
      <c r="E82" s="1439"/>
      <c r="F82" s="1439"/>
      <c r="G82" s="1439"/>
      <c r="H82" s="1439"/>
    </row>
    <row r="83" spans="1:10" ht="17.75" customHeight="1" x14ac:dyDescent="0.3">
      <c r="A83" s="923"/>
      <c r="B83" s="1436" t="str">
        <f>"Beef Zurbian 2 / " &amp; COUNTIF($H$53:$H$57, "&gt;0")</f>
        <v>Beef Zurbian 2 / 5</v>
      </c>
      <c r="C83" s="1437"/>
      <c r="D83" s="1437"/>
      <c r="E83" s="1437"/>
      <c r="F83" s="1437"/>
      <c r="G83" s="1437"/>
      <c r="H83" s="1437"/>
    </row>
    <row r="84" spans="1:10" ht="44.75" customHeight="1" x14ac:dyDescent="0.3">
      <c r="A84" s="90"/>
      <c r="B84" s="90" t="s">
        <v>245</v>
      </c>
      <c r="C84" s="106" t="s">
        <v>246</v>
      </c>
      <c r="D84" s="90" t="s">
        <v>235</v>
      </c>
      <c r="E84" s="217" t="s">
        <v>238</v>
      </c>
      <c r="F84" s="107" t="s">
        <v>334</v>
      </c>
      <c r="G84" s="90" t="s">
        <v>248</v>
      </c>
      <c r="H84" s="217" t="s">
        <v>249</v>
      </c>
    </row>
    <row r="85" spans="1:10" ht="14.25" customHeight="1" x14ac:dyDescent="0.3">
      <c r="A85" s="218" t="s">
        <v>225</v>
      </c>
      <c r="B85" s="322" t="str">
        <f t="shared" ref="B85:D98" si="16">B5</f>
        <v>Indian Meat Alana  - لحم هندى ألانا</v>
      </c>
      <c r="C85" s="322" t="str">
        <f t="shared" si="16"/>
        <v>gm</v>
      </c>
      <c r="D85" s="118">
        <f t="shared" si="16"/>
        <v>1886.7924528301887</v>
      </c>
      <c r="E85" s="196">
        <f t="shared" ref="E85:E98" si="17">$H$54</f>
        <v>10</v>
      </c>
      <c r="F85" s="126">
        <f t="shared" ref="F85:F98" si="18">F5</f>
        <v>1</v>
      </c>
      <c r="G85" s="118">
        <f t="shared" ref="G85:G98" si="19">D85*E85</f>
        <v>18867.924528301886</v>
      </c>
      <c r="H85" s="119">
        <f t="shared" ref="H85:H98" si="20">G85*F85</f>
        <v>18867.924528301886</v>
      </c>
    </row>
    <row r="86" spans="1:10" ht="14.25" customHeight="1" x14ac:dyDescent="0.3">
      <c r="A86" s="269" t="s">
        <v>13</v>
      </c>
      <c r="B86" s="322" t="str">
        <f t="shared" si="16"/>
        <v>Onion - بصل</v>
      </c>
      <c r="C86" s="322" t="str">
        <f t="shared" si="16"/>
        <v>gm</v>
      </c>
      <c r="D86" s="322">
        <f t="shared" si="16"/>
        <v>200</v>
      </c>
      <c r="E86" s="196">
        <f t="shared" si="17"/>
        <v>10</v>
      </c>
      <c r="F86" s="126">
        <f t="shared" si="18"/>
        <v>1</v>
      </c>
      <c r="G86" s="118">
        <f t="shared" si="19"/>
        <v>2000</v>
      </c>
      <c r="H86" s="119">
        <f t="shared" si="20"/>
        <v>2000</v>
      </c>
    </row>
    <row r="87" spans="1:10" ht="14.25" customHeight="1" x14ac:dyDescent="0.3">
      <c r="A87" s="269" t="s">
        <v>13</v>
      </c>
      <c r="B87" s="322" t="str">
        <f t="shared" si="16"/>
        <v>Tomato - طماطم</v>
      </c>
      <c r="C87" s="322" t="str">
        <f t="shared" si="16"/>
        <v>gm</v>
      </c>
      <c r="D87" s="322">
        <f t="shared" si="16"/>
        <v>120</v>
      </c>
      <c r="E87" s="196">
        <f t="shared" si="17"/>
        <v>10</v>
      </c>
      <c r="F87" s="126">
        <f t="shared" si="18"/>
        <v>1</v>
      </c>
      <c r="G87" s="118">
        <f t="shared" si="19"/>
        <v>1200</v>
      </c>
      <c r="H87" s="119">
        <f t="shared" si="20"/>
        <v>1200</v>
      </c>
    </row>
    <row r="88" spans="1:10" ht="14.25" customHeight="1" x14ac:dyDescent="0.3">
      <c r="A88" s="269" t="s">
        <v>13</v>
      </c>
      <c r="B88" s="322" t="str">
        <f t="shared" si="16"/>
        <v>Garlic - ثوم مقشر</v>
      </c>
      <c r="C88" s="322" t="str">
        <f t="shared" si="16"/>
        <v>gm</v>
      </c>
      <c r="D88" s="322">
        <f t="shared" si="16"/>
        <v>10</v>
      </c>
      <c r="E88" s="196">
        <f t="shared" si="17"/>
        <v>10</v>
      </c>
      <c r="F88" s="126">
        <f t="shared" si="18"/>
        <v>0.65</v>
      </c>
      <c r="G88" s="118">
        <f t="shared" si="19"/>
        <v>100</v>
      </c>
      <c r="H88" s="119">
        <f t="shared" si="20"/>
        <v>65</v>
      </c>
    </row>
    <row r="89" spans="1:10" ht="14.25" customHeight="1" x14ac:dyDescent="0.3">
      <c r="A89" s="269" t="s">
        <v>13</v>
      </c>
      <c r="B89" s="322" t="str">
        <f t="shared" si="16"/>
        <v>Green Bell Pepper - فلفل أخضر رومى</v>
      </c>
      <c r="C89" s="322" t="str">
        <f t="shared" si="16"/>
        <v>gm</v>
      </c>
      <c r="D89" s="322">
        <f t="shared" si="16"/>
        <v>50</v>
      </c>
      <c r="E89" s="196">
        <f t="shared" si="17"/>
        <v>10</v>
      </c>
      <c r="F89" s="126">
        <f t="shared" si="18"/>
        <v>0.75</v>
      </c>
      <c r="G89" s="118">
        <f t="shared" si="19"/>
        <v>500</v>
      </c>
      <c r="H89" s="119">
        <f t="shared" si="20"/>
        <v>375</v>
      </c>
    </row>
    <row r="90" spans="1:10" ht="14.25" customHeight="1" x14ac:dyDescent="0.3">
      <c r="A90" s="269" t="s">
        <v>95</v>
      </c>
      <c r="B90" s="322" t="str">
        <f t="shared" si="16"/>
        <v>Cumin Powder - كمون مطحون</v>
      </c>
      <c r="C90" s="322" t="str">
        <f t="shared" si="16"/>
        <v>gm</v>
      </c>
      <c r="D90" s="322">
        <f t="shared" si="16"/>
        <v>20</v>
      </c>
      <c r="E90" s="196">
        <f t="shared" si="17"/>
        <v>10</v>
      </c>
      <c r="F90" s="126">
        <f t="shared" si="18"/>
        <v>0.7</v>
      </c>
      <c r="G90" s="118">
        <f t="shared" si="19"/>
        <v>200</v>
      </c>
      <c r="H90" s="119">
        <f t="shared" si="20"/>
        <v>140</v>
      </c>
    </row>
    <row r="91" spans="1:10" ht="12" customHeight="1" x14ac:dyDescent="0.4">
      <c r="A91" s="269" t="s">
        <v>95</v>
      </c>
      <c r="B91" s="322" t="str">
        <f t="shared" si="16"/>
        <v>Maggi Cubes - مكعبات ماجي</v>
      </c>
      <c r="C91" s="322" t="str">
        <f t="shared" si="16"/>
        <v>gm</v>
      </c>
      <c r="D91" s="322">
        <f t="shared" si="16"/>
        <v>20</v>
      </c>
      <c r="E91" s="196">
        <f t="shared" si="17"/>
        <v>10</v>
      </c>
      <c r="F91" s="126">
        <f t="shared" si="18"/>
        <v>0.65</v>
      </c>
      <c r="G91" s="118">
        <f t="shared" si="19"/>
        <v>200</v>
      </c>
      <c r="H91" s="119">
        <f t="shared" si="20"/>
        <v>130</v>
      </c>
      <c r="I91" s="203"/>
      <c r="J91" s="202"/>
    </row>
    <row r="92" spans="1:10" ht="14.25" customHeight="1" x14ac:dyDescent="0.3">
      <c r="A92" s="269" t="s">
        <v>95</v>
      </c>
      <c r="B92" s="322" t="str">
        <f t="shared" si="16"/>
        <v>Cardamom Whole - هيل حب</v>
      </c>
      <c r="C92" s="322" t="str">
        <f t="shared" si="16"/>
        <v>gm</v>
      </c>
      <c r="D92" s="322">
        <f t="shared" si="16"/>
        <v>10</v>
      </c>
      <c r="E92" s="196">
        <f t="shared" si="17"/>
        <v>10</v>
      </c>
      <c r="F92" s="126">
        <f t="shared" si="18"/>
        <v>0.25</v>
      </c>
      <c r="G92" s="118">
        <f t="shared" si="19"/>
        <v>100</v>
      </c>
      <c r="H92" s="119">
        <f t="shared" si="20"/>
        <v>25</v>
      </c>
    </row>
    <row r="93" spans="1:10" ht="14.25" customHeight="1" x14ac:dyDescent="0.3">
      <c r="A93" s="269" t="s">
        <v>95</v>
      </c>
      <c r="B93" s="322" t="str">
        <f t="shared" si="16"/>
        <v>Coriander Powder - كزبرة مطحونة</v>
      </c>
      <c r="C93" s="322" t="str">
        <f t="shared" si="16"/>
        <v>gm</v>
      </c>
      <c r="D93" s="322">
        <f t="shared" si="16"/>
        <v>20</v>
      </c>
      <c r="E93" s="196">
        <f t="shared" si="17"/>
        <v>10</v>
      </c>
      <c r="F93" s="126">
        <f t="shared" si="18"/>
        <v>0.7</v>
      </c>
      <c r="G93" s="118">
        <f t="shared" si="19"/>
        <v>200</v>
      </c>
      <c r="H93" s="119">
        <f t="shared" si="20"/>
        <v>140</v>
      </c>
    </row>
    <row r="94" spans="1:10" ht="14.25" customHeight="1" x14ac:dyDescent="0.3">
      <c r="A94" s="269" t="s">
        <v>154</v>
      </c>
      <c r="B94" s="322" t="str">
        <f t="shared" si="16"/>
        <v>Yogurt - زبادي</v>
      </c>
      <c r="C94" s="322" t="str">
        <f t="shared" si="16"/>
        <v>gm</v>
      </c>
      <c r="D94" s="322">
        <f t="shared" si="16"/>
        <v>150</v>
      </c>
      <c r="E94" s="196">
        <f t="shared" si="17"/>
        <v>10</v>
      </c>
      <c r="F94" s="126">
        <f t="shared" si="18"/>
        <v>0.85</v>
      </c>
      <c r="G94" s="118">
        <f t="shared" si="19"/>
        <v>1500</v>
      </c>
      <c r="H94" s="119">
        <f t="shared" si="20"/>
        <v>1275</v>
      </c>
    </row>
    <row r="95" spans="1:10" ht="14.25" customHeight="1" x14ac:dyDescent="0.3">
      <c r="A95" s="269" t="s">
        <v>192</v>
      </c>
      <c r="B95" s="322" t="str">
        <f t="shared" si="16"/>
        <v>Tomato Paste - صلصة طماطم</v>
      </c>
      <c r="C95" s="322" t="str">
        <f t="shared" si="16"/>
        <v>gm</v>
      </c>
      <c r="D95" s="322">
        <f t="shared" si="16"/>
        <v>70</v>
      </c>
      <c r="E95" s="196">
        <f t="shared" si="17"/>
        <v>10</v>
      </c>
      <c r="F95" s="126">
        <f t="shared" si="18"/>
        <v>0.8</v>
      </c>
      <c r="G95" s="118">
        <f t="shared" si="19"/>
        <v>700</v>
      </c>
      <c r="H95" s="119">
        <f t="shared" si="20"/>
        <v>560</v>
      </c>
    </row>
    <row r="96" spans="1:10" ht="14.25" customHeight="1" x14ac:dyDescent="0.3">
      <c r="A96" s="269" t="s">
        <v>95</v>
      </c>
      <c r="B96" s="322" t="str">
        <f t="shared" si="16"/>
        <v>Salt - ملح</v>
      </c>
      <c r="C96" s="322" t="str">
        <f t="shared" si="16"/>
        <v>gm</v>
      </c>
      <c r="D96" s="322">
        <f t="shared" si="16"/>
        <v>30</v>
      </c>
      <c r="E96" s="196">
        <f t="shared" si="17"/>
        <v>10</v>
      </c>
      <c r="F96" s="126">
        <f t="shared" si="18"/>
        <v>0.75</v>
      </c>
      <c r="G96" s="118">
        <f t="shared" si="19"/>
        <v>300</v>
      </c>
      <c r="H96" s="119">
        <f t="shared" si="20"/>
        <v>225</v>
      </c>
    </row>
    <row r="97" spans="1:8" ht="14.25" customHeight="1" x14ac:dyDescent="0.3">
      <c r="A97" s="269" t="s">
        <v>206</v>
      </c>
      <c r="B97" s="322" t="str">
        <f t="shared" si="16"/>
        <v>Water - ماء</v>
      </c>
      <c r="C97" s="322" t="str">
        <f t="shared" si="16"/>
        <v>ml</v>
      </c>
      <c r="D97" s="322">
        <f t="shared" si="16"/>
        <v>200</v>
      </c>
      <c r="E97" s="196">
        <f t="shared" si="17"/>
        <v>10</v>
      </c>
      <c r="F97" s="126">
        <f t="shared" si="18"/>
        <v>1</v>
      </c>
      <c r="G97" s="118">
        <f t="shared" si="19"/>
        <v>2000</v>
      </c>
      <c r="H97" s="119">
        <f t="shared" si="20"/>
        <v>2000</v>
      </c>
    </row>
    <row r="98" spans="1:8" ht="14.25" customHeight="1" x14ac:dyDescent="0.3">
      <c r="A98" s="269" t="s">
        <v>215</v>
      </c>
      <c r="B98" s="322" t="str">
        <f t="shared" si="16"/>
        <v>Saffron yellow color powder - لون صفار زعفران بودر</v>
      </c>
      <c r="C98" s="322" t="str">
        <f t="shared" si="16"/>
        <v>gm</v>
      </c>
      <c r="D98" s="322">
        <f t="shared" si="16"/>
        <v>1</v>
      </c>
      <c r="E98" s="196">
        <f t="shared" si="17"/>
        <v>10</v>
      </c>
      <c r="F98" s="126">
        <f t="shared" si="18"/>
        <v>0.3</v>
      </c>
      <c r="G98" s="118">
        <f t="shared" si="19"/>
        <v>10</v>
      </c>
      <c r="H98" s="119">
        <f t="shared" si="20"/>
        <v>3</v>
      </c>
    </row>
    <row r="99" spans="1:8" ht="20.25" customHeight="1" x14ac:dyDescent="0.3">
      <c r="A99" s="210"/>
      <c r="B99" s="197" t="s">
        <v>291</v>
      </c>
      <c r="C99" s="199" t="s">
        <v>277</v>
      </c>
      <c r="D99" s="14"/>
      <c r="E99" s="199" t="s">
        <v>292</v>
      </c>
      <c r="F99" s="14"/>
      <c r="G99" s="878" t="s">
        <v>268</v>
      </c>
      <c r="H99" s="878" t="s">
        <v>703</v>
      </c>
    </row>
    <row r="100" spans="1:8" ht="22.25" customHeight="1" x14ac:dyDescent="0.3">
      <c r="A100" s="210"/>
      <c r="B100" s="933">
        <f>$J$54</f>
        <v>10000</v>
      </c>
      <c r="C100" s="933">
        <f>E100+G100</f>
        <v>0</v>
      </c>
      <c r="D100" s="934"/>
      <c r="E100" s="933">
        <f>$H$54*$S$44</f>
        <v>0</v>
      </c>
      <c r="F100" s="935"/>
      <c r="G100" s="933">
        <f>$H$54*$T$44</f>
        <v>0</v>
      </c>
      <c r="H100" s="933">
        <f>B100+E100</f>
        <v>10000</v>
      </c>
    </row>
    <row r="101" spans="1:8" ht="14.25" customHeight="1" x14ac:dyDescent="0.3">
      <c r="B101" s="935"/>
      <c r="C101" s="934"/>
      <c r="D101" s="934"/>
      <c r="E101" s="935"/>
      <c r="F101" s="935"/>
      <c r="G101" s="934"/>
      <c r="H101" s="934"/>
    </row>
    <row r="102" spans="1:8" ht="14.25" customHeight="1" x14ac:dyDescent="0.3">
      <c r="B102" s="935"/>
      <c r="C102" s="934"/>
      <c r="D102" s="934"/>
      <c r="E102" s="935"/>
      <c r="F102" s="935"/>
      <c r="G102" s="934"/>
      <c r="H102" s="934"/>
    </row>
    <row r="103" spans="1:8" ht="14.25" customHeight="1" x14ac:dyDescent="0.3">
      <c r="B103" s="935"/>
      <c r="C103" s="934"/>
      <c r="D103" s="934"/>
      <c r="E103" s="935"/>
      <c r="F103" s="935"/>
      <c r="G103" s="934"/>
      <c r="H103" s="934"/>
    </row>
    <row r="104" spans="1:8" ht="17.75" customHeight="1" x14ac:dyDescent="0.3">
      <c r="A104" s="923"/>
      <c r="B104" s="1494" t="str">
        <f>"زربيان لحم  3 / " &amp; COUNTIF(H53:H57, "&gt;0")</f>
        <v>زربيان لحم  3 / 5</v>
      </c>
      <c r="C104" s="1495"/>
      <c r="D104" s="1495"/>
      <c r="E104" s="1495"/>
      <c r="F104" s="1495"/>
      <c r="G104" s="1495"/>
      <c r="H104" s="1495"/>
    </row>
    <row r="105" spans="1:8" ht="17.75" customHeight="1" x14ac:dyDescent="0.3">
      <c r="A105" s="923"/>
      <c r="B105" s="1496" t="str">
        <f>"Beef Zurbian  3 / " &amp; COUNTIF(H53:H57, "&gt;0")</f>
        <v>Beef Zurbian  3 / 5</v>
      </c>
      <c r="C105" s="1497"/>
      <c r="D105" s="1497"/>
      <c r="E105" s="1497"/>
      <c r="F105" s="1497"/>
      <c r="G105" s="1497"/>
      <c r="H105" s="1497"/>
    </row>
    <row r="106" spans="1:8" ht="53" customHeight="1" x14ac:dyDescent="0.3">
      <c r="A106" s="90"/>
      <c r="B106" s="937" t="s">
        <v>245</v>
      </c>
      <c r="C106" s="938" t="s">
        <v>246</v>
      </c>
      <c r="D106" s="937" t="s">
        <v>235</v>
      </c>
      <c r="E106" s="939" t="s">
        <v>238</v>
      </c>
      <c r="F106" s="940" t="s">
        <v>334</v>
      </c>
      <c r="G106" s="937" t="s">
        <v>248</v>
      </c>
      <c r="H106" s="939" t="s">
        <v>249</v>
      </c>
    </row>
    <row r="107" spans="1:8" ht="14.25" customHeight="1" x14ac:dyDescent="0.3">
      <c r="A107" s="218" t="s">
        <v>225</v>
      </c>
      <c r="B107" s="941" t="str">
        <f t="shared" ref="B107:D120" si="21">B5</f>
        <v>Indian Meat Alana  - لحم هندى ألانا</v>
      </c>
      <c r="C107" s="941" t="str">
        <f t="shared" si="21"/>
        <v>gm</v>
      </c>
      <c r="D107" s="941">
        <f t="shared" si="21"/>
        <v>1886.7924528301887</v>
      </c>
      <c r="E107" s="942">
        <f t="shared" ref="E107:E120" si="22">$H$55</f>
        <v>10</v>
      </c>
      <c r="F107" s="1401">
        <f t="shared" ref="F107:F120" si="23">F5</f>
        <v>1</v>
      </c>
      <c r="G107" s="941">
        <f t="shared" ref="G107:G120" si="24">D107*E107</f>
        <v>18867.924528301886</v>
      </c>
      <c r="H107" s="943">
        <f t="shared" ref="H107:H120" si="25">G107*F107</f>
        <v>18867.924528301886</v>
      </c>
    </row>
    <row r="108" spans="1:8" ht="14.25" customHeight="1" x14ac:dyDescent="0.3">
      <c r="A108" s="218" t="s">
        <v>13</v>
      </c>
      <c r="B108" s="941" t="str">
        <f t="shared" si="21"/>
        <v>Onion - بصل</v>
      </c>
      <c r="C108" s="941" t="str">
        <f t="shared" si="21"/>
        <v>gm</v>
      </c>
      <c r="D108" s="941">
        <f t="shared" si="21"/>
        <v>200</v>
      </c>
      <c r="E108" s="942">
        <f t="shared" si="22"/>
        <v>10</v>
      </c>
      <c r="F108" s="1401">
        <f t="shared" si="23"/>
        <v>1</v>
      </c>
      <c r="G108" s="941">
        <f t="shared" si="24"/>
        <v>2000</v>
      </c>
      <c r="H108" s="943">
        <f t="shared" si="25"/>
        <v>2000</v>
      </c>
    </row>
    <row r="109" spans="1:8" ht="14.25" customHeight="1" x14ac:dyDescent="0.3">
      <c r="A109" s="218" t="s">
        <v>13</v>
      </c>
      <c r="B109" s="941" t="str">
        <f t="shared" si="21"/>
        <v>Tomato - طماطم</v>
      </c>
      <c r="C109" s="941" t="str">
        <f t="shared" si="21"/>
        <v>gm</v>
      </c>
      <c r="D109" s="941">
        <f t="shared" si="21"/>
        <v>120</v>
      </c>
      <c r="E109" s="942">
        <f t="shared" si="22"/>
        <v>10</v>
      </c>
      <c r="F109" s="1401">
        <f t="shared" si="23"/>
        <v>1</v>
      </c>
      <c r="G109" s="941">
        <f t="shared" si="24"/>
        <v>1200</v>
      </c>
      <c r="H109" s="943">
        <f t="shared" si="25"/>
        <v>1200</v>
      </c>
    </row>
    <row r="110" spans="1:8" ht="14.25" customHeight="1" x14ac:dyDescent="0.3">
      <c r="A110" s="218" t="s">
        <v>13</v>
      </c>
      <c r="B110" s="941" t="str">
        <f t="shared" si="21"/>
        <v>Garlic - ثوم مقشر</v>
      </c>
      <c r="C110" s="941" t="str">
        <f t="shared" si="21"/>
        <v>gm</v>
      </c>
      <c r="D110" s="941">
        <f t="shared" si="21"/>
        <v>10</v>
      </c>
      <c r="E110" s="942">
        <f t="shared" si="22"/>
        <v>10</v>
      </c>
      <c r="F110" s="1401">
        <f t="shared" si="23"/>
        <v>0.65</v>
      </c>
      <c r="G110" s="941">
        <f t="shared" si="24"/>
        <v>100</v>
      </c>
      <c r="H110" s="943">
        <f t="shared" si="25"/>
        <v>65</v>
      </c>
    </row>
    <row r="111" spans="1:8" ht="14.25" customHeight="1" x14ac:dyDescent="0.3">
      <c r="A111" s="218" t="s">
        <v>13</v>
      </c>
      <c r="B111" s="941" t="str">
        <f t="shared" si="21"/>
        <v>Green Bell Pepper - فلفل أخضر رومى</v>
      </c>
      <c r="C111" s="941" t="str">
        <f t="shared" si="21"/>
        <v>gm</v>
      </c>
      <c r="D111" s="941">
        <f t="shared" si="21"/>
        <v>50</v>
      </c>
      <c r="E111" s="942">
        <f t="shared" si="22"/>
        <v>10</v>
      </c>
      <c r="F111" s="1401">
        <f t="shared" si="23"/>
        <v>0.75</v>
      </c>
      <c r="G111" s="941">
        <f t="shared" si="24"/>
        <v>500</v>
      </c>
      <c r="H111" s="943">
        <f t="shared" si="25"/>
        <v>375</v>
      </c>
    </row>
    <row r="112" spans="1:8" ht="14.25" customHeight="1" x14ac:dyDescent="0.3">
      <c r="A112" s="218" t="s">
        <v>95</v>
      </c>
      <c r="B112" s="941" t="str">
        <f t="shared" si="21"/>
        <v>Cumin Powder - كمون مطحون</v>
      </c>
      <c r="C112" s="941" t="str">
        <f t="shared" si="21"/>
        <v>gm</v>
      </c>
      <c r="D112" s="941">
        <f t="shared" si="21"/>
        <v>20</v>
      </c>
      <c r="E112" s="942">
        <f t="shared" si="22"/>
        <v>10</v>
      </c>
      <c r="F112" s="1401">
        <f t="shared" si="23"/>
        <v>0.7</v>
      </c>
      <c r="G112" s="941">
        <f t="shared" si="24"/>
        <v>200</v>
      </c>
      <c r="H112" s="943">
        <f t="shared" si="25"/>
        <v>140</v>
      </c>
    </row>
    <row r="113" spans="1:8" ht="14.25" customHeight="1" x14ac:dyDescent="0.3">
      <c r="A113" s="218" t="s">
        <v>95</v>
      </c>
      <c r="B113" s="941" t="str">
        <f t="shared" si="21"/>
        <v>Maggi Cubes - مكعبات ماجي</v>
      </c>
      <c r="C113" s="941" t="str">
        <f t="shared" si="21"/>
        <v>gm</v>
      </c>
      <c r="D113" s="941">
        <f t="shared" si="21"/>
        <v>20</v>
      </c>
      <c r="E113" s="942">
        <f t="shared" si="22"/>
        <v>10</v>
      </c>
      <c r="F113" s="1401">
        <f t="shared" si="23"/>
        <v>0.65</v>
      </c>
      <c r="G113" s="941">
        <f t="shared" si="24"/>
        <v>200</v>
      </c>
      <c r="H113" s="943">
        <f t="shared" si="25"/>
        <v>130</v>
      </c>
    </row>
    <row r="114" spans="1:8" ht="14.25" customHeight="1" x14ac:dyDescent="0.3">
      <c r="A114" s="218" t="s">
        <v>95</v>
      </c>
      <c r="B114" s="941" t="str">
        <f t="shared" si="21"/>
        <v>Cardamom Whole - هيل حب</v>
      </c>
      <c r="C114" s="941" t="str">
        <f t="shared" si="21"/>
        <v>gm</v>
      </c>
      <c r="D114" s="941">
        <f t="shared" si="21"/>
        <v>10</v>
      </c>
      <c r="E114" s="942">
        <f t="shared" si="22"/>
        <v>10</v>
      </c>
      <c r="F114" s="1401">
        <f t="shared" si="23"/>
        <v>0.25</v>
      </c>
      <c r="G114" s="941">
        <f t="shared" si="24"/>
        <v>100</v>
      </c>
      <c r="H114" s="943">
        <f t="shared" si="25"/>
        <v>25</v>
      </c>
    </row>
    <row r="115" spans="1:8" ht="14.25" customHeight="1" x14ac:dyDescent="0.3">
      <c r="A115" s="218" t="s">
        <v>95</v>
      </c>
      <c r="B115" s="941" t="str">
        <f t="shared" si="21"/>
        <v>Coriander Powder - كزبرة مطحونة</v>
      </c>
      <c r="C115" s="941" t="str">
        <f t="shared" si="21"/>
        <v>gm</v>
      </c>
      <c r="D115" s="941">
        <f t="shared" si="21"/>
        <v>20</v>
      </c>
      <c r="E115" s="942">
        <f t="shared" si="22"/>
        <v>10</v>
      </c>
      <c r="F115" s="1401">
        <f t="shared" si="23"/>
        <v>0.7</v>
      </c>
      <c r="G115" s="941">
        <f t="shared" si="24"/>
        <v>200</v>
      </c>
      <c r="H115" s="943">
        <f t="shared" si="25"/>
        <v>140</v>
      </c>
    </row>
    <row r="116" spans="1:8" ht="14.25" customHeight="1" x14ac:dyDescent="0.3">
      <c r="A116" s="218" t="s">
        <v>154</v>
      </c>
      <c r="B116" s="941" t="str">
        <f t="shared" si="21"/>
        <v>Yogurt - زبادي</v>
      </c>
      <c r="C116" s="941" t="str">
        <f t="shared" si="21"/>
        <v>gm</v>
      </c>
      <c r="D116" s="941">
        <f t="shared" si="21"/>
        <v>150</v>
      </c>
      <c r="E116" s="942">
        <f t="shared" si="22"/>
        <v>10</v>
      </c>
      <c r="F116" s="1401">
        <f t="shared" si="23"/>
        <v>0.85</v>
      </c>
      <c r="G116" s="941">
        <f t="shared" si="24"/>
        <v>1500</v>
      </c>
      <c r="H116" s="943">
        <f t="shared" si="25"/>
        <v>1275</v>
      </c>
    </row>
    <row r="117" spans="1:8" ht="14.25" customHeight="1" x14ac:dyDescent="0.3">
      <c r="A117" s="218" t="s">
        <v>192</v>
      </c>
      <c r="B117" s="941" t="str">
        <f t="shared" si="21"/>
        <v>Tomato Paste - صلصة طماطم</v>
      </c>
      <c r="C117" s="941" t="str">
        <f t="shared" si="21"/>
        <v>gm</v>
      </c>
      <c r="D117" s="941">
        <f t="shared" si="21"/>
        <v>70</v>
      </c>
      <c r="E117" s="942">
        <f t="shared" si="22"/>
        <v>10</v>
      </c>
      <c r="F117" s="1401">
        <f t="shared" si="23"/>
        <v>0.8</v>
      </c>
      <c r="G117" s="941">
        <f t="shared" si="24"/>
        <v>700</v>
      </c>
      <c r="H117" s="943">
        <f t="shared" si="25"/>
        <v>560</v>
      </c>
    </row>
    <row r="118" spans="1:8" ht="14.25" customHeight="1" x14ac:dyDescent="0.3">
      <c r="A118" s="218" t="s">
        <v>95</v>
      </c>
      <c r="B118" s="941" t="str">
        <f t="shared" si="21"/>
        <v>Salt - ملح</v>
      </c>
      <c r="C118" s="941" t="str">
        <f t="shared" si="21"/>
        <v>gm</v>
      </c>
      <c r="D118" s="941">
        <f t="shared" si="21"/>
        <v>30</v>
      </c>
      <c r="E118" s="942">
        <f t="shared" si="22"/>
        <v>10</v>
      </c>
      <c r="F118" s="1401">
        <f t="shared" si="23"/>
        <v>0.75</v>
      </c>
      <c r="G118" s="941">
        <f t="shared" si="24"/>
        <v>300</v>
      </c>
      <c r="H118" s="943">
        <f t="shared" si="25"/>
        <v>225</v>
      </c>
    </row>
    <row r="119" spans="1:8" ht="14.25" customHeight="1" x14ac:dyDescent="0.3">
      <c r="A119" s="218" t="s">
        <v>206</v>
      </c>
      <c r="B119" s="941" t="str">
        <f t="shared" si="21"/>
        <v>Water - ماء</v>
      </c>
      <c r="C119" s="941" t="str">
        <f t="shared" si="21"/>
        <v>ml</v>
      </c>
      <c r="D119" s="941">
        <f t="shared" si="21"/>
        <v>200</v>
      </c>
      <c r="E119" s="942">
        <f t="shared" si="22"/>
        <v>10</v>
      </c>
      <c r="F119" s="1401">
        <f t="shared" si="23"/>
        <v>1</v>
      </c>
      <c r="G119" s="941">
        <f t="shared" si="24"/>
        <v>2000</v>
      </c>
      <c r="H119" s="943">
        <f t="shared" si="25"/>
        <v>2000</v>
      </c>
    </row>
    <row r="120" spans="1:8" ht="25" x14ac:dyDescent="0.3">
      <c r="A120" s="218" t="s">
        <v>215</v>
      </c>
      <c r="B120" s="941" t="str">
        <f t="shared" si="21"/>
        <v>Saffron yellow color powder - لون صفار زعفران بودر</v>
      </c>
      <c r="C120" s="941" t="str">
        <f t="shared" si="21"/>
        <v>gm</v>
      </c>
      <c r="D120" s="941">
        <f t="shared" si="21"/>
        <v>1</v>
      </c>
      <c r="E120" s="942">
        <f t="shared" si="22"/>
        <v>10</v>
      </c>
      <c r="F120" s="1401">
        <f t="shared" si="23"/>
        <v>0.3</v>
      </c>
      <c r="G120" s="941">
        <f t="shared" si="24"/>
        <v>10</v>
      </c>
      <c r="H120" s="943">
        <f t="shared" si="25"/>
        <v>3</v>
      </c>
    </row>
    <row r="121" spans="1:8" ht="20.25" customHeight="1" x14ac:dyDescent="0.3">
      <c r="A121" s="78"/>
      <c r="B121" s="944" t="s">
        <v>291</v>
      </c>
      <c r="C121" s="945" t="s">
        <v>277</v>
      </c>
      <c r="D121" s="936"/>
      <c r="E121" s="945" t="s">
        <v>292</v>
      </c>
      <c r="F121" s="936"/>
      <c r="G121" s="946" t="s">
        <v>268</v>
      </c>
      <c r="H121" s="946" t="s">
        <v>703</v>
      </c>
    </row>
    <row r="122" spans="1:8" ht="20" x14ac:dyDescent="0.3">
      <c r="A122" s="78"/>
      <c r="B122" s="933">
        <f>$J$55</f>
        <v>10000</v>
      </c>
      <c r="C122" s="933">
        <f>E122+G122</f>
        <v>0</v>
      </c>
      <c r="D122" s="936"/>
      <c r="E122" s="933">
        <f>$H$55*$S$44</f>
        <v>0</v>
      </c>
      <c r="F122" s="936"/>
      <c r="G122" s="933">
        <f>$H$55*$T$44</f>
        <v>0</v>
      </c>
      <c r="H122" s="933">
        <f>B122+E122</f>
        <v>10000</v>
      </c>
    </row>
    <row r="123" spans="1:8" x14ac:dyDescent="0.3">
      <c r="B123" s="934"/>
      <c r="C123" s="934"/>
      <c r="D123" s="934"/>
      <c r="E123" s="934"/>
      <c r="F123" s="934"/>
      <c r="G123" s="934"/>
      <c r="H123" s="934"/>
    </row>
    <row r="124" spans="1:8" x14ac:dyDescent="0.3">
      <c r="A124" s="923"/>
      <c r="B124" s="1494" t="str">
        <f>"زربيان لحم  4 / " &amp; COUNTIF(H53:H57, "&gt;0")</f>
        <v>زربيان لحم  4 / 5</v>
      </c>
      <c r="C124" s="1495"/>
      <c r="D124" s="1495"/>
      <c r="E124" s="1495"/>
      <c r="F124" s="1495"/>
      <c r="G124" s="1495"/>
      <c r="H124" s="1495"/>
    </row>
    <row r="125" spans="1:8" x14ac:dyDescent="0.3">
      <c r="A125" s="923"/>
      <c r="B125" s="1496" t="str">
        <f>"Beef Zurbian  4 / " &amp; COUNTIF(H53:H57, "&gt;0")</f>
        <v>Beef Zurbian  4 / 5</v>
      </c>
      <c r="C125" s="1497"/>
      <c r="D125" s="1497"/>
      <c r="E125" s="1497"/>
      <c r="F125" s="1497"/>
      <c r="G125" s="1497"/>
      <c r="H125" s="1497"/>
    </row>
    <row r="126" spans="1:8" ht="41" customHeight="1" x14ac:dyDescent="0.3">
      <c r="A126" s="90"/>
      <c r="B126" s="937" t="s">
        <v>245</v>
      </c>
      <c r="C126" s="938" t="s">
        <v>246</v>
      </c>
      <c r="D126" s="937" t="s">
        <v>235</v>
      </c>
      <c r="E126" s="939" t="s">
        <v>238</v>
      </c>
      <c r="F126" s="940" t="s">
        <v>334</v>
      </c>
      <c r="G126" s="937" t="s">
        <v>248</v>
      </c>
      <c r="H126" s="939" t="s">
        <v>249</v>
      </c>
    </row>
    <row r="127" spans="1:8" x14ac:dyDescent="0.3">
      <c r="A127" s="218" t="s">
        <v>225</v>
      </c>
      <c r="B127" s="941" t="str">
        <f t="shared" ref="B127:D140" si="26">B5</f>
        <v>Indian Meat Alana  - لحم هندى ألانا</v>
      </c>
      <c r="C127" s="941" t="str">
        <f t="shared" si="26"/>
        <v>gm</v>
      </c>
      <c r="D127" s="941">
        <f t="shared" si="26"/>
        <v>1886.7924528301887</v>
      </c>
      <c r="E127" s="942">
        <f t="shared" ref="E127:E140" si="27">$H$56</f>
        <v>10</v>
      </c>
      <c r="F127" s="1401">
        <f>F5</f>
        <v>1</v>
      </c>
      <c r="G127" s="941">
        <f t="shared" ref="G127:G140" si="28">D127*E127</f>
        <v>18867.924528301886</v>
      </c>
      <c r="H127" s="943">
        <f t="shared" ref="H127:H140" si="29">G127*F127</f>
        <v>18867.924528301886</v>
      </c>
    </row>
    <row r="128" spans="1:8" x14ac:dyDescent="0.3">
      <c r="A128" s="218" t="s">
        <v>13</v>
      </c>
      <c r="B128" s="941" t="str">
        <f t="shared" si="26"/>
        <v>Onion - بصل</v>
      </c>
      <c r="C128" s="941" t="str">
        <f t="shared" si="26"/>
        <v>gm</v>
      </c>
      <c r="D128" s="941">
        <f t="shared" si="26"/>
        <v>200</v>
      </c>
      <c r="E128" s="942">
        <f t="shared" si="27"/>
        <v>10</v>
      </c>
      <c r="F128" s="1401">
        <f t="shared" ref="F128:F140" si="30">F6</f>
        <v>1</v>
      </c>
      <c r="G128" s="941">
        <f t="shared" si="28"/>
        <v>2000</v>
      </c>
      <c r="H128" s="943">
        <f t="shared" si="29"/>
        <v>2000</v>
      </c>
    </row>
    <row r="129" spans="1:8" x14ac:dyDescent="0.3">
      <c r="A129" s="218" t="s">
        <v>13</v>
      </c>
      <c r="B129" s="941" t="str">
        <f t="shared" si="26"/>
        <v>Tomato - طماطم</v>
      </c>
      <c r="C129" s="941" t="str">
        <f t="shared" si="26"/>
        <v>gm</v>
      </c>
      <c r="D129" s="941">
        <f t="shared" si="26"/>
        <v>120</v>
      </c>
      <c r="E129" s="942">
        <f t="shared" si="27"/>
        <v>10</v>
      </c>
      <c r="F129" s="1401">
        <f t="shared" si="30"/>
        <v>1</v>
      </c>
      <c r="G129" s="941">
        <f t="shared" si="28"/>
        <v>1200</v>
      </c>
      <c r="H129" s="943">
        <f t="shared" si="29"/>
        <v>1200</v>
      </c>
    </row>
    <row r="130" spans="1:8" x14ac:dyDescent="0.3">
      <c r="A130" s="218" t="s">
        <v>13</v>
      </c>
      <c r="B130" s="941" t="str">
        <f t="shared" si="26"/>
        <v>Garlic - ثوم مقشر</v>
      </c>
      <c r="C130" s="941" t="str">
        <f t="shared" si="26"/>
        <v>gm</v>
      </c>
      <c r="D130" s="941">
        <f t="shared" si="26"/>
        <v>10</v>
      </c>
      <c r="E130" s="942">
        <f t="shared" si="27"/>
        <v>10</v>
      </c>
      <c r="F130" s="1401">
        <f t="shared" si="30"/>
        <v>0.65</v>
      </c>
      <c r="G130" s="941">
        <f t="shared" si="28"/>
        <v>100</v>
      </c>
      <c r="H130" s="943">
        <f t="shared" si="29"/>
        <v>65</v>
      </c>
    </row>
    <row r="131" spans="1:8" x14ac:dyDescent="0.3">
      <c r="A131" s="218" t="s">
        <v>13</v>
      </c>
      <c r="B131" s="941" t="str">
        <f t="shared" si="26"/>
        <v>Green Bell Pepper - فلفل أخضر رومى</v>
      </c>
      <c r="C131" s="941" t="str">
        <f t="shared" si="26"/>
        <v>gm</v>
      </c>
      <c r="D131" s="941">
        <f t="shared" si="26"/>
        <v>50</v>
      </c>
      <c r="E131" s="942">
        <f t="shared" si="27"/>
        <v>10</v>
      </c>
      <c r="F131" s="1401">
        <f t="shared" si="30"/>
        <v>0.75</v>
      </c>
      <c r="G131" s="941">
        <f t="shared" si="28"/>
        <v>500</v>
      </c>
      <c r="H131" s="943">
        <f t="shared" si="29"/>
        <v>375</v>
      </c>
    </row>
    <row r="132" spans="1:8" x14ac:dyDescent="0.3">
      <c r="A132" s="218" t="s">
        <v>95</v>
      </c>
      <c r="B132" s="941" t="str">
        <f t="shared" si="26"/>
        <v>Cumin Powder - كمون مطحون</v>
      </c>
      <c r="C132" s="941" t="str">
        <f t="shared" si="26"/>
        <v>gm</v>
      </c>
      <c r="D132" s="941">
        <f t="shared" si="26"/>
        <v>20</v>
      </c>
      <c r="E132" s="942">
        <f t="shared" si="27"/>
        <v>10</v>
      </c>
      <c r="F132" s="1401">
        <f t="shared" si="30"/>
        <v>0.7</v>
      </c>
      <c r="G132" s="941">
        <f t="shared" si="28"/>
        <v>200</v>
      </c>
      <c r="H132" s="943">
        <f t="shared" si="29"/>
        <v>140</v>
      </c>
    </row>
    <row r="133" spans="1:8" x14ac:dyDescent="0.3">
      <c r="A133" s="218" t="s">
        <v>95</v>
      </c>
      <c r="B133" s="941" t="str">
        <f t="shared" si="26"/>
        <v>Maggi Cubes - مكعبات ماجي</v>
      </c>
      <c r="C133" s="941" t="str">
        <f t="shared" si="26"/>
        <v>gm</v>
      </c>
      <c r="D133" s="941">
        <f t="shared" si="26"/>
        <v>20</v>
      </c>
      <c r="E133" s="942">
        <f t="shared" si="27"/>
        <v>10</v>
      </c>
      <c r="F133" s="1401">
        <f t="shared" si="30"/>
        <v>0.65</v>
      </c>
      <c r="G133" s="941">
        <f t="shared" si="28"/>
        <v>200</v>
      </c>
      <c r="H133" s="943">
        <f t="shared" si="29"/>
        <v>130</v>
      </c>
    </row>
    <row r="134" spans="1:8" x14ac:dyDescent="0.3">
      <c r="A134" s="218" t="s">
        <v>95</v>
      </c>
      <c r="B134" s="941" t="str">
        <f t="shared" si="26"/>
        <v>Cardamom Whole - هيل حب</v>
      </c>
      <c r="C134" s="941" t="str">
        <f t="shared" si="26"/>
        <v>gm</v>
      </c>
      <c r="D134" s="941">
        <f t="shared" si="26"/>
        <v>10</v>
      </c>
      <c r="E134" s="942">
        <f t="shared" si="27"/>
        <v>10</v>
      </c>
      <c r="F134" s="1401">
        <f t="shared" si="30"/>
        <v>0.25</v>
      </c>
      <c r="G134" s="941">
        <f t="shared" si="28"/>
        <v>100</v>
      </c>
      <c r="H134" s="943">
        <f t="shared" si="29"/>
        <v>25</v>
      </c>
    </row>
    <row r="135" spans="1:8" x14ac:dyDescent="0.3">
      <c r="A135" s="218" t="s">
        <v>95</v>
      </c>
      <c r="B135" s="941" t="str">
        <f t="shared" si="26"/>
        <v>Coriander Powder - كزبرة مطحونة</v>
      </c>
      <c r="C135" s="941" t="str">
        <f t="shared" si="26"/>
        <v>gm</v>
      </c>
      <c r="D135" s="941">
        <f t="shared" si="26"/>
        <v>20</v>
      </c>
      <c r="E135" s="942">
        <f t="shared" si="27"/>
        <v>10</v>
      </c>
      <c r="F135" s="1401">
        <f t="shared" si="30"/>
        <v>0.7</v>
      </c>
      <c r="G135" s="941">
        <f t="shared" si="28"/>
        <v>200</v>
      </c>
      <c r="H135" s="943">
        <f t="shared" si="29"/>
        <v>140</v>
      </c>
    </row>
    <row r="136" spans="1:8" x14ac:dyDescent="0.3">
      <c r="A136" s="218" t="s">
        <v>154</v>
      </c>
      <c r="B136" s="941" t="str">
        <f t="shared" si="26"/>
        <v>Yogurt - زبادي</v>
      </c>
      <c r="C136" s="941" t="str">
        <f t="shared" si="26"/>
        <v>gm</v>
      </c>
      <c r="D136" s="941">
        <f t="shared" si="26"/>
        <v>150</v>
      </c>
      <c r="E136" s="942">
        <f t="shared" si="27"/>
        <v>10</v>
      </c>
      <c r="F136" s="1401">
        <f t="shared" si="30"/>
        <v>0.85</v>
      </c>
      <c r="G136" s="941">
        <f t="shared" si="28"/>
        <v>1500</v>
      </c>
      <c r="H136" s="943">
        <f t="shared" si="29"/>
        <v>1275</v>
      </c>
    </row>
    <row r="137" spans="1:8" x14ac:dyDescent="0.3">
      <c r="A137" s="218" t="s">
        <v>192</v>
      </c>
      <c r="B137" s="941" t="str">
        <f t="shared" si="26"/>
        <v>Tomato Paste - صلصة طماطم</v>
      </c>
      <c r="C137" s="941" t="str">
        <f t="shared" si="26"/>
        <v>gm</v>
      </c>
      <c r="D137" s="941">
        <f t="shared" si="26"/>
        <v>70</v>
      </c>
      <c r="E137" s="942">
        <f t="shared" si="27"/>
        <v>10</v>
      </c>
      <c r="F137" s="1401">
        <f t="shared" si="30"/>
        <v>0.8</v>
      </c>
      <c r="G137" s="941">
        <f t="shared" si="28"/>
        <v>700</v>
      </c>
      <c r="H137" s="943">
        <f t="shared" si="29"/>
        <v>560</v>
      </c>
    </row>
    <row r="138" spans="1:8" x14ac:dyDescent="0.3">
      <c r="A138" s="218" t="s">
        <v>95</v>
      </c>
      <c r="B138" s="941" t="str">
        <f t="shared" si="26"/>
        <v>Salt - ملح</v>
      </c>
      <c r="C138" s="941" t="str">
        <f t="shared" si="26"/>
        <v>gm</v>
      </c>
      <c r="D138" s="941">
        <f t="shared" si="26"/>
        <v>30</v>
      </c>
      <c r="E138" s="942">
        <f t="shared" si="27"/>
        <v>10</v>
      </c>
      <c r="F138" s="1401">
        <f t="shared" si="30"/>
        <v>0.75</v>
      </c>
      <c r="G138" s="941">
        <f t="shared" si="28"/>
        <v>300</v>
      </c>
      <c r="H138" s="943">
        <f t="shared" si="29"/>
        <v>225</v>
      </c>
    </row>
    <row r="139" spans="1:8" x14ac:dyDescent="0.3">
      <c r="A139" s="218" t="s">
        <v>206</v>
      </c>
      <c r="B139" s="941" t="str">
        <f t="shared" si="26"/>
        <v>Water - ماء</v>
      </c>
      <c r="C139" s="941" t="str">
        <f t="shared" si="26"/>
        <v>ml</v>
      </c>
      <c r="D139" s="941">
        <f t="shared" si="26"/>
        <v>200</v>
      </c>
      <c r="E139" s="942">
        <f t="shared" si="27"/>
        <v>10</v>
      </c>
      <c r="F139" s="1401">
        <f t="shared" si="30"/>
        <v>1</v>
      </c>
      <c r="G139" s="941">
        <f t="shared" si="28"/>
        <v>2000</v>
      </c>
      <c r="H139" s="943">
        <f t="shared" si="29"/>
        <v>2000</v>
      </c>
    </row>
    <row r="140" spans="1:8" ht="25" x14ac:dyDescent="0.3">
      <c r="A140" s="218" t="s">
        <v>215</v>
      </c>
      <c r="B140" s="941" t="str">
        <f t="shared" si="26"/>
        <v>Saffron yellow color powder - لون صفار زعفران بودر</v>
      </c>
      <c r="C140" s="941" t="str">
        <f t="shared" si="26"/>
        <v>gm</v>
      </c>
      <c r="D140" s="941">
        <f t="shared" si="26"/>
        <v>1</v>
      </c>
      <c r="E140" s="942">
        <f t="shared" si="27"/>
        <v>10</v>
      </c>
      <c r="F140" s="1401">
        <f t="shared" si="30"/>
        <v>0.3</v>
      </c>
      <c r="G140" s="941">
        <f t="shared" si="28"/>
        <v>10</v>
      </c>
      <c r="H140" s="943">
        <f t="shared" si="29"/>
        <v>3</v>
      </c>
    </row>
    <row r="141" spans="1:8" ht="18" x14ac:dyDescent="0.3">
      <c r="A141" s="78"/>
      <c r="B141" s="944" t="s">
        <v>291</v>
      </c>
      <c r="C141" s="945" t="s">
        <v>277</v>
      </c>
      <c r="D141" s="936"/>
      <c r="E141" s="945" t="s">
        <v>292</v>
      </c>
      <c r="F141" s="936"/>
      <c r="G141" s="946" t="s">
        <v>268</v>
      </c>
      <c r="H141" s="946" t="s">
        <v>703</v>
      </c>
    </row>
    <row r="142" spans="1:8" ht="20" x14ac:dyDescent="0.3">
      <c r="A142" s="78"/>
      <c r="B142" s="933">
        <f>$J$56</f>
        <v>10000</v>
      </c>
      <c r="C142" s="933">
        <f>E142+G142</f>
        <v>0</v>
      </c>
      <c r="D142" s="936"/>
      <c r="E142" s="933">
        <f>$H$56*$S$44</f>
        <v>0</v>
      </c>
      <c r="F142" s="936"/>
      <c r="G142" s="933">
        <f>$H$56*$T$44</f>
        <v>0</v>
      </c>
      <c r="H142" s="933">
        <f>B142+E142</f>
        <v>10000</v>
      </c>
    </row>
    <row r="143" spans="1:8" x14ac:dyDescent="0.3">
      <c r="B143" s="934"/>
      <c r="C143" s="934"/>
      <c r="D143" s="934"/>
      <c r="E143" s="934"/>
      <c r="F143" s="934"/>
      <c r="G143" s="934"/>
      <c r="H143" s="934"/>
    </row>
    <row r="144" spans="1:8" x14ac:dyDescent="0.3">
      <c r="A144" s="923"/>
      <c r="B144" s="1494" t="str">
        <f>"زربيان لحم  5 / " &amp; COUNTIF($H$53:$H$57, "&gt;0")</f>
        <v>زربيان لحم  5 / 5</v>
      </c>
      <c r="C144" s="1495"/>
      <c r="D144" s="1495"/>
      <c r="E144" s="1495"/>
      <c r="F144" s="1495"/>
      <c r="G144" s="1495"/>
      <c r="H144" s="1495"/>
    </row>
    <row r="145" spans="1:8" x14ac:dyDescent="0.3">
      <c r="A145" s="923"/>
      <c r="B145" s="1496" t="str">
        <f>"Beef Zurbian 5 / " &amp; COUNTIF($H$53:$H$57, "&gt;0")</f>
        <v>Beef Zurbian 5 / 5</v>
      </c>
      <c r="C145" s="1497"/>
      <c r="D145" s="1497"/>
      <c r="E145" s="1497"/>
      <c r="F145" s="1497"/>
      <c r="G145" s="1497"/>
      <c r="H145" s="1497"/>
    </row>
    <row r="146" spans="1:8" ht="42.5" customHeight="1" x14ac:dyDescent="0.3">
      <c r="A146" s="90"/>
      <c r="B146" s="937" t="s">
        <v>245</v>
      </c>
      <c r="C146" s="938" t="s">
        <v>246</v>
      </c>
      <c r="D146" s="937" t="s">
        <v>235</v>
      </c>
      <c r="E146" s="939" t="s">
        <v>238</v>
      </c>
      <c r="F146" s="940" t="s">
        <v>334</v>
      </c>
      <c r="G146" s="937" t="s">
        <v>248</v>
      </c>
      <c r="H146" s="939" t="s">
        <v>249</v>
      </c>
    </row>
    <row r="147" spans="1:8" x14ac:dyDescent="0.3">
      <c r="A147" s="218" t="s">
        <v>225</v>
      </c>
      <c r="B147" s="941" t="str">
        <f t="shared" ref="B147:D158" si="31">B5</f>
        <v>Indian Meat Alana  - لحم هندى ألانا</v>
      </c>
      <c r="C147" s="941" t="str">
        <f t="shared" si="31"/>
        <v>gm</v>
      </c>
      <c r="D147" s="941">
        <f t="shared" si="31"/>
        <v>1886.7924528301887</v>
      </c>
      <c r="E147" s="942">
        <f t="shared" ref="E147:E160" si="32">$H$57</f>
        <v>6.57</v>
      </c>
      <c r="F147" s="1401">
        <f>F5</f>
        <v>1</v>
      </c>
      <c r="G147" s="941">
        <f t="shared" ref="G147:G160" si="33">D147*E147</f>
        <v>12396.226415094341</v>
      </c>
      <c r="H147" s="943">
        <f t="shared" ref="H147:H160" si="34">G147*F147</f>
        <v>12396.226415094341</v>
      </c>
    </row>
    <row r="148" spans="1:8" x14ac:dyDescent="0.3">
      <c r="A148" s="218" t="s">
        <v>13</v>
      </c>
      <c r="B148" s="941" t="str">
        <f t="shared" si="31"/>
        <v>Onion - بصل</v>
      </c>
      <c r="C148" s="941" t="str">
        <f t="shared" si="31"/>
        <v>gm</v>
      </c>
      <c r="D148" s="941">
        <f t="shared" si="31"/>
        <v>200</v>
      </c>
      <c r="E148" s="942">
        <f t="shared" si="32"/>
        <v>6.57</v>
      </c>
      <c r="F148" s="1401">
        <f t="shared" ref="F148:F160" si="35">F6</f>
        <v>1</v>
      </c>
      <c r="G148" s="941">
        <f t="shared" si="33"/>
        <v>1314</v>
      </c>
      <c r="H148" s="943">
        <f t="shared" si="34"/>
        <v>1314</v>
      </c>
    </row>
    <row r="149" spans="1:8" x14ac:dyDescent="0.3">
      <c r="A149" s="218" t="s">
        <v>13</v>
      </c>
      <c r="B149" s="941" t="str">
        <f t="shared" si="31"/>
        <v>Tomato - طماطم</v>
      </c>
      <c r="C149" s="941" t="str">
        <f t="shared" si="31"/>
        <v>gm</v>
      </c>
      <c r="D149" s="941">
        <f t="shared" si="31"/>
        <v>120</v>
      </c>
      <c r="E149" s="942">
        <f t="shared" si="32"/>
        <v>6.57</v>
      </c>
      <c r="F149" s="1401">
        <f t="shared" si="35"/>
        <v>1</v>
      </c>
      <c r="G149" s="941">
        <f t="shared" si="33"/>
        <v>788.40000000000009</v>
      </c>
      <c r="H149" s="943">
        <f t="shared" si="34"/>
        <v>788.40000000000009</v>
      </c>
    </row>
    <row r="150" spans="1:8" x14ac:dyDescent="0.3">
      <c r="A150" s="218" t="s">
        <v>13</v>
      </c>
      <c r="B150" s="941" t="str">
        <f t="shared" si="31"/>
        <v>Garlic - ثوم مقشر</v>
      </c>
      <c r="C150" s="941" t="str">
        <f t="shared" si="31"/>
        <v>gm</v>
      </c>
      <c r="D150" s="941">
        <f t="shared" si="31"/>
        <v>10</v>
      </c>
      <c r="E150" s="942">
        <f t="shared" si="32"/>
        <v>6.57</v>
      </c>
      <c r="F150" s="1401">
        <f t="shared" si="35"/>
        <v>0.65</v>
      </c>
      <c r="G150" s="941">
        <f t="shared" si="33"/>
        <v>65.7</v>
      </c>
      <c r="H150" s="943">
        <f t="shared" si="34"/>
        <v>42.705000000000005</v>
      </c>
    </row>
    <row r="151" spans="1:8" x14ac:dyDescent="0.3">
      <c r="A151" s="218" t="s">
        <v>13</v>
      </c>
      <c r="B151" s="941" t="str">
        <f t="shared" si="31"/>
        <v>Green Bell Pepper - فلفل أخضر رومى</v>
      </c>
      <c r="C151" s="941" t="str">
        <f t="shared" si="31"/>
        <v>gm</v>
      </c>
      <c r="D151" s="941">
        <f t="shared" si="31"/>
        <v>50</v>
      </c>
      <c r="E151" s="942">
        <f t="shared" si="32"/>
        <v>6.57</v>
      </c>
      <c r="F151" s="1401">
        <f t="shared" si="35"/>
        <v>0.75</v>
      </c>
      <c r="G151" s="941">
        <f t="shared" si="33"/>
        <v>328.5</v>
      </c>
      <c r="H151" s="943">
        <f t="shared" si="34"/>
        <v>246.375</v>
      </c>
    </row>
    <row r="152" spans="1:8" x14ac:dyDescent="0.3">
      <c r="A152" s="218" t="s">
        <v>95</v>
      </c>
      <c r="B152" s="941" t="str">
        <f t="shared" si="31"/>
        <v>Cumin Powder - كمون مطحون</v>
      </c>
      <c r="C152" s="941" t="str">
        <f t="shared" si="31"/>
        <v>gm</v>
      </c>
      <c r="D152" s="941">
        <f t="shared" si="31"/>
        <v>20</v>
      </c>
      <c r="E152" s="942">
        <f t="shared" si="32"/>
        <v>6.57</v>
      </c>
      <c r="F152" s="1401">
        <f t="shared" si="35"/>
        <v>0.7</v>
      </c>
      <c r="G152" s="941">
        <f t="shared" si="33"/>
        <v>131.4</v>
      </c>
      <c r="H152" s="943">
        <f t="shared" si="34"/>
        <v>91.98</v>
      </c>
    </row>
    <row r="153" spans="1:8" x14ac:dyDescent="0.3">
      <c r="A153" s="218" t="s">
        <v>95</v>
      </c>
      <c r="B153" s="941" t="str">
        <f t="shared" si="31"/>
        <v>Maggi Cubes - مكعبات ماجي</v>
      </c>
      <c r="C153" s="941" t="str">
        <f t="shared" si="31"/>
        <v>gm</v>
      </c>
      <c r="D153" s="941">
        <f t="shared" si="31"/>
        <v>20</v>
      </c>
      <c r="E153" s="942">
        <f t="shared" si="32"/>
        <v>6.57</v>
      </c>
      <c r="F153" s="1401">
        <f t="shared" si="35"/>
        <v>0.65</v>
      </c>
      <c r="G153" s="941">
        <f t="shared" si="33"/>
        <v>131.4</v>
      </c>
      <c r="H153" s="943">
        <f t="shared" si="34"/>
        <v>85.410000000000011</v>
      </c>
    </row>
    <row r="154" spans="1:8" x14ac:dyDescent="0.3">
      <c r="A154" s="218" t="s">
        <v>95</v>
      </c>
      <c r="B154" s="941" t="str">
        <f t="shared" si="31"/>
        <v>Cardamom Whole - هيل حب</v>
      </c>
      <c r="C154" s="941" t="str">
        <f t="shared" si="31"/>
        <v>gm</v>
      </c>
      <c r="D154" s="941">
        <f t="shared" si="31"/>
        <v>10</v>
      </c>
      <c r="E154" s="942">
        <f t="shared" si="32"/>
        <v>6.57</v>
      </c>
      <c r="F154" s="1401">
        <f t="shared" si="35"/>
        <v>0.25</v>
      </c>
      <c r="G154" s="941">
        <f t="shared" si="33"/>
        <v>65.7</v>
      </c>
      <c r="H154" s="943">
        <f t="shared" si="34"/>
        <v>16.425000000000001</v>
      </c>
    </row>
    <row r="155" spans="1:8" x14ac:dyDescent="0.3">
      <c r="A155" s="218" t="s">
        <v>95</v>
      </c>
      <c r="B155" s="941" t="str">
        <f t="shared" si="31"/>
        <v>Coriander Powder - كزبرة مطحونة</v>
      </c>
      <c r="C155" s="941" t="str">
        <f t="shared" si="31"/>
        <v>gm</v>
      </c>
      <c r="D155" s="941">
        <f t="shared" si="31"/>
        <v>20</v>
      </c>
      <c r="E155" s="942">
        <f t="shared" si="32"/>
        <v>6.57</v>
      </c>
      <c r="F155" s="1401">
        <f t="shared" si="35"/>
        <v>0.7</v>
      </c>
      <c r="G155" s="941">
        <f t="shared" si="33"/>
        <v>131.4</v>
      </c>
      <c r="H155" s="943">
        <f t="shared" si="34"/>
        <v>91.98</v>
      </c>
    </row>
    <row r="156" spans="1:8" x14ac:dyDescent="0.3">
      <c r="A156" s="218" t="s">
        <v>154</v>
      </c>
      <c r="B156" s="941" t="str">
        <f t="shared" si="31"/>
        <v>Yogurt - زبادي</v>
      </c>
      <c r="C156" s="941" t="str">
        <f t="shared" si="31"/>
        <v>gm</v>
      </c>
      <c r="D156" s="941">
        <f t="shared" si="31"/>
        <v>150</v>
      </c>
      <c r="E156" s="942">
        <f t="shared" si="32"/>
        <v>6.57</v>
      </c>
      <c r="F156" s="1401">
        <f t="shared" si="35"/>
        <v>0.85</v>
      </c>
      <c r="G156" s="941">
        <f t="shared" si="33"/>
        <v>985.5</v>
      </c>
      <c r="H156" s="943">
        <f t="shared" si="34"/>
        <v>837.67499999999995</v>
      </c>
    </row>
    <row r="157" spans="1:8" x14ac:dyDescent="0.3">
      <c r="A157" s="218" t="s">
        <v>192</v>
      </c>
      <c r="B157" s="941" t="str">
        <f t="shared" si="31"/>
        <v>Tomato Paste - صلصة طماطم</v>
      </c>
      <c r="C157" s="941" t="str">
        <f t="shared" si="31"/>
        <v>gm</v>
      </c>
      <c r="D157" s="941">
        <f t="shared" si="31"/>
        <v>70</v>
      </c>
      <c r="E157" s="942">
        <f t="shared" si="32"/>
        <v>6.57</v>
      </c>
      <c r="F157" s="1401">
        <f t="shared" si="35"/>
        <v>0.8</v>
      </c>
      <c r="G157" s="941">
        <f t="shared" si="33"/>
        <v>459.90000000000003</v>
      </c>
      <c r="H157" s="943">
        <f t="shared" si="34"/>
        <v>367.92000000000007</v>
      </c>
    </row>
    <row r="158" spans="1:8" x14ac:dyDescent="0.3">
      <c r="A158" s="218" t="s">
        <v>95</v>
      </c>
      <c r="B158" s="941" t="str">
        <f t="shared" si="31"/>
        <v>Salt - ملح</v>
      </c>
      <c r="C158" s="941" t="str">
        <f t="shared" si="31"/>
        <v>gm</v>
      </c>
      <c r="D158" s="941">
        <f t="shared" si="31"/>
        <v>30</v>
      </c>
      <c r="E158" s="942">
        <f t="shared" si="32"/>
        <v>6.57</v>
      </c>
      <c r="F158" s="1401">
        <f t="shared" si="35"/>
        <v>0.75</v>
      </c>
      <c r="G158" s="941">
        <f t="shared" si="33"/>
        <v>197.10000000000002</v>
      </c>
      <c r="H158" s="943">
        <f t="shared" si="34"/>
        <v>147.82500000000002</v>
      </c>
    </row>
    <row r="159" spans="1:8" x14ac:dyDescent="0.3">
      <c r="A159" s="218" t="s">
        <v>206</v>
      </c>
      <c r="B159" s="941" t="str">
        <f t="shared" ref="B159:D160" si="36">B17</f>
        <v>Water - ماء</v>
      </c>
      <c r="C159" s="941" t="str">
        <f t="shared" si="36"/>
        <v>ml</v>
      </c>
      <c r="D159" s="941">
        <f t="shared" si="36"/>
        <v>200</v>
      </c>
      <c r="E159" s="942">
        <f t="shared" si="32"/>
        <v>6.57</v>
      </c>
      <c r="F159" s="1401">
        <f t="shared" si="35"/>
        <v>1</v>
      </c>
      <c r="G159" s="941">
        <f t="shared" si="33"/>
        <v>1314</v>
      </c>
      <c r="H159" s="943">
        <f t="shared" si="34"/>
        <v>1314</v>
      </c>
    </row>
    <row r="160" spans="1:8" ht="25" x14ac:dyDescent="0.3">
      <c r="A160" s="218" t="s">
        <v>215</v>
      </c>
      <c r="B160" s="941" t="str">
        <f>B18</f>
        <v>Saffron yellow color powder - لون صفار زعفران بودر</v>
      </c>
      <c r="C160" s="941" t="str">
        <f t="shared" si="36"/>
        <v>gm</v>
      </c>
      <c r="D160" s="941">
        <f t="shared" si="36"/>
        <v>1</v>
      </c>
      <c r="E160" s="942">
        <f t="shared" si="32"/>
        <v>6.57</v>
      </c>
      <c r="F160" s="1401">
        <f t="shared" si="35"/>
        <v>0.3</v>
      </c>
      <c r="G160" s="941">
        <f t="shared" si="33"/>
        <v>6.57</v>
      </c>
      <c r="H160" s="943">
        <f t="shared" si="34"/>
        <v>1.9710000000000001</v>
      </c>
    </row>
    <row r="161" spans="1:8" ht="18" x14ac:dyDescent="0.3">
      <c r="A161" s="78"/>
      <c r="B161" s="944" t="s">
        <v>291</v>
      </c>
      <c r="C161" s="945" t="s">
        <v>277</v>
      </c>
      <c r="D161" s="936"/>
      <c r="E161" s="945" t="s">
        <v>292</v>
      </c>
      <c r="F161" s="936"/>
      <c r="G161" s="946" t="s">
        <v>268</v>
      </c>
      <c r="H161" s="946" t="s">
        <v>703</v>
      </c>
    </row>
    <row r="162" spans="1:8" ht="20" x14ac:dyDescent="0.3">
      <c r="A162" s="78"/>
      <c r="B162" s="933">
        <f>$J$57</f>
        <v>6570</v>
      </c>
      <c r="C162" s="933">
        <f>E162+G162</f>
        <v>0</v>
      </c>
      <c r="D162" s="936"/>
      <c r="E162" s="933">
        <f>$H$57*$S$44</f>
        <v>0</v>
      </c>
      <c r="F162" s="936"/>
      <c r="G162" s="933">
        <f>$H$57*$T$44</f>
        <v>0</v>
      </c>
      <c r="H162" s="933">
        <f>B162+E162</f>
        <v>6570</v>
      </c>
    </row>
  </sheetData>
  <mergeCells count="14">
    <mergeCell ref="R25:T25"/>
    <mergeCell ref="B2:K3"/>
    <mergeCell ref="B63:H63"/>
    <mergeCell ref="B83:H83"/>
    <mergeCell ref="B82:H82"/>
    <mergeCell ref="B62:H62"/>
    <mergeCell ref="R26:T26"/>
    <mergeCell ref="B35:F35"/>
    <mergeCell ref="B104:H104"/>
    <mergeCell ref="B144:H144"/>
    <mergeCell ref="B145:H145"/>
    <mergeCell ref="B124:H124"/>
    <mergeCell ref="B125:H125"/>
    <mergeCell ref="B105:H105"/>
  </mergeCells>
  <phoneticPr fontId="67" type="noConversion"/>
  <printOptions horizontalCentered="1"/>
  <pageMargins left="0.5" right="0.5" top="1" bottom="0.5" header="0.3" footer="0.511811023622047"/>
  <pageSetup paperSize="9" scale="31" orientation="portrait"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1B131E-DDA5-4DBF-A671-A1899B848539}">
  <sheetPr codeName="Sheet87">
    <tabColor rgb="FFFFFF00"/>
    <pageSetUpPr fitToPage="1"/>
  </sheetPr>
  <dimension ref="A1:AG100"/>
  <sheetViews>
    <sheetView topLeftCell="J7" zoomScale="85" zoomScaleNormal="85" workbookViewId="0">
      <selection activeCell="AC25" sqref="AC25"/>
    </sheetView>
  </sheetViews>
  <sheetFormatPr defaultColWidth="12.5" defaultRowHeight="12.5" x14ac:dyDescent="0.25"/>
  <cols>
    <col min="1" max="1" width="12.5" style="14" customWidth="1"/>
    <col min="2" max="2" width="31.414062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6" width="5.5" style="14" customWidth="1"/>
    <col min="17" max="17" width="13" style="14" customWidth="1"/>
    <col min="18" max="18" width="31.5" style="14" customWidth="1"/>
    <col min="19" max="19" width="12.5" style="14" customWidth="1"/>
    <col min="20" max="27" width="12.5" style="14"/>
    <col min="28" max="28" width="6.75" style="14" customWidth="1"/>
    <col min="29" max="16384" width="12.5" style="14"/>
  </cols>
  <sheetData>
    <row r="1" spans="1:33" ht="28.5" customHeight="1" x14ac:dyDescent="0.3">
      <c r="B1" s="79" t="s">
        <v>235</v>
      </c>
      <c r="C1" s="80">
        <v>1000</v>
      </c>
      <c r="D1" s="81" t="s">
        <v>236</v>
      </c>
      <c r="E1" s="116">
        <f>S30</f>
        <v>14580</v>
      </c>
      <c r="F1" s="79" t="s">
        <v>237</v>
      </c>
      <c r="G1" s="1417">
        <f>E1/C1</f>
        <v>14.58</v>
      </c>
      <c r="H1" s="79" t="s">
        <v>238</v>
      </c>
      <c r="I1" s="116">
        <f>G1/K1</f>
        <v>14.58</v>
      </c>
      <c r="J1" s="325" t="s">
        <v>239</v>
      </c>
      <c r="K1" s="99">
        <v>1</v>
      </c>
      <c r="L1" s="99"/>
      <c r="M1" s="99"/>
      <c r="N1" s="99"/>
      <c r="O1" s="99"/>
      <c r="P1" s="99"/>
      <c r="Q1" s="92" t="s">
        <v>430</v>
      </c>
      <c r="R1" s="91">
        <v>0.67</v>
      </c>
      <c r="S1" s="92" t="s">
        <v>337</v>
      </c>
      <c r="T1" s="327">
        <v>60</v>
      </c>
      <c r="U1" s="99"/>
      <c r="V1" s="99"/>
      <c r="Y1" s="90" t="s">
        <v>463</v>
      </c>
      <c r="Z1" s="835">
        <v>238</v>
      </c>
      <c r="AA1" s="90" t="s">
        <v>578</v>
      </c>
      <c r="AB1" s="835">
        <v>5</v>
      </c>
      <c r="AC1" s="90" t="s">
        <v>567</v>
      </c>
      <c r="AD1" s="835">
        <v>238</v>
      </c>
    </row>
    <row r="2" spans="1:33" ht="12.75" customHeight="1" x14ac:dyDescent="0.25">
      <c r="A2" s="329"/>
      <c r="B2" s="1443" t="s">
        <v>719</v>
      </c>
      <c r="C2" s="1466"/>
      <c r="D2" s="1466"/>
      <c r="E2" s="1466"/>
      <c r="F2" s="1466"/>
      <c r="G2" s="1466"/>
      <c r="H2" s="1466"/>
      <c r="I2" s="351"/>
      <c r="J2" s="351"/>
      <c r="K2" s="351"/>
      <c r="L2" s="99"/>
      <c r="M2" s="99"/>
      <c r="N2" s="99"/>
      <c r="O2" s="99"/>
      <c r="P2" s="99"/>
      <c r="Q2" s="99"/>
      <c r="R2" s="99"/>
      <c r="S2" s="99"/>
      <c r="T2" s="99"/>
      <c r="U2" s="99"/>
      <c r="AE2" s="1452"/>
      <c r="AF2" s="1460"/>
      <c r="AG2" s="1460"/>
    </row>
    <row r="3" spans="1:33" ht="12.75" customHeight="1" x14ac:dyDescent="0.25">
      <c r="A3" s="329"/>
      <c r="B3" s="1444"/>
      <c r="C3" s="1444"/>
      <c r="D3" s="1444"/>
      <c r="E3" s="1444"/>
      <c r="F3" s="1444"/>
      <c r="G3" s="1444"/>
      <c r="H3" s="1444"/>
      <c r="I3" s="352"/>
      <c r="J3" s="351"/>
      <c r="K3" s="351"/>
      <c r="L3" s="99"/>
      <c r="M3" s="99"/>
      <c r="N3" s="99"/>
      <c r="O3" s="99"/>
      <c r="P3" s="99"/>
      <c r="Q3" s="99"/>
      <c r="R3" s="99"/>
      <c r="S3" s="99"/>
      <c r="T3" s="99"/>
      <c r="U3" s="99"/>
      <c r="AE3" s="1460"/>
      <c r="AF3" s="1460"/>
      <c r="AG3" s="1460"/>
    </row>
    <row r="4" spans="1:33" ht="68.75" customHeight="1" x14ac:dyDescent="0.25">
      <c r="A4" s="90" t="s">
        <v>1</v>
      </c>
      <c r="B4" s="90" t="s">
        <v>245</v>
      </c>
      <c r="C4" s="106" t="s">
        <v>246</v>
      </c>
      <c r="D4" s="90" t="s">
        <v>235</v>
      </c>
      <c r="E4" s="217" t="s">
        <v>238</v>
      </c>
      <c r="F4" s="107" t="s">
        <v>247</v>
      </c>
      <c r="G4" s="90" t="s">
        <v>248</v>
      </c>
      <c r="H4" s="353" t="s">
        <v>339</v>
      </c>
      <c r="I4" s="90" t="s">
        <v>250</v>
      </c>
      <c r="J4" s="90" t="s">
        <v>251</v>
      </c>
      <c r="K4" s="90" t="s">
        <v>252</v>
      </c>
      <c r="L4" s="90" t="s">
        <v>253</v>
      </c>
      <c r="M4" s="99"/>
      <c r="N4" s="99"/>
      <c r="O4" s="99"/>
      <c r="P4" s="99"/>
      <c r="Q4" s="99"/>
      <c r="R4" s="99" t="s">
        <v>809</v>
      </c>
      <c r="S4" s="14" t="s">
        <v>810</v>
      </c>
    </row>
    <row r="5" spans="1:33" ht="14.25" customHeight="1" x14ac:dyDescent="0.25">
      <c r="A5" s="218"/>
      <c r="B5" s="649"/>
      <c r="C5" s="650"/>
      <c r="D5" s="218"/>
      <c r="E5" s="651"/>
      <c r="F5" s="218"/>
      <c r="G5" s="218"/>
      <c r="H5" s="652"/>
      <c r="I5" s="80"/>
      <c r="J5" s="118"/>
      <c r="K5" s="121"/>
      <c r="L5" s="121"/>
      <c r="R5" s="99">
        <v>14000</v>
      </c>
      <c r="S5" s="14">
        <v>8000</v>
      </c>
      <c r="V5" s="170"/>
    </row>
    <row r="6" spans="1:33" ht="14.25" customHeight="1" x14ac:dyDescent="0.25">
      <c r="A6" s="294" t="s">
        <v>13</v>
      </c>
      <c r="B6" s="22" t="s">
        <v>21</v>
      </c>
      <c r="C6" s="123" t="s">
        <v>14</v>
      </c>
      <c r="D6" s="115">
        <f>1000/R1</f>
        <v>1492.5373134328358</v>
      </c>
      <c r="E6" s="222">
        <f t="shared" ref="E6:E11" si="0">$I$1</f>
        <v>14.58</v>
      </c>
      <c r="F6" s="126">
        <v>1</v>
      </c>
      <c r="G6" s="118">
        <f t="shared" ref="G6:G11" si="1">D6*E6</f>
        <v>21761.194029850747</v>
      </c>
      <c r="H6" s="354">
        <f t="shared" ref="H6:H11" si="2">G6*F6</f>
        <v>21761.194029850747</v>
      </c>
      <c r="I6" s="80">
        <f>VLOOKUP(B6,All_Ingredients!$A$1:$F$149,6,FALSE())</f>
        <v>0.9</v>
      </c>
      <c r="J6" s="118">
        <f>VLOOKUP(B6,All_Ingredients!$A$1:$J$149,10,FALSE())</f>
        <v>2.2999999999999998</v>
      </c>
      <c r="K6" s="121">
        <f t="shared" ref="K6:K11" si="3">(H6/I6)/1000</f>
        <v>24.17910447761194</v>
      </c>
      <c r="L6" s="121">
        <f t="shared" ref="L6:L11" si="4">K6*J6</f>
        <v>55.611940298507456</v>
      </c>
      <c r="R6" s="99">
        <v>14000</v>
      </c>
      <c r="S6" s="14">
        <v>8000</v>
      </c>
    </row>
    <row r="7" spans="1:33" ht="14.25" customHeight="1" x14ac:dyDescent="0.25">
      <c r="A7" s="294" t="s">
        <v>62</v>
      </c>
      <c r="B7" s="22" t="s">
        <v>111</v>
      </c>
      <c r="C7" s="123" t="s">
        <v>14</v>
      </c>
      <c r="D7" s="115">
        <v>2</v>
      </c>
      <c r="E7" s="222">
        <f t="shared" si="0"/>
        <v>14.58</v>
      </c>
      <c r="F7" s="126">
        <v>1</v>
      </c>
      <c r="G7" s="118">
        <f t="shared" si="1"/>
        <v>29.16</v>
      </c>
      <c r="H7" s="354">
        <f t="shared" si="2"/>
        <v>29.16</v>
      </c>
      <c r="I7" s="80">
        <f>VLOOKUP(B7,All_Ingredients!$A$1:$F$149,6,FALSE())</f>
        <v>1</v>
      </c>
      <c r="J7" s="118">
        <f>VLOOKUP(B7,All_Ingredients!$A$1:$J$149,10,FALSE())</f>
        <v>64.243759177679877</v>
      </c>
      <c r="K7" s="121">
        <f t="shared" si="3"/>
        <v>2.9159999999999998E-2</v>
      </c>
      <c r="L7" s="121">
        <f t="shared" si="4"/>
        <v>1.873348017621145</v>
      </c>
      <c r="R7" s="99">
        <v>2000</v>
      </c>
      <c r="S7" s="14">
        <v>6300</v>
      </c>
    </row>
    <row r="8" spans="1:33" ht="14.25" customHeight="1" x14ac:dyDescent="0.25">
      <c r="A8" s="294" t="s">
        <v>62</v>
      </c>
      <c r="B8" s="22" t="s">
        <v>83</v>
      </c>
      <c r="C8" s="123" t="s">
        <v>14</v>
      </c>
      <c r="D8" s="115">
        <v>1</v>
      </c>
      <c r="E8" s="222">
        <f t="shared" si="0"/>
        <v>14.58</v>
      </c>
      <c r="F8" s="126">
        <v>1</v>
      </c>
      <c r="G8" s="118">
        <f t="shared" si="1"/>
        <v>14.58</v>
      </c>
      <c r="H8" s="354">
        <f t="shared" si="2"/>
        <v>14.58</v>
      </c>
      <c r="I8" s="80">
        <f>VLOOKUP(B8,All_Ingredients!$A$1:$F$149,6,FALSE())</f>
        <v>1</v>
      </c>
      <c r="J8" s="118">
        <f>VLOOKUP(B8,All_Ingredients!$A$1:$J$149,10,FALSE())</f>
        <v>147.88732394366198</v>
      </c>
      <c r="K8" s="121">
        <f t="shared" si="3"/>
        <v>1.4579999999999999E-2</v>
      </c>
      <c r="L8" s="121">
        <f t="shared" si="4"/>
        <v>2.1561971830985915</v>
      </c>
      <c r="R8" s="99">
        <f>R5+R6+R7</f>
        <v>30000</v>
      </c>
      <c r="S8" s="99">
        <f>S5+S6+S7</f>
        <v>22300</v>
      </c>
      <c r="T8" s="14">
        <f>S8/R8</f>
        <v>0.74333333333333329</v>
      </c>
    </row>
    <row r="9" spans="1:33" ht="14.25" customHeight="1" x14ac:dyDescent="0.25">
      <c r="A9" s="294" t="s">
        <v>95</v>
      </c>
      <c r="B9" s="22" t="s">
        <v>94</v>
      </c>
      <c r="C9" s="123" t="s">
        <v>14</v>
      </c>
      <c r="D9" s="115">
        <v>2</v>
      </c>
      <c r="E9" s="222">
        <f t="shared" si="0"/>
        <v>14.58</v>
      </c>
      <c r="F9" s="126">
        <v>0.75</v>
      </c>
      <c r="G9" s="118">
        <f t="shared" si="1"/>
        <v>29.16</v>
      </c>
      <c r="H9" s="354">
        <f t="shared" si="2"/>
        <v>21.87</v>
      </c>
      <c r="I9" s="80">
        <f>VLOOKUP(B9,All_Ingredients!$A$1:$F$149,6,FALSE())</f>
        <v>1</v>
      </c>
      <c r="J9" s="118">
        <f>VLOOKUP(B9,All_Ingredients!$A$1:$J$149,10,FALSE())</f>
        <v>0.74</v>
      </c>
      <c r="K9" s="121">
        <f t="shared" si="3"/>
        <v>2.1870000000000001E-2</v>
      </c>
      <c r="L9" s="121">
        <f t="shared" si="4"/>
        <v>1.6183800000000002E-2</v>
      </c>
    </row>
    <row r="10" spans="1:33" ht="14.25" customHeight="1" x14ac:dyDescent="0.25">
      <c r="A10" s="294" t="s">
        <v>81</v>
      </c>
      <c r="B10" s="22" t="s">
        <v>100</v>
      </c>
      <c r="C10" s="123" t="s">
        <v>14</v>
      </c>
      <c r="D10" s="222">
        <v>0.5</v>
      </c>
      <c r="E10" s="222">
        <f t="shared" si="0"/>
        <v>14.58</v>
      </c>
      <c r="F10" s="126">
        <v>0.75</v>
      </c>
      <c r="G10" s="118">
        <f t="shared" si="1"/>
        <v>7.29</v>
      </c>
      <c r="H10" s="354">
        <f t="shared" si="2"/>
        <v>5.4675000000000002</v>
      </c>
      <c r="I10" s="80">
        <f>VLOOKUP(B10,All_Ingredients!$A$1:$F$149,6,FALSE())</f>
        <v>1</v>
      </c>
      <c r="J10" s="118">
        <f>VLOOKUP(B10,All_Ingredients!$A$1:$J$149,10,FALSE())</f>
        <v>31</v>
      </c>
      <c r="K10" s="121">
        <f t="shared" si="3"/>
        <v>5.4675000000000001E-3</v>
      </c>
      <c r="L10" s="121">
        <f t="shared" si="4"/>
        <v>0.16949249999999999</v>
      </c>
    </row>
    <row r="11" spans="1:33" ht="14.25" customHeight="1" x14ac:dyDescent="0.25">
      <c r="A11" s="294" t="s">
        <v>95</v>
      </c>
      <c r="B11" s="322" t="s">
        <v>214</v>
      </c>
      <c r="C11" s="123" t="s">
        <v>161</v>
      </c>
      <c r="D11" s="115">
        <v>10</v>
      </c>
      <c r="E11" s="222">
        <f t="shared" si="0"/>
        <v>14.58</v>
      </c>
      <c r="F11" s="126">
        <v>1</v>
      </c>
      <c r="G11" s="118">
        <f t="shared" si="1"/>
        <v>145.80000000000001</v>
      </c>
      <c r="H11" s="354">
        <f t="shared" si="2"/>
        <v>145.80000000000001</v>
      </c>
      <c r="I11" s="80">
        <f>VLOOKUP(B11,All_Ingredients!$A$1:$F$149,6,FALSE())</f>
        <v>1</v>
      </c>
      <c r="J11" s="118">
        <f>VLOOKUP(B11,All_Ingredients!$A$1:$J$149,10,FALSE())</f>
        <v>5</v>
      </c>
      <c r="K11" s="121">
        <f t="shared" si="3"/>
        <v>0.14580000000000001</v>
      </c>
      <c r="L11" s="121">
        <f t="shared" si="4"/>
        <v>0.72900000000000009</v>
      </c>
    </row>
    <row r="12" spans="1:33" ht="14.25" customHeight="1" x14ac:dyDescent="0.25">
      <c r="B12" s="355"/>
      <c r="C12" s="356"/>
      <c r="D12" s="357"/>
      <c r="E12" s="358"/>
      <c r="F12" s="359"/>
      <c r="G12" s="360"/>
      <c r="H12" s="360"/>
      <c r="I12" s="91"/>
    </row>
    <row r="13" spans="1:33" ht="14.25" customHeight="1" x14ac:dyDescent="0.25">
      <c r="E13" s="99"/>
      <c r="F13" s="99"/>
      <c r="I13" s="91"/>
      <c r="J13" s="138"/>
    </row>
    <row r="14" spans="1:33" ht="14.25" customHeight="1" x14ac:dyDescent="0.35">
      <c r="C14" s="1410"/>
      <c r="D14" s="1410"/>
      <c r="E14" s="1411"/>
      <c r="F14" s="1411"/>
      <c r="I14" s="91"/>
      <c r="J14" s="138"/>
    </row>
    <row r="15" spans="1:33" ht="14.25" customHeight="1" x14ac:dyDescent="0.25">
      <c r="B15" s="348"/>
      <c r="C15" s="1412"/>
      <c r="D15" s="1412"/>
      <c r="E15" s="1413"/>
      <c r="F15" s="1414"/>
      <c r="G15" s="139"/>
      <c r="H15" s="137"/>
    </row>
    <row r="16" spans="1:33" ht="14.25" customHeight="1" x14ac:dyDescent="0.35">
      <c r="C16" s="1410"/>
      <c r="D16" s="1410"/>
      <c r="E16" s="1411"/>
      <c r="F16" s="1411"/>
    </row>
    <row r="17" spans="2:29" ht="14.25" customHeight="1" x14ac:dyDescent="0.35">
      <c r="C17" s="1410"/>
      <c r="D17" s="1410"/>
      <c r="E17" s="1411"/>
      <c r="F17" s="1411"/>
    </row>
    <row r="18" spans="2:29" ht="14.25" customHeight="1" x14ac:dyDescent="0.35">
      <c r="C18" s="1410"/>
      <c r="D18" s="1410"/>
      <c r="E18" s="1411"/>
      <c r="F18" s="1411"/>
    </row>
    <row r="19" spans="2:29" ht="14.25" customHeight="1" x14ac:dyDescent="0.35">
      <c r="C19" s="1410"/>
      <c r="D19" s="1410"/>
      <c r="E19" s="1411"/>
      <c r="F19" s="1411"/>
      <c r="G19" s="11"/>
      <c r="H19" s="335"/>
      <c r="I19" s="336"/>
      <c r="J19" s="99"/>
      <c r="K19" s="99"/>
    </row>
    <row r="20" spans="2:29" ht="14.25" customHeight="1" x14ac:dyDescent="0.35">
      <c r="B20" s="11"/>
      <c r="C20" s="1415"/>
      <c r="D20" s="1416"/>
      <c r="E20" s="1411"/>
      <c r="F20" s="1411"/>
      <c r="G20" s="11"/>
      <c r="H20" s="335"/>
      <c r="I20" s="336"/>
      <c r="J20" s="99"/>
      <c r="K20" s="99"/>
      <c r="N20" s="362"/>
    </row>
    <row r="21" spans="2:29" ht="14.25" customHeight="1" x14ac:dyDescent="0.35">
      <c r="B21" s="11"/>
      <c r="C21" s="1415"/>
      <c r="D21" s="1416"/>
      <c r="E21" s="1411"/>
      <c r="F21" s="1411"/>
      <c r="G21" s="11"/>
      <c r="H21" s="335"/>
      <c r="I21" s="336"/>
      <c r="J21" s="99"/>
      <c r="K21" s="99"/>
    </row>
    <row r="22" spans="2:29" ht="14.25" customHeight="1" x14ac:dyDescent="0.35">
      <c r="B22" s="11"/>
      <c r="C22" s="1415"/>
      <c r="D22" s="1416"/>
      <c r="E22" s="1411"/>
      <c r="F22" s="1411"/>
      <c r="G22" s="11"/>
      <c r="H22" s="335"/>
      <c r="I22" s="336"/>
      <c r="J22" s="99"/>
      <c r="K22" s="99"/>
    </row>
    <row r="23" spans="2:29" ht="18" customHeight="1" x14ac:dyDescent="0.3">
      <c r="B23" s="11"/>
      <c r="C23" s="335"/>
      <c r="D23" s="336"/>
      <c r="E23" s="99"/>
      <c r="F23" s="99"/>
      <c r="G23" s="11"/>
      <c r="H23" s="335"/>
      <c r="I23" s="336"/>
      <c r="J23" s="99"/>
      <c r="K23" s="99"/>
    </row>
    <row r="24" spans="2:29" ht="14.25" customHeight="1" x14ac:dyDescent="0.3">
      <c r="B24" s="11"/>
      <c r="C24" s="335"/>
      <c r="D24" s="336"/>
      <c r="E24" s="99"/>
      <c r="F24" s="99"/>
      <c r="G24" s="11"/>
      <c r="H24" s="335"/>
      <c r="I24" s="336"/>
      <c r="J24" s="99"/>
      <c r="K24" s="99"/>
      <c r="Z24" s="1208"/>
    </row>
    <row r="25" spans="2:29" ht="14.25" customHeight="1" x14ac:dyDescent="0.3">
      <c r="B25" s="11"/>
      <c r="C25" s="335"/>
      <c r="D25" s="336"/>
      <c r="E25" s="99"/>
      <c r="F25" s="99"/>
      <c r="G25" s="11"/>
      <c r="H25" s="335"/>
      <c r="I25" s="336"/>
      <c r="J25" s="99"/>
      <c r="K25" s="99"/>
      <c r="R25" s="1467" t="s">
        <v>720</v>
      </c>
      <c r="S25" s="1444"/>
      <c r="T25" s="1444"/>
      <c r="Z25" s="140" t="s">
        <v>14</v>
      </c>
      <c r="AA25" s="141">
        <v>90</v>
      </c>
      <c r="AB25" s="140" t="s">
        <v>253</v>
      </c>
      <c r="AC25" s="142">
        <f>(S31/S30)*AA25</f>
        <v>0.37380346789646413</v>
      </c>
    </row>
    <row r="26" spans="2:29" ht="14.25" customHeight="1" x14ac:dyDescent="0.3">
      <c r="B26" s="11"/>
      <c r="C26" s="335"/>
      <c r="D26" s="336"/>
      <c r="E26" s="99"/>
      <c r="F26" s="99"/>
      <c r="G26" s="139"/>
      <c r="H26" s="137"/>
      <c r="N26" s="362"/>
      <c r="R26" s="1477" t="s">
        <v>342</v>
      </c>
      <c r="S26" s="1446"/>
      <c r="T26" s="1446"/>
    </row>
    <row r="27" spans="2:29" ht="14.25" customHeight="1" x14ac:dyDescent="0.3">
      <c r="B27" s="11"/>
      <c r="C27" s="335"/>
      <c r="D27" s="336"/>
      <c r="E27" s="99"/>
      <c r="F27" s="99"/>
      <c r="R27" s="144" t="s">
        <v>258</v>
      </c>
      <c r="S27" s="144" t="s">
        <v>343</v>
      </c>
      <c r="T27" s="144" t="s">
        <v>261</v>
      </c>
    </row>
    <row r="28" spans="2:29" ht="14.25" customHeight="1" x14ac:dyDescent="0.3">
      <c r="B28" s="11"/>
      <c r="C28" s="335"/>
      <c r="D28" s="336"/>
      <c r="E28" s="99"/>
      <c r="R28" s="144" t="s">
        <v>267</v>
      </c>
      <c r="S28" s="1291">
        <f>$Z$1*$T$1</f>
        <v>14280</v>
      </c>
      <c r="T28" s="1400">
        <f>S28</f>
        <v>14280</v>
      </c>
      <c r="U28" s="1377"/>
    </row>
    <row r="29" spans="2:29" ht="14.25" customHeight="1" x14ac:dyDescent="0.3">
      <c r="B29" s="11"/>
      <c r="C29" s="335"/>
      <c r="D29" s="336"/>
      <c r="E29" s="99"/>
      <c r="R29" s="144" t="s">
        <v>269</v>
      </c>
      <c r="S29" s="1291">
        <f>$AB$1*$T$1</f>
        <v>300</v>
      </c>
      <c r="T29" s="293">
        <f>S29</f>
        <v>300</v>
      </c>
      <c r="U29" s="1377"/>
    </row>
    <row r="30" spans="2:29" ht="14.25" customHeight="1" thickBot="1" x14ac:dyDescent="0.35">
      <c r="B30" s="11"/>
      <c r="C30" s="335"/>
      <c r="D30" s="336"/>
      <c r="E30" s="99"/>
      <c r="R30" s="144" t="s">
        <v>261</v>
      </c>
      <c r="S30" s="1400">
        <f>SUM(S28:S29)</f>
        <v>14580</v>
      </c>
      <c r="T30" s="1400">
        <f>S30</f>
        <v>14580</v>
      </c>
      <c r="U30" s="1377"/>
    </row>
    <row r="31" spans="2:29" ht="14.25" customHeight="1" thickBot="1" x14ac:dyDescent="0.35">
      <c r="B31" s="11"/>
      <c r="C31" s="335"/>
      <c r="D31" s="336"/>
      <c r="E31" s="99"/>
      <c r="R31" s="162" t="s">
        <v>253</v>
      </c>
      <c r="S31" s="1125">
        <f>SUM(L6:L11)</f>
        <v>60.556161799227191</v>
      </c>
      <c r="T31" s="1196">
        <f>S31</f>
        <v>60.556161799227191</v>
      </c>
    </row>
    <row r="32" spans="2:29" ht="14.25" customHeight="1" x14ac:dyDescent="0.3">
      <c r="B32" s="11"/>
      <c r="C32" s="335"/>
      <c r="D32" s="336"/>
      <c r="E32" s="99"/>
      <c r="F32" s="99"/>
      <c r="N32" s="338"/>
    </row>
    <row r="33" spans="2:8" ht="14.25" customHeight="1" x14ac:dyDescent="0.3">
      <c r="B33" s="11"/>
      <c r="C33" s="335"/>
      <c r="D33" s="336"/>
      <c r="E33" s="99"/>
      <c r="F33" s="99"/>
      <c r="H33"/>
    </row>
    <row r="34" spans="2:8" ht="14.25" customHeight="1" x14ac:dyDescent="0.3">
      <c r="B34" s="11"/>
      <c r="C34" s="335"/>
      <c r="D34" s="336"/>
      <c r="E34" s="99"/>
      <c r="F34" s="99"/>
      <c r="H34"/>
    </row>
    <row r="35" spans="2:8" ht="14.25" customHeight="1" x14ac:dyDescent="0.3">
      <c r="B35" s="11"/>
      <c r="C35" s="335"/>
      <c r="D35" s="336"/>
      <c r="E35" s="99"/>
      <c r="F35" s="99"/>
    </row>
    <row r="36" spans="2:8" ht="14.25" customHeight="1" x14ac:dyDescent="0.3">
      <c r="B36" s="11"/>
      <c r="C36" s="335"/>
      <c r="D36" s="336"/>
      <c r="E36" s="99"/>
      <c r="F36" s="99"/>
    </row>
    <row r="37" spans="2:8" ht="18" customHeight="1" x14ac:dyDescent="0.3">
      <c r="B37" s="11"/>
      <c r="C37" s="335"/>
      <c r="D37" s="336"/>
      <c r="E37" s="99"/>
      <c r="F37" s="99"/>
    </row>
    <row r="38" spans="2:8" ht="12.75" customHeight="1" x14ac:dyDescent="0.25">
      <c r="B38" s="99"/>
      <c r="E38" s="99"/>
      <c r="F38" s="99"/>
    </row>
    <row r="39" spans="2:8" x14ac:dyDescent="0.25">
      <c r="B39" s="99"/>
      <c r="E39" s="99"/>
      <c r="F39" s="99"/>
    </row>
    <row r="44" spans="2:8" ht="14" customHeight="1" x14ac:dyDescent="0.25"/>
    <row r="45" spans="2:8" ht="14" customHeight="1" x14ac:dyDescent="0.25"/>
    <row r="50" spans="1:8" ht="14" x14ac:dyDescent="0.3">
      <c r="B50" s="225"/>
      <c r="C50" s="225" t="s">
        <v>237</v>
      </c>
      <c r="D50" s="225" t="s">
        <v>283</v>
      </c>
    </row>
    <row r="51" spans="1:8" ht="14" x14ac:dyDescent="0.3">
      <c r="B51" s="179" t="s">
        <v>287</v>
      </c>
      <c r="C51" s="180">
        <f>10/$K$1</f>
        <v>10</v>
      </c>
      <c r="D51" s="181">
        <f>$C$1*10</f>
        <v>10000</v>
      </c>
    </row>
    <row r="52" spans="1:8" ht="18" customHeight="1" x14ac:dyDescent="0.3">
      <c r="B52" s="230" t="s">
        <v>261</v>
      </c>
      <c r="C52" s="232">
        <f>I1</f>
        <v>14.58</v>
      </c>
      <c r="D52" s="232">
        <f>E1</f>
        <v>14580</v>
      </c>
    </row>
    <row r="53" spans="1:8" ht="14" x14ac:dyDescent="0.3">
      <c r="B53" s="230" t="s">
        <v>288</v>
      </c>
      <c r="C53" s="233">
        <f>MIN($C$52, $C$51)</f>
        <v>10</v>
      </c>
      <c r="D53" s="232">
        <f>(C53*$K$1)*$C$1</f>
        <v>10000</v>
      </c>
    </row>
    <row r="54" spans="1:8" ht="14" x14ac:dyDescent="0.3">
      <c r="B54" s="230" t="s">
        <v>289</v>
      </c>
      <c r="C54" s="233">
        <f>MIN(MAX($C$52-C53,0),$C$51)</f>
        <v>4.58</v>
      </c>
      <c r="D54" s="232">
        <f>(C54*$K$1)*$C$1</f>
        <v>4580</v>
      </c>
    </row>
    <row r="55" spans="1:8" ht="14" x14ac:dyDescent="0.3">
      <c r="B55" s="230" t="s">
        <v>290</v>
      </c>
      <c r="C55" s="233">
        <f>MIN(MAX($C$52-C53-C54,0),$C$51)</f>
        <v>0</v>
      </c>
      <c r="D55" s="232">
        <f>(C55*$K$1)*$C$1</f>
        <v>0</v>
      </c>
    </row>
    <row r="62" spans="1:8" ht="18" customHeight="1" x14ac:dyDescent="0.3">
      <c r="A62" s="927"/>
      <c r="B62" s="1438" t="s">
        <v>826</v>
      </c>
      <c r="C62" s="1439"/>
      <c r="D62" s="1439"/>
      <c r="E62" s="1439"/>
      <c r="F62" s="1439"/>
      <c r="G62" s="1439"/>
      <c r="H62" s="1439"/>
    </row>
    <row r="63" spans="1:8" ht="14" x14ac:dyDescent="0.3">
      <c r="A63" s="927"/>
      <c r="B63" s="1436" t="s">
        <v>719</v>
      </c>
      <c r="C63" s="1437"/>
      <c r="D63" s="1437"/>
      <c r="E63" s="1437"/>
      <c r="F63" s="1437"/>
      <c r="G63" s="1437"/>
      <c r="H63" s="1437"/>
    </row>
    <row r="64" spans="1:8" ht="50.75" customHeight="1" x14ac:dyDescent="0.25">
      <c r="A64" s="90"/>
      <c r="B64" s="242" t="s">
        <v>245</v>
      </c>
      <c r="C64" s="243" t="s">
        <v>246</v>
      </c>
      <c r="D64" s="244" t="s">
        <v>235</v>
      </c>
      <c r="E64" s="217" t="s">
        <v>238</v>
      </c>
      <c r="F64" s="217" t="s">
        <v>247</v>
      </c>
      <c r="G64" s="244" t="s">
        <v>248</v>
      </c>
      <c r="H64" s="217" t="s">
        <v>249</v>
      </c>
    </row>
    <row r="65" spans="1:8" ht="14" customHeight="1" x14ac:dyDescent="0.25">
      <c r="A65" s="294" t="s">
        <v>13</v>
      </c>
      <c r="B65" s="322" t="str">
        <f t="shared" ref="B65:D70" si="5">B6</f>
        <v>Potato - بطاطس</v>
      </c>
      <c r="C65" s="123" t="str">
        <f t="shared" si="5"/>
        <v>gm</v>
      </c>
      <c r="D65" s="124">
        <f t="shared" si="5"/>
        <v>1492.5373134328358</v>
      </c>
      <c r="E65" s="115">
        <f>$C$52</f>
        <v>14.58</v>
      </c>
      <c r="F65" s="126">
        <f t="shared" ref="F65:F70" si="6">F6</f>
        <v>1</v>
      </c>
      <c r="G65" s="118">
        <f t="shared" ref="G65:G70" si="7">D65*E65</f>
        <v>21761.194029850747</v>
      </c>
      <c r="H65" s="119">
        <f t="shared" ref="H65:H70" si="8">G65*F65</f>
        <v>21761.194029850747</v>
      </c>
    </row>
    <row r="66" spans="1:8" ht="14" customHeight="1" x14ac:dyDescent="0.25">
      <c r="A66" s="294" t="s">
        <v>62</v>
      </c>
      <c r="B66" s="322" t="str">
        <f t="shared" si="5"/>
        <v>Paprika Powder - بابريكا مطحون</v>
      </c>
      <c r="C66" s="123" t="str">
        <f t="shared" si="5"/>
        <v>gm</v>
      </c>
      <c r="D66" s="124">
        <f t="shared" si="5"/>
        <v>2</v>
      </c>
      <c r="E66" s="115">
        <f t="shared" ref="E66:E70" si="9">$C$52</f>
        <v>14.58</v>
      </c>
      <c r="F66" s="126">
        <f t="shared" si="6"/>
        <v>1</v>
      </c>
      <c r="G66" s="118">
        <f t="shared" si="7"/>
        <v>29.16</v>
      </c>
      <c r="H66" s="119">
        <f t="shared" si="8"/>
        <v>29.16</v>
      </c>
    </row>
    <row r="67" spans="1:8" ht="14.25" customHeight="1" x14ac:dyDescent="0.25">
      <c r="A67" s="294" t="s">
        <v>62</v>
      </c>
      <c r="B67" s="322" t="str">
        <f t="shared" si="5"/>
        <v>Dry Oregano - أوريجانو مجفف</v>
      </c>
      <c r="C67" s="123" t="str">
        <f t="shared" si="5"/>
        <v>gm</v>
      </c>
      <c r="D67" s="124">
        <f t="shared" si="5"/>
        <v>1</v>
      </c>
      <c r="E67" s="115">
        <f t="shared" si="9"/>
        <v>14.58</v>
      </c>
      <c r="F67" s="126">
        <f t="shared" si="6"/>
        <v>1</v>
      </c>
      <c r="G67" s="118">
        <f t="shared" si="7"/>
        <v>14.58</v>
      </c>
      <c r="H67" s="119">
        <f t="shared" si="8"/>
        <v>14.58</v>
      </c>
    </row>
    <row r="68" spans="1:8" ht="18" customHeight="1" x14ac:dyDescent="0.25">
      <c r="A68" s="294" t="s">
        <v>95</v>
      </c>
      <c r="B68" s="322" t="str">
        <f t="shared" si="5"/>
        <v>Salt - ملح</v>
      </c>
      <c r="C68" s="123" t="str">
        <f t="shared" si="5"/>
        <v>gm</v>
      </c>
      <c r="D68" s="124">
        <f t="shared" si="5"/>
        <v>2</v>
      </c>
      <c r="E68" s="115">
        <f t="shared" si="9"/>
        <v>14.58</v>
      </c>
      <c r="F68" s="126">
        <f t="shared" si="6"/>
        <v>0.75</v>
      </c>
      <c r="G68" s="118">
        <f t="shared" si="7"/>
        <v>29.16</v>
      </c>
      <c r="H68" s="119">
        <f t="shared" si="8"/>
        <v>21.87</v>
      </c>
    </row>
    <row r="69" spans="1:8" ht="14.25" customHeight="1" x14ac:dyDescent="0.25">
      <c r="A69" s="294" t="s">
        <v>81</v>
      </c>
      <c r="B69" s="322" t="str">
        <f t="shared" si="5"/>
        <v>Black Pepper Powder - فلفل أسود مطحون</v>
      </c>
      <c r="C69" s="123" t="str">
        <f t="shared" si="5"/>
        <v>gm</v>
      </c>
      <c r="D69" s="124">
        <f t="shared" si="5"/>
        <v>0.5</v>
      </c>
      <c r="E69" s="115">
        <f t="shared" si="9"/>
        <v>14.58</v>
      </c>
      <c r="F69" s="126">
        <f t="shared" si="6"/>
        <v>0.75</v>
      </c>
      <c r="G69" s="118">
        <f t="shared" si="7"/>
        <v>7.29</v>
      </c>
      <c r="H69" s="119">
        <f t="shared" si="8"/>
        <v>5.4675000000000002</v>
      </c>
    </row>
    <row r="70" spans="1:8" ht="14.25" customHeight="1" x14ac:dyDescent="0.25">
      <c r="A70" s="294" t="s">
        <v>95</v>
      </c>
      <c r="B70" s="322" t="str">
        <f t="shared" si="5"/>
        <v>Lemon Juice - عصير ليمون</v>
      </c>
      <c r="C70" s="123" t="str">
        <f t="shared" si="5"/>
        <v>ml</v>
      </c>
      <c r="D70" s="124">
        <f t="shared" si="5"/>
        <v>10</v>
      </c>
      <c r="E70" s="115">
        <f t="shared" si="9"/>
        <v>14.58</v>
      </c>
      <c r="F70" s="126">
        <f t="shared" si="6"/>
        <v>1</v>
      </c>
      <c r="G70" s="118">
        <f t="shared" si="7"/>
        <v>145.80000000000001</v>
      </c>
      <c r="H70" s="119">
        <f t="shared" si="8"/>
        <v>145.80000000000001</v>
      </c>
    </row>
    <row r="71" spans="1:8" ht="21" customHeight="1" x14ac:dyDescent="0.25">
      <c r="B71" s="197" t="s">
        <v>739</v>
      </c>
      <c r="C71" s="99"/>
      <c r="D71" s="99"/>
      <c r="E71" s="99"/>
      <c r="F71" s="99"/>
      <c r="G71" s="99"/>
      <c r="H71" s="99"/>
    </row>
    <row r="72" spans="1:8" ht="19.5" customHeight="1" x14ac:dyDescent="0.4">
      <c r="B72" s="198">
        <f>D52</f>
        <v>14580</v>
      </c>
      <c r="C72" s="99"/>
      <c r="D72" s="99"/>
      <c r="E72" s="99"/>
      <c r="F72" s="99"/>
      <c r="G72" s="99"/>
    </row>
    <row r="73" spans="1:8" ht="12.75" customHeight="1" x14ac:dyDescent="0.25">
      <c r="B73" s="99"/>
      <c r="C73" s="99"/>
      <c r="D73" s="99"/>
      <c r="E73" s="99"/>
      <c r="F73" s="99"/>
      <c r="G73" s="99"/>
      <c r="H73" s="99"/>
    </row>
    <row r="74" spans="1:8" ht="12.75" customHeight="1" x14ac:dyDescent="0.3">
      <c r="A74" s="1226"/>
      <c r="B74" s="1475"/>
      <c r="C74" s="1476"/>
      <c r="D74" s="1476"/>
      <c r="E74" s="1476"/>
      <c r="F74" s="1476"/>
      <c r="G74" s="1476"/>
      <c r="H74" s="1476"/>
    </row>
    <row r="75" spans="1:8" ht="17.75" customHeight="1" x14ac:dyDescent="0.3">
      <c r="A75" s="1226"/>
      <c r="B75" s="1475"/>
      <c r="C75" s="1476"/>
      <c r="D75" s="1476"/>
      <c r="E75" s="1476"/>
      <c r="F75" s="1476"/>
      <c r="G75" s="1476"/>
      <c r="H75" s="1476"/>
    </row>
    <row r="76" spans="1:8" ht="33.5" customHeight="1" x14ac:dyDescent="0.25">
      <c r="A76" s="1231"/>
      <c r="B76" s="1241"/>
      <c r="C76" s="1242"/>
      <c r="D76" s="1241"/>
      <c r="E76" s="1243"/>
      <c r="F76" s="1243"/>
      <c r="G76" s="1241"/>
      <c r="H76" s="1243"/>
    </row>
    <row r="77" spans="1:8" ht="14" x14ac:dyDescent="0.25">
      <c r="A77" s="869"/>
      <c r="B77" s="1244"/>
      <c r="C77" s="1244"/>
      <c r="D77" s="1244"/>
      <c r="E77" s="1245"/>
      <c r="F77" s="1246"/>
      <c r="G77" s="1247"/>
      <c r="H77" s="1248"/>
    </row>
    <row r="78" spans="1:8" ht="14" x14ac:dyDescent="0.25">
      <c r="A78" s="869"/>
      <c r="B78" s="1244"/>
      <c r="C78" s="1244"/>
      <c r="D78" s="1244"/>
      <c r="E78" s="1245"/>
      <c r="F78" s="1246"/>
      <c r="G78" s="1247"/>
      <c r="H78" s="1248"/>
    </row>
    <row r="79" spans="1:8" ht="14.25" customHeight="1" x14ac:dyDescent="0.25">
      <c r="A79" s="869"/>
      <c r="B79" s="1244"/>
      <c r="C79" s="1244"/>
      <c r="D79" s="1244"/>
      <c r="E79" s="1245"/>
      <c r="F79" s="1246"/>
      <c r="G79" s="1247"/>
      <c r="H79" s="1248"/>
    </row>
    <row r="80" spans="1:8" ht="14.25" customHeight="1" x14ac:dyDescent="0.25">
      <c r="A80" s="869"/>
      <c r="B80" s="1244"/>
      <c r="C80" s="1244"/>
      <c r="D80" s="1244"/>
      <c r="E80" s="1245"/>
      <c r="F80" s="1246"/>
      <c r="G80" s="1247"/>
      <c r="H80" s="1248"/>
    </row>
    <row r="81" spans="1:8" ht="14.25" customHeight="1" x14ac:dyDescent="0.25">
      <c r="A81" s="869"/>
      <c r="B81" s="1244"/>
      <c r="C81" s="1244"/>
      <c r="D81" s="1244"/>
      <c r="E81" s="1245"/>
      <c r="F81" s="1246"/>
      <c r="G81" s="1247"/>
      <c r="H81" s="1248"/>
    </row>
    <row r="82" spans="1:8" ht="14.25" customHeight="1" x14ac:dyDescent="0.25">
      <c r="A82" s="869"/>
      <c r="B82" s="1244"/>
      <c r="C82" s="1244"/>
      <c r="D82" s="1244"/>
      <c r="E82" s="1245"/>
      <c r="F82" s="1246"/>
      <c r="G82" s="1247"/>
      <c r="H82" s="1248"/>
    </row>
    <row r="83" spans="1:8" ht="22.25" customHeight="1" x14ac:dyDescent="0.25">
      <c r="A83" s="869"/>
      <c r="B83" s="888"/>
      <c r="C83" s="863"/>
      <c r="D83" s="863"/>
      <c r="E83" s="863"/>
      <c r="F83" s="863"/>
      <c r="G83" s="863"/>
      <c r="H83" s="863"/>
    </row>
    <row r="84" spans="1:8" ht="19.5" customHeight="1" x14ac:dyDescent="0.4">
      <c r="A84" s="869"/>
      <c r="B84" s="889"/>
      <c r="C84" s="863"/>
      <c r="D84" s="863"/>
      <c r="E84" s="863"/>
      <c r="F84" s="863"/>
      <c r="G84" s="863"/>
      <c r="H84" s="869"/>
    </row>
    <row r="85" spans="1:8" ht="14.25" customHeight="1" x14ac:dyDescent="0.25">
      <c r="A85" s="869"/>
      <c r="B85" s="863"/>
      <c r="C85" s="863"/>
      <c r="D85" s="863"/>
      <c r="E85" s="863"/>
      <c r="F85" s="863"/>
      <c r="G85" s="863"/>
      <c r="H85" s="863"/>
    </row>
    <row r="86" spans="1:8" ht="12.75" customHeight="1" x14ac:dyDescent="0.25">
      <c r="A86" s="869"/>
      <c r="B86" s="863"/>
      <c r="C86" s="863"/>
      <c r="D86" s="863"/>
      <c r="E86" s="863"/>
      <c r="F86" s="863"/>
      <c r="G86" s="863"/>
      <c r="H86" s="863"/>
    </row>
    <row r="87" spans="1:8" ht="12.75" customHeight="1" x14ac:dyDescent="0.3">
      <c r="A87" s="1226"/>
      <c r="B87" s="1475"/>
      <c r="C87" s="1476"/>
      <c r="D87" s="1476"/>
      <c r="E87" s="1476"/>
      <c r="F87" s="1476"/>
      <c r="G87" s="1476"/>
      <c r="H87" s="1476"/>
    </row>
    <row r="88" spans="1:8" ht="12.75" customHeight="1" x14ac:dyDescent="0.3">
      <c r="A88" s="1226"/>
      <c r="B88" s="1475"/>
      <c r="C88" s="1476"/>
      <c r="D88" s="1476"/>
      <c r="E88" s="1476"/>
      <c r="F88" s="1476"/>
      <c r="G88" s="1476"/>
      <c r="H88" s="1476"/>
    </row>
    <row r="89" spans="1:8" ht="38" customHeight="1" x14ac:dyDescent="0.25">
      <c r="A89" s="1231"/>
      <c r="B89" s="1241"/>
      <c r="C89" s="1242"/>
      <c r="D89" s="1241"/>
      <c r="E89" s="1243"/>
      <c r="F89" s="1243"/>
      <c r="G89" s="1241"/>
      <c r="H89" s="1243"/>
    </row>
    <row r="90" spans="1:8" ht="17.75" customHeight="1" x14ac:dyDescent="0.25">
      <c r="A90" s="869"/>
      <c r="B90" s="1244"/>
      <c r="C90" s="1244"/>
      <c r="D90" s="1244"/>
      <c r="E90" s="1245"/>
      <c r="F90" s="1246"/>
      <c r="G90" s="1247"/>
      <c r="H90" s="1248"/>
    </row>
    <row r="91" spans="1:8" ht="14" x14ac:dyDescent="0.25">
      <c r="A91" s="869"/>
      <c r="B91" s="1244"/>
      <c r="C91" s="1244"/>
      <c r="D91" s="1244"/>
      <c r="E91" s="1245"/>
      <c r="F91" s="1246"/>
      <c r="G91" s="1247"/>
      <c r="H91" s="1248"/>
    </row>
    <row r="92" spans="1:8" ht="14" x14ac:dyDescent="0.25">
      <c r="A92" s="869"/>
      <c r="B92" s="1244"/>
      <c r="C92" s="1244"/>
      <c r="D92" s="1244"/>
      <c r="E92" s="1245"/>
      <c r="F92" s="1246"/>
      <c r="G92" s="1247"/>
      <c r="H92" s="1248"/>
    </row>
    <row r="93" spans="1:8" ht="14" x14ac:dyDescent="0.25">
      <c r="A93" s="869"/>
      <c r="B93" s="1244"/>
      <c r="C93" s="1244"/>
      <c r="D93" s="1244"/>
      <c r="E93" s="1245"/>
      <c r="F93" s="1246"/>
      <c r="G93" s="1247"/>
      <c r="H93" s="1248"/>
    </row>
    <row r="94" spans="1:8" ht="14.25" customHeight="1" x14ac:dyDescent="0.25">
      <c r="A94" s="869"/>
      <c r="B94" s="1244"/>
      <c r="C94" s="1244"/>
      <c r="D94" s="1244"/>
      <c r="E94" s="1245"/>
      <c r="F94" s="1246"/>
      <c r="G94" s="1247"/>
      <c r="H94" s="1248"/>
    </row>
    <row r="95" spans="1:8" ht="14.25" customHeight="1" x14ac:dyDescent="0.25">
      <c r="A95" s="869"/>
      <c r="B95" s="1244"/>
      <c r="C95" s="1244"/>
      <c r="D95" s="1244"/>
      <c r="E95" s="1245"/>
      <c r="F95" s="1246"/>
      <c r="G95" s="1247"/>
      <c r="H95" s="1248"/>
    </row>
    <row r="96" spans="1:8" ht="19.25" customHeight="1" x14ac:dyDescent="0.25">
      <c r="A96" s="869"/>
      <c r="B96" s="888"/>
      <c r="C96" s="869"/>
      <c r="D96" s="869"/>
      <c r="E96" s="869"/>
      <c r="F96" s="869"/>
      <c r="G96" s="869"/>
      <c r="H96" s="869"/>
    </row>
    <row r="97" spans="1:8" ht="21" customHeight="1" x14ac:dyDescent="0.4">
      <c r="A97" s="869"/>
      <c r="B97" s="889"/>
      <c r="C97" s="869"/>
      <c r="D97" s="869"/>
      <c r="E97" s="869"/>
      <c r="F97" s="869"/>
      <c r="G97" s="869"/>
      <c r="H97" s="869"/>
    </row>
    <row r="98" spans="1:8" ht="14.25" customHeight="1" x14ac:dyDescent="0.25"/>
    <row r="99" spans="1:8" ht="14.25" customHeight="1" x14ac:dyDescent="0.25"/>
    <row r="100" spans="1:8" ht="14.25" customHeight="1" x14ac:dyDescent="0.25"/>
  </sheetData>
  <mergeCells count="10">
    <mergeCell ref="AE2:AG3"/>
    <mergeCell ref="R25:T25"/>
    <mergeCell ref="R26:T26"/>
    <mergeCell ref="B62:H62"/>
    <mergeCell ref="B63:H63"/>
    <mergeCell ref="B74:H74"/>
    <mergeCell ref="B75:H75"/>
    <mergeCell ref="B87:H87"/>
    <mergeCell ref="B88:H88"/>
    <mergeCell ref="B2:H3"/>
  </mergeCells>
  <printOptions horizontalCentered="1"/>
  <pageMargins left="0.5" right="0.5" top="1" bottom="0.5" header="0.3" footer="0.511811023622047"/>
  <pageSetup paperSize="9" scale="33"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rgb="FFFFFF00"/>
    <pageSetUpPr fitToPage="1"/>
  </sheetPr>
  <dimension ref="A1:AG105"/>
  <sheetViews>
    <sheetView topLeftCell="E1" zoomScaleNormal="100" workbookViewId="0">
      <selection activeCell="AC25" sqref="AC25"/>
    </sheetView>
  </sheetViews>
  <sheetFormatPr defaultColWidth="12.5" defaultRowHeight="12.5" x14ac:dyDescent="0.25"/>
  <cols>
    <col min="1" max="1" width="12.5" style="14" customWidth="1"/>
    <col min="2" max="2" width="31.414062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6" width="4.75" style="14" customWidth="1"/>
    <col min="17" max="27" width="12.5" style="14"/>
    <col min="28" max="28" width="6.75" style="14" customWidth="1"/>
    <col min="29" max="16384" width="12.5" style="14"/>
  </cols>
  <sheetData>
    <row r="1" spans="1:33" ht="28.5" customHeight="1" x14ac:dyDescent="0.25">
      <c r="B1" s="79" t="s">
        <v>235</v>
      </c>
      <c r="C1" s="80">
        <v>1000</v>
      </c>
      <c r="D1" s="81" t="s">
        <v>236</v>
      </c>
      <c r="E1" s="116">
        <f>S30</f>
        <v>19050</v>
      </c>
      <c r="F1" s="79" t="s">
        <v>237</v>
      </c>
      <c r="G1" s="116">
        <f>E1/C1</f>
        <v>19.05</v>
      </c>
      <c r="H1" s="79" t="s">
        <v>238</v>
      </c>
      <c r="I1" s="116">
        <f>G1/K1</f>
        <v>19.05</v>
      </c>
      <c r="J1" s="325" t="s">
        <v>239</v>
      </c>
      <c r="K1" s="326">
        <v>1</v>
      </c>
      <c r="L1" s="99"/>
      <c r="M1" s="99" t="s">
        <v>373</v>
      </c>
      <c r="N1" s="99"/>
      <c r="O1" s="99"/>
      <c r="P1" s="99"/>
      <c r="Q1" s="99"/>
      <c r="R1" s="99"/>
      <c r="S1" s="99"/>
      <c r="T1" s="99"/>
      <c r="U1" s="99"/>
      <c r="V1" s="99"/>
      <c r="Y1" s="90" t="s">
        <v>463</v>
      </c>
      <c r="Z1" s="835">
        <v>19050</v>
      </c>
      <c r="AA1" s="90" t="s">
        <v>578</v>
      </c>
      <c r="AB1" s="835">
        <v>0</v>
      </c>
      <c r="AC1" s="90" t="s">
        <v>567</v>
      </c>
      <c r="AD1" s="835">
        <v>127</v>
      </c>
    </row>
    <row r="2" spans="1:33" ht="12.75" customHeight="1" x14ac:dyDescent="0.25">
      <c r="A2" s="329"/>
      <c r="B2" s="1443" t="s">
        <v>374</v>
      </c>
      <c r="C2" s="1466"/>
      <c r="D2" s="1466"/>
      <c r="E2" s="1466"/>
      <c r="F2" s="1466"/>
      <c r="G2" s="1466"/>
      <c r="H2" s="1466"/>
      <c r="I2" s="351"/>
      <c r="J2" s="351"/>
      <c r="K2" s="351"/>
      <c r="L2" s="99"/>
      <c r="M2" s="99"/>
      <c r="N2" s="99"/>
      <c r="O2" s="99"/>
      <c r="P2" s="99"/>
      <c r="Q2" s="99"/>
      <c r="R2" s="99"/>
      <c r="S2" s="99"/>
      <c r="T2" s="99"/>
      <c r="U2" s="99"/>
      <c r="AE2" s="1452"/>
      <c r="AF2" s="1460"/>
      <c r="AG2" s="1460"/>
    </row>
    <row r="3" spans="1:33" ht="12.75" customHeight="1" x14ac:dyDescent="0.25">
      <c r="A3" s="329"/>
      <c r="B3" s="1444"/>
      <c r="C3" s="1444"/>
      <c r="D3" s="1444"/>
      <c r="E3" s="1444"/>
      <c r="F3" s="1444"/>
      <c r="G3" s="1444"/>
      <c r="H3" s="1444"/>
      <c r="I3" s="99"/>
      <c r="J3" s="99"/>
      <c r="K3" s="99"/>
      <c r="L3" s="99"/>
      <c r="M3" s="99"/>
      <c r="N3" s="99"/>
      <c r="O3" s="99"/>
      <c r="P3" s="99"/>
      <c r="Q3" s="99"/>
      <c r="R3" s="99"/>
      <c r="S3" s="99"/>
      <c r="T3" s="99"/>
      <c r="U3" s="99"/>
      <c r="AE3" s="1460"/>
      <c r="AF3" s="1460"/>
      <c r="AG3" s="1460"/>
    </row>
    <row r="4" spans="1:33" ht="68.75" customHeight="1" x14ac:dyDescent="0.25">
      <c r="A4" s="90" t="s">
        <v>1</v>
      </c>
      <c r="B4" s="90" t="s">
        <v>245</v>
      </c>
      <c r="C4" s="106" t="s">
        <v>246</v>
      </c>
      <c r="D4" s="90" t="s">
        <v>235</v>
      </c>
      <c r="E4" s="217" t="s">
        <v>238</v>
      </c>
      <c r="F4" s="107" t="s">
        <v>247</v>
      </c>
      <c r="G4" s="90" t="s">
        <v>248</v>
      </c>
      <c r="H4" s="106" t="s">
        <v>339</v>
      </c>
      <c r="I4" s="90" t="s">
        <v>250</v>
      </c>
      <c r="J4" s="90" t="s">
        <v>251</v>
      </c>
      <c r="K4" s="90" t="s">
        <v>252</v>
      </c>
      <c r="L4" s="90" t="s">
        <v>253</v>
      </c>
      <c r="M4" s="99"/>
      <c r="N4" s="99"/>
      <c r="O4" s="99"/>
      <c r="P4" s="99"/>
      <c r="Q4" s="99"/>
      <c r="R4" s="99"/>
      <c r="S4" s="99"/>
      <c r="T4" s="99"/>
      <c r="U4" s="99"/>
    </row>
    <row r="5" spans="1:33" ht="14.25" customHeight="1" x14ac:dyDescent="0.25">
      <c r="A5" s="218"/>
      <c r="B5" s="649"/>
      <c r="C5" s="650"/>
      <c r="D5" s="218"/>
      <c r="E5" s="651"/>
      <c r="F5" s="218"/>
      <c r="G5" s="218"/>
      <c r="H5" s="650"/>
      <c r="I5" s="80"/>
      <c r="J5" s="120"/>
      <c r="K5" s="121"/>
      <c r="L5" s="121"/>
      <c r="M5" s="99"/>
    </row>
    <row r="6" spans="1:33" ht="14.25" customHeight="1" x14ac:dyDescent="0.25">
      <c r="A6" s="294" t="s">
        <v>13</v>
      </c>
      <c r="B6" s="22" t="s">
        <v>19</v>
      </c>
      <c r="C6" s="123" t="s">
        <v>14</v>
      </c>
      <c r="D6" s="1123">
        <v>450</v>
      </c>
      <c r="E6" s="115">
        <f t="shared" ref="E6:E13" si="0">$I$1</f>
        <v>19.05</v>
      </c>
      <c r="F6" s="126">
        <v>1</v>
      </c>
      <c r="G6" s="118">
        <f t="shared" ref="G6:G13" si="1">D6*E6</f>
        <v>8572.5</v>
      </c>
      <c r="H6" s="119">
        <f t="shared" ref="H6:H13" si="2">G6*F6</f>
        <v>8572.5</v>
      </c>
      <c r="I6" s="80">
        <f>VLOOKUP(B6,All_Ingredients!$A$1:$F$149,6,FALSE())</f>
        <v>0.84</v>
      </c>
      <c r="J6" s="120">
        <f>VLOOKUP(B6,All_Ingredients!$A$1:$J$149,10,FALSE())</f>
        <v>2.6</v>
      </c>
      <c r="K6" s="121">
        <f t="shared" ref="K6:K13" si="3">(H6/I6)/1000</f>
        <v>10.205357142857142</v>
      </c>
      <c r="L6" s="121">
        <f t="shared" ref="L6:L13" si="4">K6*J6</f>
        <v>26.533928571428572</v>
      </c>
    </row>
    <row r="7" spans="1:33" ht="14.25" customHeight="1" x14ac:dyDescent="0.25">
      <c r="A7" s="294" t="s">
        <v>13</v>
      </c>
      <c r="B7" s="22" t="s">
        <v>47</v>
      </c>
      <c r="C7" s="123" t="s">
        <v>14</v>
      </c>
      <c r="D7" s="1123">
        <v>450</v>
      </c>
      <c r="E7" s="115">
        <f t="shared" si="0"/>
        <v>19.05</v>
      </c>
      <c r="F7" s="126">
        <v>1</v>
      </c>
      <c r="G7" s="118">
        <f t="shared" si="1"/>
        <v>8572.5</v>
      </c>
      <c r="H7" s="119">
        <f t="shared" si="2"/>
        <v>8572.5</v>
      </c>
      <c r="I7" s="80">
        <f>VLOOKUP(B7,All_Ingredients!$A$1:$F$149,6,FALSE())</f>
        <v>0.78</v>
      </c>
      <c r="J7" s="120">
        <f>VLOOKUP(B7,All_Ingredients!$A$1:$J$149,10,FALSE())</f>
        <v>3.7</v>
      </c>
      <c r="K7" s="121">
        <f t="shared" si="3"/>
        <v>10.990384615384615</v>
      </c>
      <c r="L7" s="121">
        <f t="shared" si="4"/>
        <v>40.664423076923079</v>
      </c>
    </row>
    <row r="8" spans="1:33" ht="14.25" customHeight="1" x14ac:dyDescent="0.25">
      <c r="A8" s="294" t="s">
        <v>13</v>
      </c>
      <c r="B8" s="22" t="s">
        <v>28</v>
      </c>
      <c r="C8" s="123" t="s">
        <v>14</v>
      </c>
      <c r="D8" s="1123">
        <v>80</v>
      </c>
      <c r="E8" s="115">
        <f t="shared" si="0"/>
        <v>19.05</v>
      </c>
      <c r="F8" s="126">
        <v>1</v>
      </c>
      <c r="G8" s="118">
        <f t="shared" si="1"/>
        <v>1524</v>
      </c>
      <c r="H8" s="119">
        <f t="shared" si="2"/>
        <v>1524</v>
      </c>
      <c r="I8" s="80">
        <f>VLOOKUP(B8,All_Ingredients!$A$1:$F$149,6,FALSE())</f>
        <v>0.73</v>
      </c>
      <c r="J8" s="120">
        <f>VLOOKUP(B8,All_Ingredients!$A$1:$J$149,10,FALSE())</f>
        <v>8.5</v>
      </c>
      <c r="K8" s="121">
        <f t="shared" si="3"/>
        <v>2.0876712328767124</v>
      </c>
      <c r="L8" s="121">
        <f t="shared" si="4"/>
        <v>17.745205479452057</v>
      </c>
    </row>
    <row r="9" spans="1:33" ht="14.25" customHeight="1" x14ac:dyDescent="0.25">
      <c r="A9" s="294" t="s">
        <v>13</v>
      </c>
      <c r="B9" s="22" t="s">
        <v>30</v>
      </c>
      <c r="C9" s="123" t="s">
        <v>14</v>
      </c>
      <c r="D9" s="1123">
        <v>80</v>
      </c>
      <c r="E9" s="115">
        <f t="shared" si="0"/>
        <v>19.05</v>
      </c>
      <c r="F9" s="126">
        <v>1</v>
      </c>
      <c r="G9" s="118">
        <f t="shared" si="1"/>
        <v>1524</v>
      </c>
      <c r="H9" s="119">
        <f t="shared" si="2"/>
        <v>1524</v>
      </c>
      <c r="I9" s="80">
        <f>VLOOKUP(B9,All_Ingredients!$A$1:$F$149,6,FALSE())</f>
        <v>0.71</v>
      </c>
      <c r="J9" s="120">
        <f>VLOOKUP(B9,All_Ingredients!$A$1:$J$149,10,FALSE())</f>
        <v>8.5</v>
      </c>
      <c r="K9" s="121">
        <f t="shared" si="3"/>
        <v>2.1464788732394369</v>
      </c>
      <c r="L9" s="121">
        <f t="shared" si="4"/>
        <v>18.245070422535214</v>
      </c>
    </row>
    <row r="10" spans="1:33" ht="14.25" customHeight="1" x14ac:dyDescent="0.25">
      <c r="A10" s="294" t="s">
        <v>13</v>
      </c>
      <c r="B10" s="22" t="s">
        <v>32</v>
      </c>
      <c r="C10" s="123" t="s">
        <v>14</v>
      </c>
      <c r="D10" s="1123">
        <v>80</v>
      </c>
      <c r="E10" s="115">
        <f t="shared" si="0"/>
        <v>19.05</v>
      </c>
      <c r="F10" s="126">
        <v>1</v>
      </c>
      <c r="G10" s="118">
        <f t="shared" si="1"/>
        <v>1524</v>
      </c>
      <c r="H10" s="119">
        <f t="shared" si="2"/>
        <v>1524</v>
      </c>
      <c r="I10" s="80">
        <f>VLOOKUP(B10,All_Ingredients!$A$1:$F$149,6,FALSE())</f>
        <v>0.69</v>
      </c>
      <c r="J10" s="120">
        <f>VLOOKUP(B10,All_Ingredients!$A$1:$J$149,10,FALSE())</f>
        <v>4</v>
      </c>
      <c r="K10" s="121">
        <f t="shared" si="3"/>
        <v>2.2086956521739132</v>
      </c>
      <c r="L10" s="121">
        <f t="shared" si="4"/>
        <v>8.8347826086956527</v>
      </c>
    </row>
    <row r="11" spans="1:33" ht="14.25" customHeight="1" x14ac:dyDescent="0.25">
      <c r="A11" s="294" t="s">
        <v>13</v>
      </c>
      <c r="B11" s="22" t="s">
        <v>50</v>
      </c>
      <c r="C11" s="123" t="s">
        <v>14</v>
      </c>
      <c r="D11" s="1123">
        <v>80</v>
      </c>
      <c r="E11" s="115">
        <f t="shared" si="0"/>
        <v>19.05</v>
      </c>
      <c r="F11" s="126">
        <v>1</v>
      </c>
      <c r="G11" s="118">
        <f t="shared" si="1"/>
        <v>1524</v>
      </c>
      <c r="H11" s="119">
        <f t="shared" si="2"/>
        <v>1524</v>
      </c>
      <c r="I11" s="80">
        <f>VLOOKUP(B11,All_Ingredients!$A$1:$F$149,6,FALSE())</f>
        <v>0.75</v>
      </c>
      <c r="J11" s="120">
        <f>VLOOKUP(B11,All_Ingredients!$A$1:$J$149,10,FALSE())</f>
        <v>20</v>
      </c>
      <c r="K11" s="121">
        <f t="shared" si="3"/>
        <v>2.032</v>
      </c>
      <c r="L11" s="121">
        <f t="shared" si="4"/>
        <v>40.64</v>
      </c>
    </row>
    <row r="12" spans="1:33" ht="14.25" customHeight="1" x14ac:dyDescent="0.25">
      <c r="A12" s="294" t="s">
        <v>95</v>
      </c>
      <c r="B12" s="22" t="s">
        <v>94</v>
      </c>
      <c r="C12" s="123" t="s">
        <v>14</v>
      </c>
      <c r="D12" s="115">
        <v>4</v>
      </c>
      <c r="E12" s="115">
        <f t="shared" si="0"/>
        <v>19.05</v>
      </c>
      <c r="F12" s="126">
        <v>0.75</v>
      </c>
      <c r="G12" s="118">
        <f t="shared" si="1"/>
        <v>76.2</v>
      </c>
      <c r="H12" s="119">
        <f t="shared" si="2"/>
        <v>57.150000000000006</v>
      </c>
      <c r="I12" s="80">
        <f>VLOOKUP(B12,All_Ingredients!$A$1:$F$149,6,FALSE())</f>
        <v>1</v>
      </c>
      <c r="J12" s="120">
        <f>VLOOKUP(B12,All_Ingredients!$A$1:$J$149,10,FALSE())</f>
        <v>0.74</v>
      </c>
      <c r="K12" s="121">
        <f t="shared" si="3"/>
        <v>5.7150000000000006E-2</v>
      </c>
      <c r="L12" s="121">
        <f t="shared" si="4"/>
        <v>4.2291000000000002E-2</v>
      </c>
    </row>
    <row r="13" spans="1:33" ht="14.25" customHeight="1" x14ac:dyDescent="0.25">
      <c r="A13" s="294" t="s">
        <v>95</v>
      </c>
      <c r="B13" s="322" t="s">
        <v>100</v>
      </c>
      <c r="C13" s="123" t="s">
        <v>14</v>
      </c>
      <c r="D13" s="196">
        <v>0.5</v>
      </c>
      <c r="E13" s="115">
        <f t="shared" si="0"/>
        <v>19.05</v>
      </c>
      <c r="F13" s="126">
        <v>1</v>
      </c>
      <c r="G13" s="118">
        <f t="shared" si="1"/>
        <v>9.5250000000000004</v>
      </c>
      <c r="H13" s="119">
        <f t="shared" si="2"/>
        <v>9.5250000000000004</v>
      </c>
      <c r="I13" s="80">
        <f>VLOOKUP(B13,All_Ingredients!$A$1:$F$149,6,FALSE())</f>
        <v>1</v>
      </c>
      <c r="J13" s="120">
        <f>VLOOKUP(B13,All_Ingredients!$A$1:$J$149,10,FALSE())</f>
        <v>31</v>
      </c>
      <c r="K13" s="121">
        <f t="shared" si="3"/>
        <v>9.5250000000000005E-3</v>
      </c>
      <c r="L13" s="121">
        <f t="shared" si="4"/>
        <v>0.29527500000000001</v>
      </c>
    </row>
    <row r="14" spans="1:33" ht="14.25" customHeight="1" x14ac:dyDescent="0.25">
      <c r="B14" s="355"/>
      <c r="C14" s="356"/>
      <c r="D14" s="358"/>
      <c r="E14" s="358"/>
      <c r="F14" s="359"/>
      <c r="G14" s="360"/>
      <c r="H14" s="361"/>
    </row>
    <row r="15" spans="1:33" ht="14.25" customHeight="1" x14ac:dyDescent="0.25">
      <c r="B15" s="348"/>
      <c r="C15" s="132"/>
      <c r="D15" s="253"/>
      <c r="E15" s="224"/>
      <c r="F15" s="135"/>
      <c r="G15" s="139"/>
      <c r="H15" s="137"/>
    </row>
    <row r="16" spans="1:33" ht="14.25" customHeight="1" x14ac:dyDescent="0.25">
      <c r="E16" s="99"/>
      <c r="F16" s="99"/>
    </row>
    <row r="17" spans="2:29" ht="14.25" customHeight="1" x14ac:dyDescent="0.25">
      <c r="E17" s="99"/>
      <c r="F17" s="99"/>
    </row>
    <row r="18" spans="2:29" ht="14.25" customHeight="1" x14ac:dyDescent="0.25">
      <c r="E18" s="99"/>
      <c r="F18" s="99"/>
    </row>
    <row r="19" spans="2:29" ht="14.25" customHeight="1" x14ac:dyDescent="0.25">
      <c r="E19" s="99"/>
      <c r="F19" s="99"/>
    </row>
    <row r="20" spans="2:29" ht="14.25" customHeight="1" x14ac:dyDescent="0.25">
      <c r="E20" s="99"/>
      <c r="F20" s="99"/>
    </row>
    <row r="21" spans="2:29" ht="14.25" customHeight="1" x14ac:dyDescent="0.25">
      <c r="E21" s="99"/>
      <c r="F21" s="99"/>
    </row>
    <row r="22" spans="2:29" ht="14.25" customHeight="1" x14ac:dyDescent="0.3">
      <c r="B22" s="11"/>
      <c r="C22" s="335"/>
      <c r="D22" s="336"/>
      <c r="E22" s="99"/>
      <c r="F22" s="99"/>
    </row>
    <row r="23" spans="2:29" ht="14.25" customHeight="1" x14ac:dyDescent="0.3">
      <c r="B23" s="11"/>
      <c r="C23" s="335"/>
      <c r="D23" s="336"/>
      <c r="E23" s="99"/>
      <c r="F23" s="99"/>
    </row>
    <row r="24" spans="2:29" ht="14.25" customHeight="1" x14ac:dyDescent="0.3">
      <c r="B24" s="11"/>
      <c r="C24" s="335"/>
      <c r="D24" s="336"/>
      <c r="E24" s="99"/>
      <c r="F24" s="99"/>
      <c r="Z24" s="1208"/>
    </row>
    <row r="25" spans="2:29" ht="14.25" customHeight="1" x14ac:dyDescent="0.3">
      <c r="B25" s="11"/>
      <c r="C25" s="335"/>
      <c r="D25" s="336"/>
      <c r="E25" s="99"/>
      <c r="F25" s="99"/>
      <c r="R25" s="1482" t="s">
        <v>375</v>
      </c>
      <c r="S25" s="1446"/>
      <c r="T25" s="1483"/>
      <c r="Z25" s="140" t="s">
        <v>14</v>
      </c>
      <c r="AA25" s="141">
        <v>1</v>
      </c>
      <c r="AB25" s="140" t="s">
        <v>253</v>
      </c>
      <c r="AC25" s="142">
        <f>(S31/S30)*AA25</f>
        <v>8.0315473049361978E-3</v>
      </c>
    </row>
    <row r="26" spans="2:29" ht="14.25" customHeight="1" x14ac:dyDescent="0.3">
      <c r="B26" s="11"/>
      <c r="C26" s="335"/>
      <c r="D26" s="336"/>
      <c r="E26" s="99"/>
      <c r="F26" s="99"/>
      <c r="R26" s="1482" t="s">
        <v>342</v>
      </c>
      <c r="S26" s="1446"/>
      <c r="T26" s="1483"/>
    </row>
    <row r="27" spans="2:29" ht="14.25" customHeight="1" x14ac:dyDescent="0.3">
      <c r="B27" s="11"/>
      <c r="C27" s="335"/>
      <c r="D27" s="336"/>
      <c r="E27" s="99"/>
      <c r="F27" s="99"/>
      <c r="R27" s="144" t="s">
        <v>258</v>
      </c>
      <c r="S27" s="144" t="s">
        <v>343</v>
      </c>
      <c r="T27" s="144" t="s">
        <v>261</v>
      </c>
    </row>
    <row r="28" spans="2:29" ht="14.25" customHeight="1" x14ac:dyDescent="0.3">
      <c r="B28" s="11"/>
      <c r="C28" s="335"/>
      <c r="D28" s="336"/>
      <c r="E28" s="99"/>
      <c r="F28" s="99"/>
      <c r="R28" s="144" t="s">
        <v>267</v>
      </c>
      <c r="S28" s="1372">
        <f>T28</f>
        <v>19050</v>
      </c>
      <c r="T28" s="1362">
        <f>$Z$1</f>
        <v>19050</v>
      </c>
      <c r="U28" s="1377"/>
    </row>
    <row r="29" spans="2:29" ht="14.25" customHeight="1" x14ac:dyDescent="0.3">
      <c r="B29" s="11"/>
      <c r="C29" s="335"/>
      <c r="D29" s="336"/>
      <c r="E29" s="99"/>
      <c r="F29" s="99"/>
      <c r="R29" s="144" t="s">
        <v>269</v>
      </c>
      <c r="S29" s="1362">
        <f>$AB$1</f>
        <v>0</v>
      </c>
      <c r="T29" s="787">
        <f>S29</f>
        <v>0</v>
      </c>
      <c r="U29" s="1377"/>
    </row>
    <row r="30" spans="2:29" ht="14.25" customHeight="1" thickBot="1" x14ac:dyDescent="0.35">
      <c r="B30" s="11"/>
      <c r="C30" s="335"/>
      <c r="D30" s="336"/>
      <c r="E30" s="99"/>
      <c r="F30" s="99"/>
      <c r="R30" s="144" t="s">
        <v>261</v>
      </c>
      <c r="S30" s="1400">
        <f>SUM(S28:S29)</f>
        <v>19050</v>
      </c>
      <c r="T30" s="1400">
        <f>S30</f>
        <v>19050</v>
      </c>
      <c r="U30" s="1377"/>
    </row>
    <row r="31" spans="2:29" ht="14.25" customHeight="1" thickBot="1" x14ac:dyDescent="0.35">
      <c r="B31" s="99"/>
      <c r="E31" s="99"/>
      <c r="F31" s="99"/>
      <c r="R31" s="162" t="s">
        <v>253</v>
      </c>
      <c r="S31" s="1125">
        <f>SUM(L6:L13)</f>
        <v>153.00097615903456</v>
      </c>
      <c r="T31" s="1196">
        <f>S31</f>
        <v>153.00097615903456</v>
      </c>
    </row>
    <row r="32" spans="2:29" ht="14.25" customHeight="1" x14ac:dyDescent="0.25">
      <c r="B32" s="99"/>
      <c r="E32" s="99"/>
      <c r="F32" s="99"/>
    </row>
    <row r="41" ht="14" customHeight="1" x14ac:dyDescent="0.25"/>
    <row r="42" ht="14" customHeight="1" x14ac:dyDescent="0.25"/>
    <row r="50" spans="1:8" ht="14" x14ac:dyDescent="0.3">
      <c r="B50" s="225"/>
      <c r="C50" s="225" t="s">
        <v>237</v>
      </c>
      <c r="D50" s="225" t="s">
        <v>283</v>
      </c>
    </row>
    <row r="51" spans="1:8" ht="14" x14ac:dyDescent="0.3">
      <c r="B51" s="179" t="s">
        <v>287</v>
      </c>
      <c r="C51" s="180">
        <f>10/$K$1</f>
        <v>10</v>
      </c>
      <c r="D51" s="181">
        <f>$C$1*10</f>
        <v>10000</v>
      </c>
    </row>
    <row r="52" spans="1:8" ht="14" x14ac:dyDescent="0.3">
      <c r="B52" s="230" t="s">
        <v>261</v>
      </c>
      <c r="C52" s="232">
        <f>G1</f>
        <v>19.05</v>
      </c>
      <c r="D52" s="232">
        <f>E1</f>
        <v>19050</v>
      </c>
    </row>
    <row r="53" spans="1:8" ht="14" x14ac:dyDescent="0.3">
      <c r="B53" s="230" t="s">
        <v>288</v>
      </c>
      <c r="C53" s="233">
        <f>MIN($C$52, $C$51)</f>
        <v>10</v>
      </c>
      <c r="D53" s="232">
        <f>(C53*$K$1)*$C$1</f>
        <v>10000</v>
      </c>
    </row>
    <row r="54" spans="1:8" ht="14" x14ac:dyDescent="0.3">
      <c r="B54" s="230" t="s">
        <v>289</v>
      </c>
      <c r="C54" s="233">
        <f>MIN(MAX($C$52-C53,0),$C$51)</f>
        <v>9.0500000000000007</v>
      </c>
      <c r="D54" s="232">
        <f>(C54*$K$1)*$C$1</f>
        <v>9050</v>
      </c>
    </row>
    <row r="55" spans="1:8" ht="14" x14ac:dyDescent="0.3">
      <c r="B55" s="230" t="s">
        <v>290</v>
      </c>
      <c r="C55" s="233">
        <f>MIN(MAX($C$52-C53-C54,0),$C$51)</f>
        <v>0</v>
      </c>
      <c r="D55" s="232">
        <f>(C55*$K$1)*$C$1</f>
        <v>0</v>
      </c>
    </row>
    <row r="61" spans="1:8" ht="14" customHeight="1" x14ac:dyDescent="0.25"/>
    <row r="62" spans="1:8" ht="17.75" customHeight="1" x14ac:dyDescent="0.3">
      <c r="A62" s="927"/>
      <c r="B62" s="1438" t="s">
        <v>828</v>
      </c>
      <c r="C62" s="1439"/>
      <c r="D62" s="1439"/>
      <c r="E62" s="1439"/>
      <c r="F62" s="1439"/>
      <c r="G62" s="1439"/>
      <c r="H62" s="1439"/>
    </row>
    <row r="63" spans="1:8" ht="14" x14ac:dyDescent="0.3">
      <c r="A63" s="927"/>
      <c r="B63" s="1436" t="s">
        <v>374</v>
      </c>
      <c r="C63" s="1437"/>
      <c r="D63" s="1437"/>
      <c r="E63" s="1437"/>
      <c r="F63" s="1437"/>
      <c r="G63" s="1437"/>
      <c r="H63" s="1437"/>
    </row>
    <row r="64" spans="1:8" ht="52.5" customHeight="1" x14ac:dyDescent="0.25">
      <c r="A64" s="90"/>
      <c r="B64" s="407" t="s">
        <v>245</v>
      </c>
      <c r="C64" s="408" t="s">
        <v>246</v>
      </c>
      <c r="D64" s="409" t="s">
        <v>235</v>
      </c>
      <c r="E64" s="410" t="s">
        <v>238</v>
      </c>
      <c r="F64" s="410" t="s">
        <v>247</v>
      </c>
      <c r="G64" s="409" t="s">
        <v>248</v>
      </c>
      <c r="H64" s="410" t="s">
        <v>249</v>
      </c>
    </row>
    <row r="65" spans="1:8" ht="14.25" customHeight="1" x14ac:dyDescent="0.25">
      <c r="A65" s="294" t="s">
        <v>13</v>
      </c>
      <c r="B65" s="322" t="str">
        <f t="shared" ref="B65:D72" si="5">B6</f>
        <v>Carrot - جزر</v>
      </c>
      <c r="C65" s="123" t="str">
        <f t="shared" si="5"/>
        <v>gm</v>
      </c>
      <c r="D65" s="115">
        <f t="shared" si="5"/>
        <v>450</v>
      </c>
      <c r="E65" s="115">
        <f>$C$52</f>
        <v>19.05</v>
      </c>
      <c r="F65" s="126">
        <f t="shared" ref="F65:F72" si="6">F6</f>
        <v>1</v>
      </c>
      <c r="G65" s="118">
        <f t="shared" ref="G65:G72" si="7">D65*E65</f>
        <v>8572.5</v>
      </c>
      <c r="H65" s="119">
        <f t="shared" ref="H65:H72" si="8">G65*F65</f>
        <v>8572.5</v>
      </c>
    </row>
    <row r="66" spans="1:8" ht="14.25" customHeight="1" x14ac:dyDescent="0.25">
      <c r="A66" s="294" t="s">
        <v>13</v>
      </c>
      <c r="B66" s="322" t="str">
        <f t="shared" si="5"/>
        <v>Zucchini - كوسة</v>
      </c>
      <c r="C66" s="123" t="str">
        <f t="shared" si="5"/>
        <v>gm</v>
      </c>
      <c r="D66" s="115">
        <f t="shared" si="5"/>
        <v>450</v>
      </c>
      <c r="E66" s="115">
        <f t="shared" ref="E66:E72" si="9">$C$52</f>
        <v>19.05</v>
      </c>
      <c r="F66" s="126">
        <f t="shared" si="6"/>
        <v>1</v>
      </c>
      <c r="G66" s="118">
        <f t="shared" si="7"/>
        <v>8572.5</v>
      </c>
      <c r="H66" s="119">
        <f t="shared" si="8"/>
        <v>8572.5</v>
      </c>
    </row>
    <row r="67" spans="1:8" ht="14.25" customHeight="1" x14ac:dyDescent="0.25">
      <c r="A67" s="294" t="s">
        <v>13</v>
      </c>
      <c r="B67" s="322" t="str">
        <f t="shared" si="5"/>
        <v xml:space="preserve">Red Bell Pepper - فلفل أحمر </v>
      </c>
      <c r="C67" s="123" t="str">
        <f t="shared" si="5"/>
        <v>gm</v>
      </c>
      <c r="D67" s="115">
        <f t="shared" si="5"/>
        <v>80</v>
      </c>
      <c r="E67" s="115">
        <f t="shared" si="9"/>
        <v>19.05</v>
      </c>
      <c r="F67" s="126">
        <f t="shared" si="6"/>
        <v>1</v>
      </c>
      <c r="G67" s="118">
        <f t="shared" si="7"/>
        <v>1524</v>
      </c>
      <c r="H67" s="119">
        <f t="shared" si="8"/>
        <v>1524</v>
      </c>
    </row>
    <row r="68" spans="1:8" ht="14.25" customHeight="1" x14ac:dyDescent="0.25">
      <c r="A68" s="294" t="s">
        <v>13</v>
      </c>
      <c r="B68" s="322" t="str">
        <f t="shared" si="5"/>
        <v xml:space="preserve">Yellow Bell Pepper - فلفل أصفر </v>
      </c>
      <c r="C68" s="123" t="str">
        <f t="shared" si="5"/>
        <v>gm</v>
      </c>
      <c r="D68" s="115">
        <f t="shared" si="5"/>
        <v>80</v>
      </c>
      <c r="E68" s="115">
        <f t="shared" si="9"/>
        <v>19.05</v>
      </c>
      <c r="F68" s="126">
        <f t="shared" si="6"/>
        <v>1</v>
      </c>
      <c r="G68" s="118">
        <f t="shared" si="7"/>
        <v>1524</v>
      </c>
      <c r="H68" s="119">
        <f t="shared" si="8"/>
        <v>1524</v>
      </c>
    </row>
    <row r="69" spans="1:8" ht="14.25" customHeight="1" x14ac:dyDescent="0.25">
      <c r="A69" s="294" t="s">
        <v>13</v>
      </c>
      <c r="B69" s="322" t="str">
        <f t="shared" si="5"/>
        <v>Green Bell Pepper - فلفل أخضر رومى</v>
      </c>
      <c r="C69" s="123" t="str">
        <f t="shared" si="5"/>
        <v>gm</v>
      </c>
      <c r="D69" s="115">
        <f t="shared" si="5"/>
        <v>80</v>
      </c>
      <c r="E69" s="115">
        <f t="shared" si="9"/>
        <v>19.05</v>
      </c>
      <c r="F69" s="126">
        <f t="shared" si="6"/>
        <v>1</v>
      </c>
      <c r="G69" s="118">
        <f t="shared" si="7"/>
        <v>1524</v>
      </c>
      <c r="H69" s="119">
        <f t="shared" si="8"/>
        <v>1524</v>
      </c>
    </row>
    <row r="70" spans="1:8" ht="14.25" customHeight="1" x14ac:dyDescent="0.25">
      <c r="A70" s="294" t="s">
        <v>13</v>
      </c>
      <c r="B70" s="322" t="str">
        <f t="shared" si="5"/>
        <v>Chinese Cabbage - ملفوف صيني</v>
      </c>
      <c r="C70" s="123" t="str">
        <f t="shared" si="5"/>
        <v>gm</v>
      </c>
      <c r="D70" s="115">
        <f t="shared" si="5"/>
        <v>80</v>
      </c>
      <c r="E70" s="115">
        <f t="shared" si="9"/>
        <v>19.05</v>
      </c>
      <c r="F70" s="126">
        <f t="shared" si="6"/>
        <v>1</v>
      </c>
      <c r="G70" s="118">
        <f t="shared" si="7"/>
        <v>1524</v>
      </c>
      <c r="H70" s="119">
        <f t="shared" si="8"/>
        <v>1524</v>
      </c>
    </row>
    <row r="71" spans="1:8" ht="14.25" customHeight="1" x14ac:dyDescent="0.25">
      <c r="A71" s="294" t="s">
        <v>95</v>
      </c>
      <c r="B71" s="322" t="str">
        <f t="shared" si="5"/>
        <v>Salt - ملح</v>
      </c>
      <c r="C71" s="123" t="str">
        <f t="shared" si="5"/>
        <v>gm</v>
      </c>
      <c r="D71" s="115">
        <f t="shared" si="5"/>
        <v>4</v>
      </c>
      <c r="E71" s="115">
        <f t="shared" si="9"/>
        <v>19.05</v>
      </c>
      <c r="F71" s="126">
        <f t="shared" si="6"/>
        <v>0.75</v>
      </c>
      <c r="G71" s="118">
        <f t="shared" si="7"/>
        <v>76.2</v>
      </c>
      <c r="H71" s="119">
        <f t="shared" si="8"/>
        <v>57.150000000000006</v>
      </c>
    </row>
    <row r="72" spans="1:8" ht="12.75" customHeight="1" x14ac:dyDescent="0.25">
      <c r="A72" s="294" t="s">
        <v>95</v>
      </c>
      <c r="B72" s="322" t="str">
        <f t="shared" si="5"/>
        <v>Black Pepper Powder - فلفل أسود مطحون</v>
      </c>
      <c r="C72" s="123" t="str">
        <f t="shared" si="5"/>
        <v>gm</v>
      </c>
      <c r="D72" s="222">
        <f t="shared" si="5"/>
        <v>0.5</v>
      </c>
      <c r="E72" s="115">
        <f t="shared" si="9"/>
        <v>19.05</v>
      </c>
      <c r="F72" s="126">
        <f t="shared" si="6"/>
        <v>1</v>
      </c>
      <c r="G72" s="118">
        <f t="shared" si="7"/>
        <v>9.5250000000000004</v>
      </c>
      <c r="H72" s="119">
        <f t="shared" si="8"/>
        <v>9.5250000000000004</v>
      </c>
    </row>
    <row r="73" spans="1:8" ht="14.25" customHeight="1" x14ac:dyDescent="0.25">
      <c r="B73" s="197" t="s">
        <v>740</v>
      </c>
      <c r="E73" s="99"/>
      <c r="F73" s="99"/>
    </row>
    <row r="74" spans="1:8" ht="23.75" customHeight="1" x14ac:dyDescent="0.4">
      <c r="B74" s="198">
        <f>D52</f>
        <v>19050</v>
      </c>
      <c r="C74" s="207"/>
      <c r="D74" s="4"/>
      <c r="E74" s="99"/>
      <c r="F74" s="182"/>
    </row>
    <row r="75" spans="1:8" ht="12.75" customHeight="1" x14ac:dyDescent="0.25">
      <c r="B75" s="99"/>
      <c r="E75" s="99"/>
      <c r="F75" s="99"/>
    </row>
    <row r="76" spans="1:8" ht="12.75" customHeight="1" x14ac:dyDescent="0.25">
      <c r="B76" s="99"/>
      <c r="C76" s="99"/>
      <c r="D76" s="345"/>
      <c r="E76" s="99"/>
      <c r="F76" s="99"/>
      <c r="G76" s="99"/>
      <c r="H76" s="99"/>
    </row>
    <row r="77" spans="1:8" ht="17.75" customHeight="1" x14ac:dyDescent="0.25">
      <c r="B77" s="99"/>
      <c r="C77" s="99"/>
      <c r="D77" s="99"/>
      <c r="E77" s="99"/>
      <c r="F77" s="99"/>
      <c r="G77" s="99"/>
      <c r="H77" s="99"/>
    </row>
    <row r="78" spans="1:8" ht="17.75" customHeight="1" x14ac:dyDescent="0.3">
      <c r="A78" s="1226"/>
      <c r="B78" s="1475"/>
      <c r="C78" s="1476"/>
      <c r="D78" s="1476"/>
      <c r="E78" s="1476"/>
      <c r="F78" s="1476"/>
      <c r="G78" s="1476"/>
      <c r="H78" s="1476"/>
    </row>
    <row r="79" spans="1:8" ht="18" x14ac:dyDescent="0.3">
      <c r="A79" s="1226"/>
      <c r="B79" s="1475"/>
      <c r="C79" s="1476"/>
      <c r="D79" s="1476"/>
      <c r="E79" s="1476"/>
      <c r="F79" s="1476"/>
      <c r="G79" s="1476"/>
      <c r="H79" s="1476"/>
    </row>
    <row r="80" spans="1:8" ht="48" customHeight="1" x14ac:dyDescent="0.25">
      <c r="A80" s="1231"/>
      <c r="B80" s="1241"/>
      <c r="C80" s="1242"/>
      <c r="D80" s="1241"/>
      <c r="E80" s="1243"/>
      <c r="F80" s="1243"/>
      <c r="G80" s="1241"/>
      <c r="H80" s="1243"/>
    </row>
    <row r="81" spans="1:8" ht="14.25" customHeight="1" x14ac:dyDescent="0.25">
      <c r="A81" s="869"/>
      <c r="B81" s="1244"/>
      <c r="C81" s="1244"/>
      <c r="D81" s="1249"/>
      <c r="E81" s="1249"/>
      <c r="F81" s="1246"/>
      <c r="G81" s="1247"/>
      <c r="H81" s="1248"/>
    </row>
    <row r="82" spans="1:8" ht="14.25" customHeight="1" x14ac:dyDescent="0.25">
      <c r="A82" s="869"/>
      <c r="B82" s="1244"/>
      <c r="C82" s="1244"/>
      <c r="D82" s="1249"/>
      <c r="E82" s="1249"/>
      <c r="F82" s="1246"/>
      <c r="G82" s="1247"/>
      <c r="H82" s="1248"/>
    </row>
    <row r="83" spans="1:8" ht="14.25" customHeight="1" x14ac:dyDescent="0.25">
      <c r="A83" s="869"/>
      <c r="B83" s="1244"/>
      <c r="C83" s="1244"/>
      <c r="D83" s="1249"/>
      <c r="E83" s="1249"/>
      <c r="F83" s="1246"/>
      <c r="G83" s="1247"/>
      <c r="H83" s="1248"/>
    </row>
    <row r="84" spans="1:8" ht="14.25" customHeight="1" x14ac:dyDescent="0.25">
      <c r="A84" s="869"/>
      <c r="B84" s="1244"/>
      <c r="C84" s="1244"/>
      <c r="D84" s="1249"/>
      <c r="E84" s="1249"/>
      <c r="F84" s="1246"/>
      <c r="G84" s="1247"/>
      <c r="H84" s="1248"/>
    </row>
    <row r="85" spans="1:8" ht="14.25" customHeight="1" x14ac:dyDescent="0.25">
      <c r="A85" s="869"/>
      <c r="B85" s="1244"/>
      <c r="C85" s="1244"/>
      <c r="D85" s="1249"/>
      <c r="E85" s="1249"/>
      <c r="F85" s="1246"/>
      <c r="G85" s="1247"/>
      <c r="H85" s="1248"/>
    </row>
    <row r="86" spans="1:8" ht="14.25" customHeight="1" x14ac:dyDescent="0.25">
      <c r="A86" s="869"/>
      <c r="B86" s="1244"/>
      <c r="C86" s="1244"/>
      <c r="D86" s="1249"/>
      <c r="E86" s="1249"/>
      <c r="F86" s="1246"/>
      <c r="G86" s="1247"/>
      <c r="H86" s="1248"/>
    </row>
    <row r="87" spans="1:8" ht="14.25" customHeight="1" x14ac:dyDescent="0.25">
      <c r="A87" s="869"/>
      <c r="B87" s="1244"/>
      <c r="C87" s="1244"/>
      <c r="D87" s="1249"/>
      <c r="E87" s="1249"/>
      <c r="F87" s="1246"/>
      <c r="G87" s="1247"/>
      <c r="H87" s="1248"/>
    </row>
    <row r="88" spans="1:8" ht="12.75" customHeight="1" x14ac:dyDescent="0.25">
      <c r="A88" s="869"/>
      <c r="B88" s="1244"/>
      <c r="C88" s="1244"/>
      <c r="D88" s="1250"/>
      <c r="E88" s="1249"/>
      <c r="F88" s="1246"/>
      <c r="G88" s="1247"/>
      <c r="H88" s="1248"/>
    </row>
    <row r="89" spans="1:8" ht="14.25" customHeight="1" x14ac:dyDescent="0.25">
      <c r="A89" s="869"/>
      <c r="B89" s="888"/>
      <c r="C89" s="869"/>
      <c r="D89" s="869"/>
      <c r="E89" s="863"/>
      <c r="F89" s="863"/>
      <c r="G89" s="869"/>
      <c r="H89" s="869"/>
    </row>
    <row r="90" spans="1:8" ht="20.75" customHeight="1" x14ac:dyDescent="0.4">
      <c r="A90" s="869"/>
      <c r="B90" s="889"/>
      <c r="C90" s="893"/>
      <c r="D90" s="1252"/>
      <c r="E90" s="863"/>
      <c r="F90" s="1253"/>
      <c r="G90" s="869"/>
      <c r="H90" s="869"/>
    </row>
    <row r="91" spans="1:8" ht="12.75" customHeight="1" x14ac:dyDescent="0.25">
      <c r="A91" s="869"/>
      <c r="B91" s="863"/>
      <c r="C91" s="863"/>
      <c r="D91" s="863"/>
      <c r="E91" s="863"/>
      <c r="F91" s="863"/>
      <c r="G91" s="863"/>
      <c r="H91" s="863"/>
    </row>
    <row r="92" spans="1:8" ht="17.75" customHeight="1" x14ac:dyDescent="0.25">
      <c r="A92" s="869"/>
      <c r="B92" s="863"/>
      <c r="C92" s="863"/>
      <c r="D92" s="863"/>
      <c r="E92" s="863"/>
      <c r="F92" s="863"/>
      <c r="G92" s="863"/>
      <c r="H92" s="863"/>
    </row>
    <row r="93" spans="1:8" ht="17.75" customHeight="1" x14ac:dyDescent="0.3">
      <c r="A93" s="1226"/>
      <c r="B93" s="1475"/>
      <c r="C93" s="1476"/>
      <c r="D93" s="1476"/>
      <c r="E93" s="1476"/>
      <c r="F93" s="1476"/>
      <c r="G93" s="1476"/>
      <c r="H93" s="1476"/>
    </row>
    <row r="94" spans="1:8" ht="18" x14ac:dyDescent="0.3">
      <c r="A94" s="1226"/>
      <c r="B94" s="1475"/>
      <c r="C94" s="1476"/>
      <c r="D94" s="1476"/>
      <c r="E94" s="1476"/>
      <c r="F94" s="1476"/>
      <c r="G94" s="1476"/>
      <c r="H94" s="1476"/>
    </row>
    <row r="95" spans="1:8" ht="57.5" customHeight="1" x14ac:dyDescent="0.25">
      <c r="A95" s="1231"/>
      <c r="B95" s="1241"/>
      <c r="C95" s="1242"/>
      <c r="D95" s="1241"/>
      <c r="E95" s="1243"/>
      <c r="F95" s="1243"/>
      <c r="G95" s="1241"/>
      <c r="H95" s="1243"/>
    </row>
    <row r="96" spans="1:8" ht="14.25" customHeight="1" x14ac:dyDescent="0.25">
      <c r="A96" s="869"/>
      <c r="B96" s="1244"/>
      <c r="C96" s="1244"/>
      <c r="D96" s="1244"/>
      <c r="E96" s="1245"/>
      <c r="F96" s="1246"/>
      <c r="G96" s="1247"/>
      <c r="H96" s="1248"/>
    </row>
    <row r="97" spans="1:8" ht="14.25" customHeight="1" x14ac:dyDescent="0.25">
      <c r="A97" s="869"/>
      <c r="B97" s="1244"/>
      <c r="C97" s="1244"/>
      <c r="D97" s="1244"/>
      <c r="E97" s="1245"/>
      <c r="F97" s="1246"/>
      <c r="G97" s="1247"/>
      <c r="H97" s="1248"/>
    </row>
    <row r="98" spans="1:8" ht="14.25" customHeight="1" x14ac:dyDescent="0.25">
      <c r="A98" s="869"/>
      <c r="B98" s="1244"/>
      <c r="C98" s="1244"/>
      <c r="D98" s="1244"/>
      <c r="E98" s="1245"/>
      <c r="F98" s="1246"/>
      <c r="G98" s="1247"/>
      <c r="H98" s="1248"/>
    </row>
    <row r="99" spans="1:8" ht="14.25" customHeight="1" x14ac:dyDescent="0.25">
      <c r="A99" s="869"/>
      <c r="B99" s="1244"/>
      <c r="C99" s="1244"/>
      <c r="D99" s="1244"/>
      <c r="E99" s="1245"/>
      <c r="F99" s="1246"/>
      <c r="G99" s="1247"/>
      <c r="H99" s="1248"/>
    </row>
    <row r="100" spans="1:8" ht="14.25" customHeight="1" x14ac:dyDescent="0.25">
      <c r="A100" s="869"/>
      <c r="B100" s="1244"/>
      <c r="C100" s="1244"/>
      <c r="D100" s="1244"/>
      <c r="E100" s="1245"/>
      <c r="F100" s="1246"/>
      <c r="G100" s="1247"/>
      <c r="H100" s="1248"/>
    </row>
    <row r="101" spans="1:8" ht="14.25" customHeight="1" x14ac:dyDescent="0.25">
      <c r="A101" s="869"/>
      <c r="B101" s="1244"/>
      <c r="C101" s="1244"/>
      <c r="D101" s="1244"/>
      <c r="E101" s="1245"/>
      <c r="F101" s="1246"/>
      <c r="G101" s="1247"/>
      <c r="H101" s="1248"/>
    </row>
    <row r="102" spans="1:8" ht="14.25" customHeight="1" x14ac:dyDescent="0.25">
      <c r="A102" s="869"/>
      <c r="B102" s="1244"/>
      <c r="C102" s="1244"/>
      <c r="D102" s="1244"/>
      <c r="E102" s="1245"/>
      <c r="F102" s="1246"/>
      <c r="G102" s="1247"/>
      <c r="H102" s="1248"/>
    </row>
    <row r="103" spans="1:8" ht="14" x14ac:dyDescent="0.25">
      <c r="A103" s="869"/>
      <c r="B103" s="1244"/>
      <c r="C103" s="1244"/>
      <c r="D103" s="1244"/>
      <c r="E103" s="1245"/>
      <c r="F103" s="1246"/>
      <c r="G103" s="1247"/>
      <c r="H103" s="1248"/>
    </row>
    <row r="104" spans="1:8" ht="15.5" x14ac:dyDescent="0.25">
      <c r="A104" s="869"/>
      <c r="B104" s="888"/>
      <c r="C104" s="869"/>
      <c r="D104" s="869"/>
      <c r="E104" s="869"/>
      <c r="F104" s="869"/>
      <c r="G104" s="869"/>
      <c r="H104" s="869"/>
    </row>
    <row r="105" spans="1:8" ht="20" x14ac:dyDescent="0.4">
      <c r="A105" s="869"/>
      <c r="B105" s="889"/>
      <c r="C105" s="869"/>
      <c r="D105" s="869"/>
      <c r="E105" s="869"/>
      <c r="F105" s="869"/>
      <c r="G105" s="869"/>
      <c r="H105" s="869"/>
    </row>
  </sheetData>
  <mergeCells count="10">
    <mergeCell ref="AE2:AG3"/>
    <mergeCell ref="B93:H93"/>
    <mergeCell ref="B94:H94"/>
    <mergeCell ref="B79:H79"/>
    <mergeCell ref="B62:H62"/>
    <mergeCell ref="R26:T26"/>
    <mergeCell ref="B78:H78"/>
    <mergeCell ref="B2:H3"/>
    <mergeCell ref="R25:T25"/>
    <mergeCell ref="B63:H63"/>
  </mergeCells>
  <printOptions horizontalCentered="1"/>
  <pageMargins left="0.5" right="0.5" top="1" bottom="0.5" header="0.3" footer="0.511811023622047"/>
  <pageSetup paperSize="9" scale="33" orientation="portrait"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rgb="FFBF9000"/>
    <pageSetUpPr fitToPage="1"/>
  </sheetPr>
  <dimension ref="A1:AT80"/>
  <sheetViews>
    <sheetView topLeftCell="Q1" zoomScale="70" zoomScaleNormal="70" workbookViewId="0">
      <selection activeCell="R52" sqref="Q52:R53"/>
    </sheetView>
  </sheetViews>
  <sheetFormatPr defaultColWidth="12.5" defaultRowHeight="14" x14ac:dyDescent="0.3"/>
  <cols>
    <col min="1" max="1" width="12.5" style="78" customWidth="1"/>
    <col min="2" max="2" width="29.75" style="14" customWidth="1"/>
    <col min="3" max="3" width="23.9140625" style="14" customWidth="1"/>
    <col min="4" max="4" width="19" style="14" customWidth="1"/>
    <col min="5" max="5" width="16.1640625" style="296" customWidth="1"/>
    <col min="6" max="6" width="23.08203125" style="14" customWidth="1"/>
    <col min="7" max="7" width="25.1640625" style="14" customWidth="1"/>
    <col min="8" max="8" width="36.1640625" style="14" customWidth="1"/>
    <col min="9" max="9" width="12.5" style="14" customWidth="1"/>
    <col min="10" max="10" width="12.75" style="14" customWidth="1"/>
    <col min="11" max="11" width="12.5" style="14" customWidth="1"/>
    <col min="12" max="12" width="8.33203125" style="14" customWidth="1"/>
    <col min="13" max="14" width="3.4140625" style="14" customWidth="1"/>
    <col min="15" max="17" width="12.5" style="14" customWidth="1"/>
    <col min="18" max="18" width="32.33203125" style="14" customWidth="1"/>
    <col min="19" max="27" width="12.5" style="14" customWidth="1"/>
    <col min="28" max="28" width="7.1640625" style="14" bestFit="1" customWidth="1"/>
    <col min="29" max="35" width="12.5" style="14" customWidth="1"/>
    <col min="36" max="36" width="33.83203125" style="14" customWidth="1"/>
    <col min="37" max="37" width="12.5" style="14" customWidth="1"/>
    <col min="38" max="16384" width="12.5" style="14"/>
  </cols>
  <sheetData>
    <row r="1" spans="1:46" ht="35.25" customHeight="1" x14ac:dyDescent="0.3">
      <c r="B1" s="79" t="s">
        <v>235</v>
      </c>
      <c r="C1" s="80">
        <v>1000</v>
      </c>
      <c r="D1" s="81" t="s">
        <v>236</v>
      </c>
      <c r="E1" s="82">
        <f>T32</f>
        <v>5049.7801484000001</v>
      </c>
      <c r="F1" s="385" t="s">
        <v>237</v>
      </c>
      <c r="G1" s="288">
        <f>E1/C1</f>
        <v>5.0497801484</v>
      </c>
      <c r="H1" s="79" t="s">
        <v>238</v>
      </c>
      <c r="I1" s="84">
        <f>G1</f>
        <v>5.0497801484</v>
      </c>
      <c r="J1" s="85" t="s">
        <v>543</v>
      </c>
      <c r="K1" s="399">
        <v>0.6</v>
      </c>
      <c r="L1" s="399"/>
      <c r="M1" s="88"/>
      <c r="N1" s="89"/>
      <c r="O1" s="90" t="s">
        <v>240</v>
      </c>
      <c r="P1" s="91" t="s">
        <v>303</v>
      </c>
      <c r="Q1" s="92" t="s">
        <v>242</v>
      </c>
      <c r="R1" s="91">
        <v>0.78</v>
      </c>
      <c r="Y1" s="90" t="s">
        <v>463</v>
      </c>
      <c r="Z1" s="835">
        <v>30480</v>
      </c>
      <c r="AA1" s="90" t="s">
        <v>578</v>
      </c>
      <c r="AB1" s="835">
        <v>1000</v>
      </c>
      <c r="AC1" s="90" t="s">
        <v>567</v>
      </c>
      <c r="AD1" s="835">
        <v>207</v>
      </c>
      <c r="AE1" s="249"/>
      <c r="AF1" s="251"/>
      <c r="AG1" s="91"/>
      <c r="AI1" s="78"/>
      <c r="AJ1" s="109" t="s">
        <v>254</v>
      </c>
      <c r="AK1" s="93">
        <v>10000</v>
      </c>
      <c r="AL1" s="623" t="s">
        <v>503</v>
      </c>
      <c r="AM1" s="624">
        <f>$S$32</f>
        <v>26430.198759999999</v>
      </c>
      <c r="AN1" s="93" t="s">
        <v>243</v>
      </c>
      <c r="AO1" s="95">
        <f>($S$32/$R$1)/$AK$1</f>
        <v>3.3884870205128204</v>
      </c>
      <c r="AP1" s="94"/>
    </row>
    <row r="2" spans="1:46" ht="12.75" customHeight="1" x14ac:dyDescent="0.3">
      <c r="A2" s="96"/>
      <c r="B2" s="1498" t="s">
        <v>381</v>
      </c>
      <c r="C2" s="1498"/>
      <c r="D2" s="1498"/>
      <c r="E2" s="1498"/>
      <c r="F2" s="1498"/>
      <c r="G2" s="1498"/>
      <c r="H2" s="1498"/>
      <c r="I2" s="292"/>
      <c r="J2" s="292"/>
      <c r="K2" s="292"/>
      <c r="L2" s="292"/>
      <c r="M2" s="130"/>
      <c r="N2" s="130"/>
      <c r="O2" s="99"/>
      <c r="P2" s="99"/>
      <c r="Q2" s="99"/>
      <c r="R2" s="99"/>
      <c r="AC2" s="98"/>
      <c r="AD2" s="98"/>
      <c r="AE2" s="1457"/>
      <c r="AF2" s="1460"/>
      <c r="AG2" s="1460"/>
      <c r="AI2" s="78"/>
      <c r="AJ2" s="100"/>
      <c r="AK2" s="1442" t="s">
        <v>381</v>
      </c>
      <c r="AL2" s="1442"/>
      <c r="AM2" s="1442"/>
      <c r="AN2" s="101"/>
      <c r="AO2" s="100"/>
      <c r="AP2" s="100"/>
    </row>
    <row r="3" spans="1:46" ht="12.75" customHeight="1" x14ac:dyDescent="0.3">
      <c r="A3" s="96"/>
      <c r="B3" s="1450"/>
      <c r="C3" s="1450"/>
      <c r="D3" s="1450"/>
      <c r="E3" s="1450"/>
      <c r="F3" s="1450"/>
      <c r="G3" s="1450"/>
      <c r="H3" s="1450"/>
      <c r="I3" s="292"/>
      <c r="J3" s="292"/>
      <c r="K3" s="292"/>
      <c r="L3" s="292"/>
      <c r="M3" s="130"/>
      <c r="N3" s="130"/>
      <c r="O3" s="99"/>
      <c r="P3" s="99"/>
      <c r="Q3" s="99"/>
      <c r="R3" s="99"/>
      <c r="AC3" s="98"/>
      <c r="AD3" s="98"/>
      <c r="AE3" s="1460"/>
      <c r="AF3" s="1460"/>
      <c r="AG3" s="1460"/>
      <c r="AI3" s="78"/>
      <c r="AJ3" s="103"/>
      <c r="AK3" s="103"/>
      <c r="AL3" s="104"/>
      <c r="AM3" s="104"/>
      <c r="AN3" s="104"/>
      <c r="AO3" s="103"/>
      <c r="AP3" s="103"/>
    </row>
    <row r="4" spans="1:46" ht="69" customHeight="1" x14ac:dyDescent="0.3">
      <c r="A4" s="90" t="s">
        <v>1</v>
      </c>
      <c r="B4" s="90" t="s">
        <v>245</v>
      </c>
      <c r="C4" s="106" t="s">
        <v>246</v>
      </c>
      <c r="D4" s="90" t="s">
        <v>235</v>
      </c>
      <c r="E4" s="107" t="s">
        <v>238</v>
      </c>
      <c r="F4" s="107" t="s">
        <v>247</v>
      </c>
      <c r="G4" s="90" t="s">
        <v>248</v>
      </c>
      <c r="H4" s="108" t="s">
        <v>249</v>
      </c>
      <c r="I4" s="90" t="s">
        <v>250</v>
      </c>
      <c r="J4" s="90" t="s">
        <v>251</v>
      </c>
      <c r="K4" s="90" t="s">
        <v>252</v>
      </c>
      <c r="L4" s="90" t="s">
        <v>253</v>
      </c>
      <c r="M4" s="130"/>
      <c r="N4" s="130"/>
      <c r="O4" s="99"/>
      <c r="P4" s="99"/>
      <c r="Q4" s="99"/>
      <c r="R4" s="99"/>
      <c r="AC4" s="250"/>
      <c r="AD4" s="252"/>
      <c r="AE4" s="250"/>
      <c r="AF4" s="250"/>
      <c r="AG4" s="250"/>
      <c r="AI4" s="78"/>
      <c r="AJ4" s="109" t="s">
        <v>245</v>
      </c>
      <c r="AK4" s="110" t="s">
        <v>246</v>
      </c>
      <c r="AL4" s="109" t="s">
        <v>254</v>
      </c>
      <c r="AM4" s="109" t="s">
        <v>238</v>
      </c>
      <c r="AN4" s="109" t="s">
        <v>247</v>
      </c>
      <c r="AO4" s="109" t="s">
        <v>248</v>
      </c>
      <c r="AP4" s="111" t="s">
        <v>249</v>
      </c>
      <c r="AQ4" s="90" t="s">
        <v>250</v>
      </c>
      <c r="AR4" s="90" t="s">
        <v>251</v>
      </c>
      <c r="AS4" s="90" t="s">
        <v>252</v>
      </c>
      <c r="AT4" s="90" t="s">
        <v>253</v>
      </c>
    </row>
    <row r="5" spans="1:46" ht="14.25" customHeight="1" x14ac:dyDescent="0.3">
      <c r="A5" s="265" t="s">
        <v>225</v>
      </c>
      <c r="B5" s="308" t="s">
        <v>224</v>
      </c>
      <c r="C5" s="114" t="s">
        <v>14</v>
      </c>
      <c r="D5" s="120">
        <f>I51/10</f>
        <v>4999.3589743589746</v>
      </c>
      <c r="E5" s="116">
        <f>H52</f>
        <v>6.777842995255801</v>
      </c>
      <c r="F5" s="126">
        <v>1</v>
      </c>
      <c r="G5" s="120">
        <f>D5*E5</f>
        <v>33884.870205128202</v>
      </c>
      <c r="H5" s="119">
        <f>G5*F5</f>
        <v>33884.870205128202</v>
      </c>
      <c r="I5" s="80">
        <f>VLOOKUP(B5,All_Ingredients!$A$1:$F$149,6,FALSE())</f>
        <v>0.86</v>
      </c>
      <c r="J5" s="120">
        <f>VLOOKUP(B5,All_Ingredients!$A$1:$J$149,10,FALSE())</f>
        <v>17.100000000000001</v>
      </c>
      <c r="K5" s="121">
        <f>(H5/I5)/1000</f>
        <v>39.401011866428142</v>
      </c>
      <c r="L5" s="121">
        <f>K5*J5</f>
        <v>673.75730291592129</v>
      </c>
      <c r="O5" s="99"/>
      <c r="P5" s="99"/>
      <c r="Q5" s="99"/>
      <c r="R5" s="99"/>
      <c r="AC5" s="91"/>
      <c r="AD5" s="132"/>
      <c r="AE5" s="253"/>
      <c r="AF5" s="134"/>
      <c r="AG5" s="135"/>
      <c r="AI5" s="78"/>
      <c r="AJ5" s="122" t="s">
        <v>224</v>
      </c>
      <c r="AK5" s="123" t="s">
        <v>231</v>
      </c>
      <c r="AL5" s="115">
        <v>10</v>
      </c>
      <c r="AM5" s="125">
        <f t="shared" ref="AM5:AM16" si="0">$AO$1</f>
        <v>3.3884870205128204</v>
      </c>
      <c r="AN5" s="126">
        <v>1</v>
      </c>
      <c r="AO5" s="120">
        <f t="shared" ref="AO5:AO15" si="1">AL5*AM5</f>
        <v>33.884870205128202</v>
      </c>
      <c r="AP5" s="119">
        <f t="shared" ref="AP5:AP15" si="2">AO5*AN5</f>
        <v>33.884870205128202</v>
      </c>
      <c r="AQ5" s="294"/>
      <c r="AR5" s="1152"/>
      <c r="AS5" s="174"/>
      <c r="AT5" s="1153"/>
    </row>
    <row r="6" spans="1:46" ht="14.25" customHeight="1" x14ac:dyDescent="0.3">
      <c r="A6" s="127" t="s">
        <v>188</v>
      </c>
      <c r="B6" s="221" t="s">
        <v>190</v>
      </c>
      <c r="C6" s="123" t="s">
        <v>14</v>
      </c>
      <c r="D6" s="687">
        <f>600/K1</f>
        <v>1000</v>
      </c>
      <c r="E6" s="125">
        <f>$I$1</f>
        <v>5.0497801484</v>
      </c>
      <c r="F6" s="126">
        <v>1</v>
      </c>
      <c r="G6" s="120">
        <f>D6*E6</f>
        <v>5049.7801484000001</v>
      </c>
      <c r="H6" s="119">
        <f>G6*F6</f>
        <v>5049.7801484000001</v>
      </c>
      <c r="I6" s="80">
        <f>VLOOKUP(B6,All_Ingredients!$A$1:$F$149,6,FALSE())</f>
        <v>1</v>
      </c>
      <c r="J6" s="120">
        <f>VLOOKUP(B6,All_Ingredients!$A$1:$J$149,10,FALSE())</f>
        <v>8.5</v>
      </c>
      <c r="K6" s="121">
        <f t="shared" ref="K6:K8" si="3">(H6/I6)/1000</f>
        <v>5.0497801484</v>
      </c>
      <c r="L6" s="121">
        <f t="shared" ref="L6:L8" si="4">K6*J6</f>
        <v>42.923131261400002</v>
      </c>
      <c r="AI6" s="78" t="s">
        <v>56</v>
      </c>
      <c r="AJ6" s="322" t="s">
        <v>55</v>
      </c>
      <c r="AK6" s="123" t="s">
        <v>14</v>
      </c>
      <c r="AL6" s="115">
        <v>100</v>
      </c>
      <c r="AM6" s="125">
        <f t="shared" si="0"/>
        <v>3.3884870205128204</v>
      </c>
      <c r="AN6" s="126">
        <v>1</v>
      </c>
      <c r="AO6" s="120">
        <f t="shared" si="1"/>
        <v>338.84870205128203</v>
      </c>
      <c r="AP6" s="119">
        <f t="shared" si="2"/>
        <v>338.84870205128203</v>
      </c>
      <c r="AQ6" s="1153">
        <f>VLOOKUP(AJ6,Marination_Ordering!$A:$J,6,FALSE)</f>
        <v>0.87</v>
      </c>
      <c r="AR6" s="1153">
        <f>VLOOKUP(AJ6,Marination_Ordering!$A:$J,10,FALSE)</f>
        <v>3.2</v>
      </c>
      <c r="AS6" s="174">
        <f>AP6/AQ6</f>
        <v>389.48126672561153</v>
      </c>
      <c r="AT6" s="1153">
        <f>AR6*(AS6/1000)</f>
        <v>1.2463400535219569</v>
      </c>
    </row>
    <row r="7" spans="1:46" ht="14.25" customHeight="1" x14ac:dyDescent="0.3">
      <c r="A7" s="127" t="s">
        <v>179</v>
      </c>
      <c r="B7" s="221" t="s">
        <v>178</v>
      </c>
      <c r="C7" s="123" t="s">
        <v>14</v>
      </c>
      <c r="D7" s="687">
        <f>400/K1</f>
        <v>666.66666666666674</v>
      </c>
      <c r="E7" s="125">
        <f>$I$1</f>
        <v>5.0497801484</v>
      </c>
      <c r="F7" s="126">
        <v>1</v>
      </c>
      <c r="G7" s="120">
        <f>D7*E7</f>
        <v>3366.5200989333339</v>
      </c>
      <c r="H7" s="119">
        <f>G7*F7</f>
        <v>3366.5200989333339</v>
      </c>
      <c r="I7" s="80">
        <f>VLOOKUP(B7,All_Ingredients!$A$1:$F$149,6,FALSE())</f>
        <v>1</v>
      </c>
      <c r="J7" s="120">
        <f>VLOOKUP(B7,All_Ingredients!$A$1:$J$149,10,FALSE())</f>
        <v>39</v>
      </c>
      <c r="K7" s="121">
        <f t="shared" si="3"/>
        <v>3.3665200989333339</v>
      </c>
      <c r="L7" s="121">
        <f t="shared" si="4"/>
        <v>131.29428385840004</v>
      </c>
      <c r="AI7" s="78" t="s">
        <v>13</v>
      </c>
      <c r="AJ7" s="322" t="s">
        <v>762</v>
      </c>
      <c r="AK7" s="123" t="s">
        <v>14</v>
      </c>
      <c r="AL7" s="115">
        <v>100</v>
      </c>
      <c r="AM7" s="125">
        <f t="shared" si="0"/>
        <v>3.3884870205128204</v>
      </c>
      <c r="AN7" s="126">
        <v>1</v>
      </c>
      <c r="AO7" s="120">
        <f t="shared" si="1"/>
        <v>338.84870205128203</v>
      </c>
      <c r="AP7" s="119">
        <f t="shared" si="2"/>
        <v>338.84870205128203</v>
      </c>
      <c r="AQ7" s="1153">
        <f>VLOOKUP(AJ7,Marination_Ordering!$A:$J,6,FALSE)</f>
        <v>1</v>
      </c>
      <c r="AR7" s="1153">
        <f>VLOOKUP(AJ7,Marination_Ordering!$A:$J,10,FALSE)</f>
        <v>10.5</v>
      </c>
      <c r="AS7" s="174">
        <f t="shared" ref="AS7:AS9" si="5">AP7/AQ7</f>
        <v>338.84870205128203</v>
      </c>
      <c r="AT7" s="1153">
        <f t="shared" ref="AT7:AT9" si="6">AR7*(AS7/1000)</f>
        <v>3.5579113715384612</v>
      </c>
    </row>
    <row r="8" spans="1:46" ht="14.25" customHeight="1" x14ac:dyDescent="0.3">
      <c r="A8" s="127" t="s">
        <v>95</v>
      </c>
      <c r="B8" s="221" t="s">
        <v>111</v>
      </c>
      <c r="C8" s="123" t="s">
        <v>14</v>
      </c>
      <c r="D8" s="687">
        <f>20/K1</f>
        <v>33.333333333333336</v>
      </c>
      <c r="E8" s="125">
        <f>$I$1</f>
        <v>5.0497801484</v>
      </c>
      <c r="F8" s="126">
        <v>0.75</v>
      </c>
      <c r="G8" s="120">
        <f>D8*E8</f>
        <v>168.32600494666667</v>
      </c>
      <c r="H8" s="119">
        <f>G8*F8</f>
        <v>126.24450371</v>
      </c>
      <c r="I8" s="80">
        <f>VLOOKUP(B8,All_Ingredients!$A$1:$F$149,6,FALSE())</f>
        <v>1</v>
      </c>
      <c r="J8" s="120">
        <f>VLOOKUP(B8,All_Ingredients!$A$1:$J$149,10,FALSE())</f>
        <v>64.243759177679877</v>
      </c>
      <c r="K8" s="121">
        <f t="shared" si="3"/>
        <v>0.12624450371000001</v>
      </c>
      <c r="L8" s="121">
        <f t="shared" si="4"/>
        <v>8.1104214938509553</v>
      </c>
      <c r="P8" s="401">
        <v>24350</v>
      </c>
      <c r="AI8" s="78" t="s">
        <v>206</v>
      </c>
      <c r="AJ8" s="322" t="s">
        <v>214</v>
      </c>
      <c r="AK8" s="123" t="s">
        <v>161</v>
      </c>
      <c r="AL8" s="115">
        <v>500</v>
      </c>
      <c r="AM8" s="125">
        <f t="shared" si="0"/>
        <v>3.3884870205128204</v>
      </c>
      <c r="AN8" s="126">
        <v>1</v>
      </c>
      <c r="AO8" s="120">
        <f t="shared" si="1"/>
        <v>1694.2435102564102</v>
      </c>
      <c r="AP8" s="119">
        <f t="shared" si="2"/>
        <v>1694.2435102564102</v>
      </c>
      <c r="AQ8" s="1153">
        <f>VLOOKUP(AJ8,Marination_Ordering!$A:$J,6,FALSE)</f>
        <v>1</v>
      </c>
      <c r="AR8" s="1153">
        <f>VLOOKUP(AJ8,Marination_Ordering!$A:$J,10,FALSE)</f>
        <v>5</v>
      </c>
      <c r="AS8" s="174">
        <f t="shared" si="5"/>
        <v>1694.2435102564102</v>
      </c>
      <c r="AT8" s="1153">
        <f t="shared" si="6"/>
        <v>8.4712175512820505</v>
      </c>
    </row>
    <row r="9" spans="1:46" ht="14.25" customHeight="1" x14ac:dyDescent="0.3">
      <c r="B9" s="170"/>
      <c r="C9" s="170"/>
      <c r="D9" s="170"/>
      <c r="E9" s="170"/>
      <c r="F9" s="170"/>
      <c r="G9" s="170"/>
      <c r="H9" s="170"/>
      <c r="I9" s="170"/>
      <c r="J9" s="170"/>
      <c r="K9" s="170"/>
      <c r="L9" s="296"/>
      <c r="P9" s="401">
        <v>36610</v>
      </c>
      <c r="AI9" s="78" t="s">
        <v>206</v>
      </c>
      <c r="AJ9" s="322" t="s">
        <v>210</v>
      </c>
      <c r="AK9" s="123" t="s">
        <v>161</v>
      </c>
      <c r="AL9" s="222">
        <v>200</v>
      </c>
      <c r="AM9" s="125">
        <f t="shared" si="0"/>
        <v>3.3884870205128204</v>
      </c>
      <c r="AN9" s="126">
        <v>1</v>
      </c>
      <c r="AO9" s="120">
        <f t="shared" si="1"/>
        <v>677.69740410256406</v>
      </c>
      <c r="AP9" s="119">
        <f t="shared" si="2"/>
        <v>677.69740410256406</v>
      </c>
      <c r="AQ9" s="1153">
        <f>VLOOKUP(AJ9,Marination_Ordering!$A:$J,6,FALSE)</f>
        <v>1</v>
      </c>
      <c r="AR9" s="1153">
        <f>VLOOKUP(AJ9,Marination_Ordering!$A:$J,10,FALSE)</f>
        <v>2.1621621621621623</v>
      </c>
      <c r="AS9" s="174">
        <f t="shared" si="5"/>
        <v>677.69740410256406</v>
      </c>
      <c r="AT9" s="1153">
        <f t="shared" si="6"/>
        <v>1.4652916845460846</v>
      </c>
    </row>
    <row r="10" spans="1:46" ht="14.25" customHeight="1" x14ac:dyDescent="0.3">
      <c r="B10" s="99"/>
      <c r="C10" s="170"/>
      <c r="D10" s="170"/>
      <c r="E10" s="345"/>
      <c r="F10" s="99"/>
      <c r="G10" s="170"/>
      <c r="L10" s="296"/>
      <c r="M10" s="297"/>
      <c r="P10" s="401">
        <v>47350</v>
      </c>
      <c r="AI10" s="78" t="s">
        <v>95</v>
      </c>
      <c r="AJ10" s="322" t="s">
        <v>94</v>
      </c>
      <c r="AK10" s="123" t="s">
        <v>14</v>
      </c>
      <c r="AL10" s="115">
        <v>25</v>
      </c>
      <c r="AM10" s="125">
        <f t="shared" si="0"/>
        <v>3.3884870205128204</v>
      </c>
      <c r="AN10" s="126">
        <v>1</v>
      </c>
      <c r="AO10" s="120">
        <f t="shared" si="1"/>
        <v>84.712175512820508</v>
      </c>
      <c r="AP10" s="119">
        <f t="shared" si="2"/>
        <v>84.712175512820508</v>
      </c>
      <c r="AQ10" s="1153">
        <f>VLOOKUP(AJ10,Marination_Ordering!$A:$J,6,FALSE)</f>
        <v>1</v>
      </c>
      <c r="AR10" s="1153">
        <f>VLOOKUP(AJ10,Marination_Ordering!$A:$J,10,FALSE)</f>
        <v>0.74</v>
      </c>
      <c r="AS10" s="174">
        <f t="shared" ref="AS10:AS16" si="7">AP10/AQ10</f>
        <v>84.712175512820508</v>
      </c>
      <c r="AT10" s="1153">
        <f t="shared" ref="AT10:AT16" si="8">AR10*(AS10/1000)</f>
        <v>6.2687009879487179E-2</v>
      </c>
    </row>
    <row r="11" spans="1:46" ht="14.25" customHeight="1" x14ac:dyDescent="0.3">
      <c r="L11" s="296"/>
      <c r="AI11" s="78" t="s">
        <v>95</v>
      </c>
      <c r="AJ11" s="373" t="s">
        <v>111</v>
      </c>
      <c r="AK11" s="123" t="s">
        <v>14</v>
      </c>
      <c r="AL11" s="115">
        <v>25</v>
      </c>
      <c r="AM11" s="125">
        <f t="shared" si="0"/>
        <v>3.3884870205128204</v>
      </c>
      <c r="AN11" s="126">
        <v>1</v>
      </c>
      <c r="AO11" s="120">
        <f t="shared" si="1"/>
        <v>84.712175512820508</v>
      </c>
      <c r="AP11" s="119">
        <f t="shared" si="2"/>
        <v>84.712175512820508</v>
      </c>
      <c r="AQ11" s="1153">
        <f>VLOOKUP(AJ11,Marination_Ordering!$A:$J,6,FALSE)</f>
        <v>1</v>
      </c>
      <c r="AR11" s="1153">
        <f>VLOOKUP(AJ11,Marination_Ordering!$A:$J,10,FALSE)</f>
        <v>64.243759177679877</v>
      </c>
      <c r="AS11" s="174">
        <f t="shared" si="7"/>
        <v>84.712175512820508</v>
      </c>
      <c r="AT11" s="1153">
        <f t="shared" si="8"/>
        <v>5.4422286030629907</v>
      </c>
    </row>
    <row r="12" spans="1:46" ht="29.75" customHeight="1" x14ac:dyDescent="0.3">
      <c r="L12" s="296"/>
      <c r="AI12" s="78" t="s">
        <v>95</v>
      </c>
      <c r="AJ12" s="322" t="s">
        <v>106</v>
      </c>
      <c r="AK12" s="123" t="s">
        <v>14</v>
      </c>
      <c r="AL12" s="115">
        <v>30</v>
      </c>
      <c r="AM12" s="125">
        <f t="shared" si="0"/>
        <v>3.3884870205128204</v>
      </c>
      <c r="AN12" s="126">
        <v>1</v>
      </c>
      <c r="AO12" s="120">
        <f t="shared" si="1"/>
        <v>101.65461061538461</v>
      </c>
      <c r="AP12" s="119">
        <f t="shared" si="2"/>
        <v>101.65461061538461</v>
      </c>
      <c r="AQ12" s="1153">
        <f>VLOOKUP(AJ12,Marination_Ordering!$A:$J,6,FALSE)</f>
        <v>1</v>
      </c>
      <c r="AR12" s="1153">
        <f>VLOOKUP(AJ12,Marination_Ordering!$A:$J,10,FALSE)</f>
        <v>15</v>
      </c>
      <c r="AS12" s="174">
        <f t="shared" si="7"/>
        <v>101.65461061538461</v>
      </c>
      <c r="AT12" s="1153">
        <f t="shared" si="8"/>
        <v>1.5248191592307692</v>
      </c>
    </row>
    <row r="13" spans="1:46" ht="14.25" customHeight="1" x14ac:dyDescent="0.3">
      <c r="L13" s="296"/>
      <c r="P13" s="14" t="s">
        <v>363</v>
      </c>
      <c r="Q13" s="14" t="s">
        <v>376</v>
      </c>
      <c r="R13" s="14" t="s">
        <v>377</v>
      </c>
      <c r="S13" s="14" t="s">
        <v>378</v>
      </c>
      <c r="T13" s="14" t="s">
        <v>6</v>
      </c>
      <c r="AI13" s="78" t="s">
        <v>95</v>
      </c>
      <c r="AJ13" s="411" t="s">
        <v>108</v>
      </c>
      <c r="AK13" s="123" t="s">
        <v>14</v>
      </c>
      <c r="AL13" s="124">
        <v>40</v>
      </c>
      <c r="AM13" s="125">
        <f t="shared" si="0"/>
        <v>3.3884870205128204</v>
      </c>
      <c r="AN13" s="126">
        <v>1</v>
      </c>
      <c r="AO13" s="120">
        <f t="shared" si="1"/>
        <v>135.53948082051281</v>
      </c>
      <c r="AP13" s="119">
        <f t="shared" si="2"/>
        <v>135.53948082051281</v>
      </c>
      <c r="AQ13" s="1153">
        <f>VLOOKUP(AJ13,Marination_Ordering!$A:$J,6,FALSE)</f>
        <v>1</v>
      </c>
      <c r="AR13" s="1153">
        <f>VLOOKUP(AJ13,Marination_Ordering!$A:$J,10,FALSE)</f>
        <v>8</v>
      </c>
      <c r="AS13" s="174">
        <f t="shared" si="7"/>
        <v>135.53948082051281</v>
      </c>
      <c r="AT13" s="1153">
        <f t="shared" si="8"/>
        <v>1.0843158465641025</v>
      </c>
    </row>
    <row r="14" spans="1:46" ht="14.25" customHeight="1" x14ac:dyDescent="0.3">
      <c r="L14" s="296"/>
      <c r="P14" s="412">
        <v>41100</v>
      </c>
      <c r="Q14" s="412">
        <v>10540</v>
      </c>
      <c r="R14" s="412">
        <f>P14+Q14</f>
        <v>51640</v>
      </c>
      <c r="S14" s="14">
        <v>39100</v>
      </c>
      <c r="T14" s="297">
        <f>S14/R14</f>
        <v>0.75716498838109991</v>
      </c>
      <c r="AI14" s="78" t="s">
        <v>95</v>
      </c>
      <c r="AJ14" s="411" t="s">
        <v>123</v>
      </c>
      <c r="AK14" s="123" t="s">
        <v>14</v>
      </c>
      <c r="AL14" s="223">
        <v>5</v>
      </c>
      <c r="AM14" s="125">
        <f t="shared" si="0"/>
        <v>3.3884870205128204</v>
      </c>
      <c r="AN14" s="126">
        <v>1</v>
      </c>
      <c r="AO14" s="120">
        <f t="shared" si="1"/>
        <v>16.942435102564101</v>
      </c>
      <c r="AP14" s="119">
        <f t="shared" si="2"/>
        <v>16.942435102564101</v>
      </c>
      <c r="AQ14" s="1153">
        <f>VLOOKUP(AJ14,Marination_Ordering!$A:$J,6,FALSE)</f>
        <v>1</v>
      </c>
      <c r="AR14" s="1153">
        <f>VLOOKUP(AJ14,Marination_Ordering!$A:$J,10,FALSE)</f>
        <v>14</v>
      </c>
      <c r="AS14" s="174">
        <f t="shared" si="7"/>
        <v>16.942435102564101</v>
      </c>
      <c r="AT14" s="1153">
        <f t="shared" si="8"/>
        <v>0.23719409143589743</v>
      </c>
    </row>
    <row r="15" spans="1:46" ht="14.25" customHeight="1" x14ac:dyDescent="0.3">
      <c r="L15" s="296"/>
      <c r="AI15" s="78" t="s">
        <v>95</v>
      </c>
      <c r="AJ15" s="411" t="s">
        <v>114</v>
      </c>
      <c r="AK15" s="123" t="s">
        <v>14</v>
      </c>
      <c r="AL15" s="223">
        <v>25</v>
      </c>
      <c r="AM15" s="125">
        <f t="shared" si="0"/>
        <v>3.3884870205128204</v>
      </c>
      <c r="AN15" s="126">
        <v>1</v>
      </c>
      <c r="AO15" s="120">
        <f t="shared" si="1"/>
        <v>84.712175512820508</v>
      </c>
      <c r="AP15" s="119">
        <f t="shared" si="2"/>
        <v>84.712175512820508</v>
      </c>
      <c r="AQ15" s="1153">
        <f>VLOOKUP(AJ15,Marination_Ordering!$A:$J,6,FALSE)</f>
        <v>1</v>
      </c>
      <c r="AR15" s="1153">
        <f>VLOOKUP(AJ15,Marination_Ordering!$A:$J,10,FALSE)</f>
        <v>20</v>
      </c>
      <c r="AS15" s="174">
        <f t="shared" si="7"/>
        <v>84.712175512820508</v>
      </c>
      <c r="AT15" s="1153">
        <f t="shared" si="8"/>
        <v>1.6942435102564102</v>
      </c>
    </row>
    <row r="16" spans="1:46" ht="14.25" customHeight="1" x14ac:dyDescent="0.3">
      <c r="L16" s="296"/>
      <c r="P16" s="14">
        <f>P14/R14</f>
        <v>0.79589465530596437</v>
      </c>
      <c r="Q16" s="14">
        <f>Q14/R14</f>
        <v>0.20410534469403563</v>
      </c>
      <c r="AJ16" s="411" t="s">
        <v>877</v>
      </c>
      <c r="AK16" s="123" t="s">
        <v>14</v>
      </c>
      <c r="AL16" s="223">
        <v>3</v>
      </c>
      <c r="AM16" s="125">
        <f t="shared" si="0"/>
        <v>3.3884870205128204</v>
      </c>
      <c r="AN16" s="126">
        <v>1</v>
      </c>
      <c r="AO16" s="120">
        <f>AL16*AM16</f>
        <v>10.165461061538462</v>
      </c>
      <c r="AP16" s="119">
        <f>AO16*AN16</f>
        <v>10.165461061538462</v>
      </c>
      <c r="AQ16" s="1153">
        <f>VLOOKUP(AJ16,Marination_Ordering!$A:$J,6,FALSE)</f>
        <v>1</v>
      </c>
      <c r="AR16" s="1153">
        <f>VLOOKUP(AJ16,Marination_Ordering!$A:$J,10,FALSE)</f>
        <v>22.5</v>
      </c>
      <c r="AS16" s="174">
        <f t="shared" si="7"/>
        <v>10.165461061538462</v>
      </c>
      <c r="AT16" s="1153">
        <f t="shared" si="8"/>
        <v>0.2287228738846154</v>
      </c>
    </row>
    <row r="19" spans="18:31" ht="14.25" customHeight="1" x14ac:dyDescent="0.3">
      <c r="R19" s="413" t="s">
        <v>379</v>
      </c>
    </row>
    <row r="23" spans="18:31" ht="14.25" customHeight="1" x14ac:dyDescent="0.3"/>
    <row r="24" spans="18:31" ht="14.25" customHeight="1" x14ac:dyDescent="0.3">
      <c r="Z24" s="1208"/>
    </row>
    <row r="25" spans="18:31" ht="14.25" customHeight="1" x14ac:dyDescent="0.35">
      <c r="R25" s="1440" t="s">
        <v>381</v>
      </c>
      <c r="S25" s="1444"/>
      <c r="T25" s="1444"/>
      <c r="U25" s="1444"/>
      <c r="V25" s="1132"/>
      <c r="Z25" s="140" t="s">
        <v>256</v>
      </c>
      <c r="AA25" s="141">
        <v>1</v>
      </c>
      <c r="AB25" s="140" t="s">
        <v>253</v>
      </c>
      <c r="AC25" s="142">
        <f>(AA25)*AE30+(AA30*(AB28/R1))</f>
        <v>2.8444455339675098E-2</v>
      </c>
    </row>
    <row r="26" spans="18:31" ht="14.25" customHeight="1" x14ac:dyDescent="0.3">
      <c r="R26" s="1459" t="s">
        <v>295</v>
      </c>
      <c r="S26" s="1444"/>
      <c r="T26" s="1444"/>
      <c r="U26" s="1444"/>
      <c r="V26" s="1132"/>
    </row>
    <row r="27" spans="18:31" ht="14" customHeight="1" thickBot="1" x14ac:dyDescent="0.35">
      <c r="R27" s="144" t="s">
        <v>258</v>
      </c>
      <c r="S27" s="145" t="s">
        <v>259</v>
      </c>
      <c r="T27" s="145" t="s">
        <v>380</v>
      </c>
      <c r="U27" s="145" t="s">
        <v>261</v>
      </c>
      <c r="V27" s="145" t="s">
        <v>808</v>
      </c>
      <c r="W27" s="145" t="s">
        <v>817</v>
      </c>
      <c r="Z27" s="140" t="s">
        <v>262</v>
      </c>
      <c r="AA27" s="1166" t="s">
        <v>316</v>
      </c>
      <c r="AB27" s="146" t="s">
        <v>263</v>
      </c>
      <c r="AC27" s="146" t="s">
        <v>380</v>
      </c>
      <c r="AD27" s="1167" t="s">
        <v>817</v>
      </c>
      <c r="AE27" s="146" t="s">
        <v>266</v>
      </c>
    </row>
    <row r="28" spans="18:31" ht="16.25" customHeight="1" thickBot="1" x14ac:dyDescent="0.35">
      <c r="R28" s="147" t="s">
        <v>267</v>
      </c>
      <c r="S28" s="754">
        <f>U28*S40</f>
        <v>25590.61176</v>
      </c>
      <c r="T28" s="754">
        <f>U28*U40</f>
        <v>4889.3678184</v>
      </c>
      <c r="U28" s="760">
        <f>$Z$1</f>
        <v>30480</v>
      </c>
      <c r="V28" s="148">
        <f>SUM(AP5:AP13)</f>
        <v>3490.1416311282051</v>
      </c>
      <c r="W28" s="148">
        <f>H37</f>
        <v>207</v>
      </c>
      <c r="Z28" s="150"/>
      <c r="AA28" s="1169"/>
      <c r="AB28" s="151">
        <f>AA25*S40</f>
        <v>0.83958699999999997</v>
      </c>
      <c r="AC28" s="151">
        <f>AA25*U40</f>
        <v>0.16041232999999999</v>
      </c>
      <c r="AD28" s="1169"/>
      <c r="AE28" s="153">
        <f>SUM(AB28:AC28)</f>
        <v>0.99999932999999996</v>
      </c>
    </row>
    <row r="29" spans="18:31" ht="17.25" customHeight="1" thickBot="1" x14ac:dyDescent="0.35">
      <c r="R29" s="147" t="s">
        <v>268</v>
      </c>
      <c r="S29" s="756"/>
      <c r="T29" s="754"/>
      <c r="U29" s="148">
        <f>T29</f>
        <v>0</v>
      </c>
      <c r="V29" s="148"/>
      <c r="W29" s="148"/>
      <c r="Z29" s="150"/>
      <c r="AA29" s="1173"/>
      <c r="AB29" s="155">
        <f>AB28/$AE$28</f>
        <v>0.83958756252366684</v>
      </c>
      <c r="AC29" s="155">
        <f>AC28/$AE$28</f>
        <v>0.1604124374763331</v>
      </c>
      <c r="AD29" s="1173"/>
      <c r="AE29" s="155">
        <f>AE28/$AE$28</f>
        <v>1</v>
      </c>
    </row>
    <row r="30" spans="18:31" ht="14.25" customHeight="1" thickBot="1" x14ac:dyDescent="0.35">
      <c r="R30" s="147" t="s">
        <v>269</v>
      </c>
      <c r="S30" s="1318">
        <f>U30*S40</f>
        <v>839.58699999999999</v>
      </c>
      <c r="T30" s="1318">
        <f>U30*U40</f>
        <v>160.41233</v>
      </c>
      <c r="U30" s="760">
        <f>$AB$1</f>
        <v>1000</v>
      </c>
      <c r="V30" s="1124"/>
      <c r="W30" s="1124"/>
      <c r="Z30" s="140" t="s">
        <v>270</v>
      </c>
      <c r="AA30" s="1177">
        <f>V35/(S32/R1)</f>
        <v>7.3823425038284515E-4</v>
      </c>
      <c r="AB30" s="156">
        <f>S35/(S32)</f>
        <v>2.5491949910554562E-2</v>
      </c>
      <c r="AC30" s="156">
        <f>T35/(T32)</f>
        <v>3.6106093979442005E-2</v>
      </c>
      <c r="AD30" s="1180">
        <f>W35/U32</f>
        <v>4.5523409246407979E-4</v>
      </c>
      <c r="AE30" s="1182">
        <f>SUMPRODUCT(AB30:AC30,AB29:AC29)+AD30</f>
        <v>2.7649824724833839E-2</v>
      </c>
    </row>
    <row r="31" spans="18:31" ht="14.25" customHeight="1" thickBot="1" x14ac:dyDescent="0.35">
      <c r="R31" s="147" t="s">
        <v>271</v>
      </c>
      <c r="S31" s="154"/>
      <c r="T31" s="148"/>
      <c r="U31" s="148"/>
      <c r="V31" s="148"/>
      <c r="W31" s="148"/>
    </row>
    <row r="32" spans="18:31" ht="14.25" customHeight="1" thickBot="1" x14ac:dyDescent="0.35">
      <c r="R32" s="159" t="s">
        <v>261</v>
      </c>
      <c r="S32" s="148">
        <f>S28+S30</f>
        <v>26430.198759999999</v>
      </c>
      <c r="T32" s="148">
        <f>SUM(T28:T30)</f>
        <v>5049.7801484000001</v>
      </c>
      <c r="U32" s="148">
        <f>U28+U30</f>
        <v>31480</v>
      </c>
      <c r="V32" s="148"/>
      <c r="W32" s="148">
        <f>SUM(W28:W30)</f>
        <v>207</v>
      </c>
    </row>
    <row r="33" spans="2:23" ht="14.25" customHeight="1" thickBot="1" x14ac:dyDescent="0.35">
      <c r="R33" s="160" t="s">
        <v>272</v>
      </c>
      <c r="S33" s="154"/>
      <c r="T33" s="154"/>
      <c r="U33" s="154"/>
      <c r="V33" s="154"/>
      <c r="W33" s="154"/>
    </row>
    <row r="34" spans="2:23" ht="14.25" customHeight="1" thickBot="1" x14ac:dyDescent="0.35">
      <c r="R34" s="161" t="s">
        <v>273</v>
      </c>
      <c r="S34" s="154"/>
      <c r="T34" s="148"/>
      <c r="U34" s="154"/>
      <c r="V34" s="154"/>
      <c r="W34" s="154"/>
    </row>
    <row r="35" spans="2:23" ht="14.25" customHeight="1" thickBot="1" x14ac:dyDescent="0.35">
      <c r="B35" s="1484" t="s">
        <v>662</v>
      </c>
      <c r="C35" s="1484"/>
      <c r="D35" s="1484"/>
      <c r="E35" s="1484"/>
      <c r="F35" s="1484"/>
      <c r="G35" s="870"/>
      <c r="H35" s="870"/>
      <c r="I35" s="877"/>
      <c r="J35" s="877"/>
      <c r="K35" s="877"/>
      <c r="L35" s="877"/>
      <c r="R35" s="162" t="s">
        <v>253</v>
      </c>
      <c r="S35" s="1125">
        <f>$L$5</f>
        <v>673.75730291592129</v>
      </c>
      <c r="T35" s="1125">
        <f>SUM(L6:L8)</f>
        <v>182.32783661365099</v>
      </c>
      <c r="U35" s="1125">
        <f>S35+T35+V35+W35</f>
        <v>895.43088051554435</v>
      </c>
      <c r="V35" s="1125">
        <f>SUM(AT6:AT16)</f>
        <v>25.014971755202822</v>
      </c>
      <c r="W35" s="1125">
        <f>L37</f>
        <v>14.330769230769231</v>
      </c>
    </row>
    <row r="36" spans="2:23" ht="46.5" x14ac:dyDescent="0.3">
      <c r="B36" s="848" t="s">
        <v>245</v>
      </c>
      <c r="C36" s="848" t="s">
        <v>321</v>
      </c>
      <c r="D36" s="850" t="s">
        <v>645</v>
      </c>
      <c r="E36" s="847" t="s">
        <v>646</v>
      </c>
      <c r="F36" s="850" t="s">
        <v>647</v>
      </c>
      <c r="G36" s="870"/>
      <c r="H36" s="850" t="s">
        <v>647</v>
      </c>
      <c r="I36" s="850" t="s">
        <v>250</v>
      </c>
      <c r="J36" s="850" t="s">
        <v>251</v>
      </c>
      <c r="K36" s="850" t="s">
        <v>252</v>
      </c>
      <c r="L36" s="850" t="s">
        <v>253</v>
      </c>
    </row>
    <row r="37" spans="2:23" x14ac:dyDescent="0.3">
      <c r="B37" s="843" t="s">
        <v>716</v>
      </c>
      <c r="C37" s="844" t="s">
        <v>14</v>
      </c>
      <c r="D37" s="845">
        <v>1</v>
      </c>
      <c r="E37" s="843">
        <f>$AD$1</f>
        <v>207</v>
      </c>
      <c r="F37" s="843">
        <f>D37*E37</f>
        <v>207</v>
      </c>
      <c r="H37" s="843">
        <f>F37</f>
        <v>207</v>
      </c>
      <c r="I37" s="843">
        <f>VLOOKUP(B37,All_Ingredients!$A$1:$F$149,6,FALSE())</f>
        <v>0.65</v>
      </c>
      <c r="J37" s="843">
        <f>VLOOKUP(B37,All_Ingredients!$A$1:$J$149,10,FALSE())</f>
        <v>45</v>
      </c>
      <c r="K37" s="843">
        <f>(H37/I37)/1000</f>
        <v>0.31846153846153846</v>
      </c>
      <c r="L37" s="843">
        <f t="shared" ref="L37" si="9">K37*J37</f>
        <v>14.330769230769231</v>
      </c>
    </row>
    <row r="38" spans="2:23" ht="14.25" customHeight="1" x14ac:dyDescent="0.3">
      <c r="U38" s="691"/>
    </row>
    <row r="39" spans="2:23" ht="14" customHeight="1" x14ac:dyDescent="0.3">
      <c r="S39" s="692"/>
    </row>
    <row r="40" spans="2:23" ht="16.5" customHeight="1" x14ac:dyDescent="0.3">
      <c r="R40" s="164" t="s">
        <v>274</v>
      </c>
      <c r="S40" s="238">
        <v>0.83958699999999997</v>
      </c>
      <c r="T40" s="164" t="s">
        <v>275</v>
      </c>
      <c r="U40" s="238">
        <v>0.16041232999999999</v>
      </c>
      <c r="V40" s="167">
        <f>S40+U40</f>
        <v>0.99999932999999996</v>
      </c>
    </row>
    <row r="41" spans="2:23" ht="14.25" customHeight="1" x14ac:dyDescent="0.3">
      <c r="U41" s="168"/>
    </row>
    <row r="42" spans="2:23" ht="14.25" customHeight="1" x14ac:dyDescent="0.3"/>
    <row r="43" spans="2:23" ht="14.25" customHeight="1" x14ac:dyDescent="0.3">
      <c r="Q43" s="169" t="s">
        <v>276</v>
      </c>
      <c r="R43" s="169" t="s">
        <v>277</v>
      </c>
      <c r="S43" s="169" t="s">
        <v>278</v>
      </c>
      <c r="T43" s="169" t="s">
        <v>279</v>
      </c>
      <c r="U43" s="169" t="s">
        <v>280</v>
      </c>
      <c r="V43" s="169" t="s">
        <v>281</v>
      </c>
      <c r="W43" s="257" t="s">
        <v>282</v>
      </c>
    </row>
    <row r="44" spans="2:23" ht="14.25" customHeight="1" x14ac:dyDescent="0.3">
      <c r="Q44" s="171">
        <v>48995</v>
      </c>
      <c r="R44" s="172">
        <f>D51</f>
        <v>10000</v>
      </c>
      <c r="S44" s="173">
        <v>1</v>
      </c>
      <c r="T44" s="173">
        <v>0</v>
      </c>
      <c r="U44" s="241">
        <f>R44*S44</f>
        <v>10000</v>
      </c>
      <c r="V44" s="175">
        <f>R44*T44</f>
        <v>0</v>
      </c>
      <c r="W44" s="259">
        <f>Q44-U44</f>
        <v>38995</v>
      </c>
    </row>
    <row r="46" spans="2:23" ht="14.25" customHeight="1" x14ac:dyDescent="0.3">
      <c r="H46" s="302"/>
    </row>
    <row r="50" spans="2:10" x14ac:dyDescent="0.3">
      <c r="B50" s="275"/>
      <c r="C50" s="144" t="s">
        <v>237</v>
      </c>
      <c r="D50" s="144" t="s">
        <v>283</v>
      </c>
      <c r="E50" s="414"/>
      <c r="F50" s="99"/>
      <c r="G50" s="144" t="s">
        <v>284</v>
      </c>
      <c r="H50" s="144" t="s">
        <v>237</v>
      </c>
      <c r="I50" s="144" t="s">
        <v>285</v>
      </c>
      <c r="J50" s="144" t="s">
        <v>286</v>
      </c>
    </row>
    <row r="51" spans="2:10" x14ac:dyDescent="0.3">
      <c r="B51" s="179" t="s">
        <v>287</v>
      </c>
      <c r="C51" s="180">
        <f>10/$K$1</f>
        <v>16.666666666666668</v>
      </c>
      <c r="D51" s="181">
        <f>$C$1*10</f>
        <v>10000</v>
      </c>
      <c r="E51" s="182"/>
      <c r="F51" s="99"/>
      <c r="G51" s="179" t="s">
        <v>287</v>
      </c>
      <c r="H51" s="276">
        <f>I51/$D$5</f>
        <v>10</v>
      </c>
      <c r="I51" s="180">
        <f>J51/$R$1</f>
        <v>49993.589743589742</v>
      </c>
      <c r="J51" s="180">
        <f>$W$44</f>
        <v>38995</v>
      </c>
    </row>
    <row r="52" spans="2:10" x14ac:dyDescent="0.3">
      <c r="B52" s="230" t="s">
        <v>266</v>
      </c>
      <c r="C52" s="231">
        <f>$I$1</f>
        <v>5.0497801484</v>
      </c>
      <c r="D52" s="232">
        <f>$E$1</f>
        <v>5049.7801484000001</v>
      </c>
      <c r="E52" s="99"/>
      <c r="F52" s="99"/>
      <c r="G52" s="147" t="s">
        <v>266</v>
      </c>
      <c r="H52" s="209">
        <f>I52/$D$5</f>
        <v>6.777842995255801</v>
      </c>
      <c r="I52" s="175">
        <f>J52/$R$1</f>
        <v>33884.870205128202</v>
      </c>
      <c r="J52" s="183">
        <f>$S$32</f>
        <v>26430.198759999999</v>
      </c>
    </row>
    <row r="53" spans="2:10" x14ac:dyDescent="0.3">
      <c r="B53" s="230" t="s">
        <v>288</v>
      </c>
      <c r="C53" s="233">
        <f>MIN(C52, C51)</f>
        <v>5.0497801484</v>
      </c>
      <c r="D53" s="232">
        <f>(C53*$K$1)*$C$1</f>
        <v>3029.8680890399996</v>
      </c>
      <c r="E53" s="99"/>
      <c r="F53" s="99"/>
      <c r="G53" s="147" t="s">
        <v>288</v>
      </c>
      <c r="H53" s="186">
        <f>MIN(H52,H51)</f>
        <v>6.777842995255801</v>
      </c>
      <c r="I53" s="175">
        <f>J53/$R$1</f>
        <v>33884.870205128202</v>
      </c>
      <c r="J53" s="175">
        <f>MIN(J52,J51)</f>
        <v>26430.198759999999</v>
      </c>
    </row>
    <row r="54" spans="2:10" ht="14.25" customHeight="1" x14ac:dyDescent="0.3">
      <c r="B54" s="230" t="s">
        <v>289</v>
      </c>
      <c r="C54" s="233">
        <f>MIN(MAX(C52-C53,0),C51)</f>
        <v>0</v>
      </c>
      <c r="D54" s="232">
        <f>(C54*$K$1)*$C$1</f>
        <v>0</v>
      </c>
      <c r="E54" s="99"/>
      <c r="F54" s="99"/>
      <c r="G54" s="147" t="s">
        <v>289</v>
      </c>
      <c r="H54" s="186">
        <f>MIN(MAX(H52-H53),H51)</f>
        <v>0</v>
      </c>
      <c r="I54" s="175">
        <f>J54/$R$1</f>
        <v>0</v>
      </c>
      <c r="J54" s="175">
        <f>MIN(MAX(J52-J53),J51)</f>
        <v>0</v>
      </c>
    </row>
    <row r="55" spans="2:10" ht="14.25" customHeight="1" x14ac:dyDescent="0.3">
      <c r="B55" s="230" t="s">
        <v>290</v>
      </c>
      <c r="C55" s="233">
        <f>MIN(MAX(C52-C53-C54,0),C51)</f>
        <v>0</v>
      </c>
      <c r="D55" s="232">
        <f>(C55*$K$1)*$C$1</f>
        <v>0</v>
      </c>
      <c r="E55" s="99"/>
      <c r="F55" s="99"/>
      <c r="G55" s="144" t="s">
        <v>290</v>
      </c>
      <c r="H55" s="186">
        <f>MIN(MAX(H52-H53-H54),H51)</f>
        <v>0</v>
      </c>
      <c r="I55" s="175">
        <f>J55/$R$1</f>
        <v>0</v>
      </c>
      <c r="J55" s="175">
        <f>MIN(MAX(J52-J53-J54),J51)</f>
        <v>0</v>
      </c>
    </row>
    <row r="62" spans="2:10" ht="17.75" customHeight="1" x14ac:dyDescent="0.3"/>
    <row r="63" spans="2:10" ht="17.75" customHeight="1" x14ac:dyDescent="0.3"/>
    <row r="64" spans="2:10" ht="25.5" customHeight="1" x14ac:dyDescent="0.3"/>
    <row r="65" ht="14.25" customHeight="1" x14ac:dyDescent="0.3"/>
    <row r="66" ht="14.25" customHeight="1" x14ac:dyDescent="0.3"/>
    <row r="67" ht="14.25" customHeight="1" x14ac:dyDescent="0.3"/>
    <row r="68" ht="14.25" customHeight="1" x14ac:dyDescent="0.3"/>
    <row r="69" ht="20.25" customHeight="1" x14ac:dyDescent="0.3"/>
    <row r="70" ht="14.25" customHeight="1" x14ac:dyDescent="0.3"/>
    <row r="73" ht="17.75" customHeight="1" x14ac:dyDescent="0.3"/>
    <row r="74" ht="17.75" customHeight="1" x14ac:dyDescent="0.3"/>
    <row r="75" ht="25.5" customHeight="1" x14ac:dyDescent="0.3"/>
    <row r="76" ht="14.25" customHeight="1" x14ac:dyDescent="0.3"/>
    <row r="77" ht="14.25" customHeight="1" x14ac:dyDescent="0.3"/>
    <row r="78" ht="14.25" customHeight="1" x14ac:dyDescent="0.3"/>
    <row r="79" ht="14.25" customHeight="1" x14ac:dyDescent="0.3"/>
    <row r="80" ht="20.25" customHeight="1" x14ac:dyDescent="0.3"/>
  </sheetData>
  <mergeCells count="6">
    <mergeCell ref="B35:F35"/>
    <mergeCell ref="AK2:AM2"/>
    <mergeCell ref="AE2:AG3"/>
    <mergeCell ref="R26:U26"/>
    <mergeCell ref="R25:U25"/>
    <mergeCell ref="B2:H3"/>
  </mergeCells>
  <printOptions horizontalCentered="1"/>
  <pageMargins left="0.4" right="0.4" top="1" bottom="0.5" header="0.3" footer="0.511811023622047"/>
  <pageSetup paperSize="9" scale="48" orientation="landscape" r:id="rId1"/>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rgb="FFBF9000"/>
    <pageSetUpPr fitToPage="1"/>
  </sheetPr>
  <dimension ref="A1:AT82"/>
  <sheetViews>
    <sheetView zoomScale="25" zoomScaleNormal="25" workbookViewId="0">
      <selection activeCell="R52" sqref="Q52:R53"/>
    </sheetView>
  </sheetViews>
  <sheetFormatPr defaultColWidth="12.5" defaultRowHeight="14" x14ac:dyDescent="0.3"/>
  <cols>
    <col min="1" max="1" width="12.5" style="78" customWidth="1"/>
    <col min="2" max="2" width="38.7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20.58203125" style="14" customWidth="1"/>
    <col min="13" max="13" width="14.6640625" style="14" customWidth="1"/>
    <col min="14" max="17" width="12.5" style="14" customWidth="1"/>
    <col min="18" max="18" width="32.83203125" style="14" customWidth="1"/>
    <col min="19" max="19" width="12.5" style="14" customWidth="1"/>
    <col min="20" max="27" width="12.5" style="14"/>
    <col min="28" max="28" width="10.9140625" style="14" bestFit="1" customWidth="1"/>
    <col min="29" max="29" width="11.58203125" style="14" bestFit="1" customWidth="1"/>
    <col min="30" max="30" width="9.83203125" style="14" bestFit="1" customWidth="1"/>
    <col min="31" max="31" width="11" style="14" bestFit="1" customWidth="1"/>
    <col min="32" max="34" width="5.6640625" style="14" customWidth="1"/>
    <col min="35" max="35" width="12.5" style="14"/>
    <col min="36" max="36" width="34.08203125" style="14" customWidth="1"/>
    <col min="37" max="16384" width="12.5" style="14"/>
  </cols>
  <sheetData>
    <row r="1" spans="1:46" ht="44.25" customHeight="1" x14ac:dyDescent="0.3">
      <c r="B1" s="79" t="s">
        <v>235</v>
      </c>
      <c r="C1" s="80">
        <v>1000</v>
      </c>
      <c r="D1" s="81" t="s">
        <v>236</v>
      </c>
      <c r="E1" s="116">
        <f>T32</f>
        <v>5914.6153846153902</v>
      </c>
      <c r="F1" s="79" t="s">
        <v>237</v>
      </c>
      <c r="G1" s="80">
        <f>E1/C1</f>
        <v>5.9146153846153906</v>
      </c>
      <c r="H1" s="79" t="s">
        <v>238</v>
      </c>
      <c r="I1" s="248">
        <f>(G1/K1)</f>
        <v>5.9743589743589807</v>
      </c>
      <c r="J1" s="85" t="s">
        <v>239</v>
      </c>
      <c r="K1" s="80">
        <v>0.99</v>
      </c>
      <c r="L1" s="99"/>
      <c r="M1" s="214"/>
      <c r="N1" s="215"/>
      <c r="O1" s="90" t="s">
        <v>240</v>
      </c>
      <c r="P1" s="91" t="s">
        <v>241</v>
      </c>
      <c r="Q1" s="92" t="s">
        <v>242</v>
      </c>
      <c r="R1" s="91">
        <v>0.59</v>
      </c>
      <c r="Y1" s="90" t="s">
        <v>463</v>
      </c>
      <c r="Z1" s="835">
        <v>25630</v>
      </c>
      <c r="AA1" s="90" t="s">
        <v>578</v>
      </c>
      <c r="AB1" s="835">
        <v>0</v>
      </c>
      <c r="AC1" s="90" t="s">
        <v>567</v>
      </c>
      <c r="AD1" s="835">
        <v>175</v>
      </c>
      <c r="AE1" s="249"/>
      <c r="AF1" s="251"/>
      <c r="AG1" s="91"/>
      <c r="AI1" s="78"/>
      <c r="AJ1" s="109" t="s">
        <v>254</v>
      </c>
      <c r="AK1" s="93">
        <v>10000</v>
      </c>
      <c r="AL1" s="623" t="s">
        <v>503</v>
      </c>
      <c r="AM1" s="624">
        <f>$S$32</f>
        <v>19715.38461538461</v>
      </c>
      <c r="AN1" s="93" t="s">
        <v>243</v>
      </c>
      <c r="AO1" s="95">
        <f>($S$32/$R$1)/$AK$1</f>
        <v>3.3415906127770527</v>
      </c>
      <c r="AP1" s="94"/>
    </row>
    <row r="2" spans="1:46" ht="12.75" customHeight="1" x14ac:dyDescent="0.3">
      <c r="A2" s="96"/>
      <c r="B2" s="1450" t="s">
        <v>382</v>
      </c>
      <c r="C2" s="1460"/>
      <c r="D2" s="1460"/>
      <c r="E2" s="1460"/>
      <c r="F2" s="1460"/>
      <c r="G2" s="1460"/>
      <c r="H2" s="1460"/>
      <c r="I2" s="1460"/>
      <c r="J2" s="1460"/>
      <c r="K2" s="1462"/>
      <c r="L2" s="1501"/>
      <c r="M2" s="1457"/>
      <c r="N2" s="1457"/>
      <c r="O2" s="99"/>
      <c r="P2" s="99"/>
      <c r="Q2" s="99"/>
      <c r="R2" s="99"/>
      <c r="AC2" s="98"/>
      <c r="AD2" s="98"/>
      <c r="AE2" s="1457"/>
      <c r="AF2" s="1460"/>
      <c r="AG2" s="1460"/>
      <c r="AI2" s="78"/>
      <c r="AJ2" s="100"/>
      <c r="AK2" s="1442" t="s">
        <v>382</v>
      </c>
      <c r="AL2" s="1442"/>
      <c r="AM2" s="1442"/>
      <c r="AN2" s="101"/>
      <c r="AO2" s="100"/>
      <c r="AP2" s="100"/>
    </row>
    <row r="3" spans="1:46" ht="12.75" customHeight="1" x14ac:dyDescent="0.3">
      <c r="A3" s="96"/>
      <c r="B3" s="1444"/>
      <c r="C3" s="1444"/>
      <c r="D3" s="1444"/>
      <c r="E3" s="1444"/>
      <c r="F3" s="1444"/>
      <c r="G3" s="1444"/>
      <c r="H3" s="1444"/>
      <c r="I3" s="1444"/>
      <c r="J3" s="1444"/>
      <c r="K3" s="1463"/>
      <c r="L3" s="1502"/>
      <c r="M3" s="1458"/>
      <c r="N3" s="1458"/>
      <c r="O3" s="99"/>
      <c r="P3" s="99"/>
      <c r="Q3" s="99"/>
      <c r="R3" s="99"/>
      <c r="AC3" s="98"/>
      <c r="AD3" s="98"/>
      <c r="AE3" s="1460"/>
      <c r="AF3" s="1460"/>
      <c r="AG3" s="1460"/>
      <c r="AI3" s="78"/>
      <c r="AJ3" s="372"/>
      <c r="AK3" s="103"/>
      <c r="AL3" s="104"/>
      <c r="AM3" s="104"/>
      <c r="AN3" s="104"/>
      <c r="AO3" s="103"/>
      <c r="AP3" s="103"/>
    </row>
    <row r="4" spans="1:46" ht="69" customHeight="1" x14ac:dyDescent="0.3">
      <c r="A4" s="90" t="s">
        <v>1</v>
      </c>
      <c r="B4" s="90" t="s">
        <v>245</v>
      </c>
      <c r="C4" s="106" t="s">
        <v>246</v>
      </c>
      <c r="D4" s="90" t="s">
        <v>235</v>
      </c>
      <c r="E4" s="107" t="s">
        <v>238</v>
      </c>
      <c r="F4" s="107" t="s">
        <v>247</v>
      </c>
      <c r="G4" s="90" t="s">
        <v>248</v>
      </c>
      <c r="H4" s="330" t="s">
        <v>339</v>
      </c>
      <c r="I4" s="90" t="s">
        <v>250</v>
      </c>
      <c r="J4" s="90" t="s">
        <v>251</v>
      </c>
      <c r="K4" s="90" t="s">
        <v>252</v>
      </c>
      <c r="L4" s="88" t="s">
        <v>253</v>
      </c>
      <c r="M4" s="370"/>
      <c r="N4" s="370"/>
      <c r="O4" s="99"/>
      <c r="P4" s="99"/>
      <c r="Q4" s="99"/>
      <c r="R4" s="99"/>
      <c r="AC4" s="250"/>
      <c r="AD4" s="252"/>
      <c r="AE4" s="250"/>
      <c r="AF4" s="250"/>
      <c r="AG4" s="250"/>
      <c r="AI4" s="78"/>
      <c r="AJ4" s="109" t="s">
        <v>245</v>
      </c>
      <c r="AK4" s="110" t="s">
        <v>246</v>
      </c>
      <c r="AL4" s="109" t="s">
        <v>254</v>
      </c>
      <c r="AM4" s="109" t="s">
        <v>238</v>
      </c>
      <c r="AN4" s="109" t="s">
        <v>247</v>
      </c>
      <c r="AO4" s="109" t="s">
        <v>248</v>
      </c>
      <c r="AP4" s="111" t="s">
        <v>249</v>
      </c>
      <c r="AQ4" s="90" t="s">
        <v>250</v>
      </c>
      <c r="AR4" s="90" t="s">
        <v>251</v>
      </c>
      <c r="AS4" s="90" t="s">
        <v>252</v>
      </c>
      <c r="AT4" s="90" t="s">
        <v>253</v>
      </c>
    </row>
    <row r="5" spans="1:46" ht="14.25" customHeight="1" x14ac:dyDescent="0.3">
      <c r="A5" s="265" t="s">
        <v>225</v>
      </c>
      <c r="B5" s="308" t="s">
        <v>224</v>
      </c>
      <c r="C5" s="114" t="s">
        <v>14</v>
      </c>
      <c r="D5" s="120">
        <f>I51/10</f>
        <v>5649.8305084745762</v>
      </c>
      <c r="E5" s="84">
        <f>H52</f>
        <v>5.9144970946734894</v>
      </c>
      <c r="F5" s="126">
        <v>1</v>
      </c>
      <c r="G5" s="120">
        <f t="shared" ref="G5:G20" si="0">D5*E5</f>
        <v>33415.906127770526</v>
      </c>
      <c r="H5" s="119">
        <f t="shared" ref="H5:H20" si="1">G5*F5</f>
        <v>33415.906127770526</v>
      </c>
      <c r="I5" s="80">
        <f>VLOOKUP(B5,All_Ingredients!$A$1:$F$149,6,FALSE())</f>
        <v>0.86</v>
      </c>
      <c r="J5" s="120">
        <f>VLOOKUP(B5,All_Ingredients!$A$1:$J$149,10,FALSE())</f>
        <v>17.100000000000001</v>
      </c>
      <c r="K5" s="121">
        <f>(H5/I5)/1000</f>
        <v>38.855704799733168</v>
      </c>
      <c r="L5" s="121">
        <f>K5*J5</f>
        <v>664.43255207543723</v>
      </c>
      <c r="M5" s="130"/>
      <c r="N5" s="130"/>
      <c r="O5" s="99"/>
      <c r="P5" s="99"/>
      <c r="Q5" s="99"/>
      <c r="R5" s="99"/>
      <c r="AC5" s="91"/>
      <c r="AD5" s="132"/>
      <c r="AE5" s="253"/>
      <c r="AF5" s="134"/>
      <c r="AG5" s="135"/>
      <c r="AI5" s="78"/>
      <c r="AJ5" s="122" t="s">
        <v>224</v>
      </c>
      <c r="AK5" s="123" t="s">
        <v>231</v>
      </c>
      <c r="AL5" s="115">
        <v>10</v>
      </c>
      <c r="AM5" s="196">
        <f t="shared" ref="AM5:AM12" si="2">$AO$1</f>
        <v>3.3415906127770527</v>
      </c>
      <c r="AN5" s="126">
        <v>1</v>
      </c>
      <c r="AO5" s="120">
        <f t="shared" ref="AO5:AO12" si="3">AL5*AM5</f>
        <v>33.415906127770526</v>
      </c>
      <c r="AP5" s="119">
        <f t="shared" ref="AP5:AP12" si="4">AO5*AN5</f>
        <v>33.415906127770526</v>
      </c>
      <c r="AQ5" s="294"/>
      <c r="AR5" s="1152"/>
      <c r="AS5" s="174"/>
      <c r="AT5" s="1153"/>
    </row>
    <row r="6" spans="1:46" ht="14.25" customHeight="1" x14ac:dyDescent="0.3">
      <c r="A6" s="127" t="s">
        <v>13</v>
      </c>
      <c r="B6" s="400" t="s">
        <v>762</v>
      </c>
      <c r="C6" s="123" t="s">
        <v>14</v>
      </c>
      <c r="D6" s="124">
        <v>20</v>
      </c>
      <c r="E6" s="196">
        <f t="shared" ref="E6:E20" si="5">$I$1</f>
        <v>5.9743589743589807</v>
      </c>
      <c r="F6" s="126">
        <v>1</v>
      </c>
      <c r="G6" s="120">
        <f t="shared" si="0"/>
        <v>119.48717948717962</v>
      </c>
      <c r="H6" s="119">
        <f t="shared" si="1"/>
        <v>119.48717948717962</v>
      </c>
      <c r="I6" s="80">
        <f>VLOOKUP(B6,All_Ingredients!$A$1:$F$149,6,FALSE())</f>
        <v>1</v>
      </c>
      <c r="J6" s="120">
        <f>VLOOKUP(B6,All_Ingredients!$A$1:$J$149,10,FALSE())</f>
        <v>10.5</v>
      </c>
      <c r="K6" s="121">
        <f t="shared" ref="K6:K20" si="6">(H6/I6)/1000</f>
        <v>0.11948717948717962</v>
      </c>
      <c r="L6" s="121">
        <f>K6*J6</f>
        <v>1.254615384615386</v>
      </c>
      <c r="M6" s="130"/>
      <c r="N6" s="130"/>
      <c r="AI6" s="78" t="s">
        <v>56</v>
      </c>
      <c r="AJ6" s="80" t="s">
        <v>55</v>
      </c>
      <c r="AK6" s="123" t="s">
        <v>14</v>
      </c>
      <c r="AL6" s="115">
        <v>100</v>
      </c>
      <c r="AM6" s="196">
        <f t="shared" si="2"/>
        <v>3.3415906127770527</v>
      </c>
      <c r="AN6" s="126">
        <v>1</v>
      </c>
      <c r="AO6" s="120">
        <f t="shared" si="3"/>
        <v>334.15906127770529</v>
      </c>
      <c r="AP6" s="119">
        <f t="shared" si="4"/>
        <v>334.15906127770529</v>
      </c>
      <c r="AQ6" s="1153">
        <f>VLOOKUP(AJ6,Marination_Ordering!$A:$J,6,FALSE)</f>
        <v>0.87</v>
      </c>
      <c r="AR6" s="1153">
        <f>VLOOKUP(AJ6,Marination_Ordering!$A:$J,10,FALSE)</f>
        <v>3.2</v>
      </c>
      <c r="AS6" s="174">
        <f>AP6/AQ6</f>
        <v>384.09087503184514</v>
      </c>
      <c r="AT6" s="1153">
        <f>AR6*(AS6/1000)</f>
        <v>1.2290908001019045</v>
      </c>
    </row>
    <row r="7" spans="1:46" ht="14.25" customHeight="1" x14ac:dyDescent="0.3">
      <c r="A7" s="127" t="s">
        <v>56</v>
      </c>
      <c r="B7" s="400" t="s">
        <v>55</v>
      </c>
      <c r="C7" s="123" t="s">
        <v>14</v>
      </c>
      <c r="D7" s="124">
        <v>20</v>
      </c>
      <c r="E7" s="196">
        <f t="shared" si="5"/>
        <v>5.9743589743589807</v>
      </c>
      <c r="F7" s="126">
        <v>1</v>
      </c>
      <c r="G7" s="120">
        <f t="shared" si="0"/>
        <v>119.48717948717962</v>
      </c>
      <c r="H7" s="119">
        <f t="shared" si="1"/>
        <v>119.48717948717962</v>
      </c>
      <c r="I7" s="80">
        <f>VLOOKUP(B7,All_Ingredients!$A$1:$F$149,6,FALSE())</f>
        <v>0.87</v>
      </c>
      <c r="J7" s="120">
        <f>VLOOKUP(B7,All_Ingredients!$A$1:$J$149,10,FALSE())</f>
        <v>7</v>
      </c>
      <c r="K7" s="121">
        <f t="shared" si="6"/>
        <v>0.13734158561744783</v>
      </c>
      <c r="L7" s="121">
        <f t="shared" ref="L7:L20" si="7">K7*J7</f>
        <v>0.96139109932213485</v>
      </c>
      <c r="M7" s="130"/>
      <c r="N7" s="130"/>
      <c r="AI7" s="78" t="s">
        <v>13</v>
      </c>
      <c r="AJ7" s="80" t="s">
        <v>762</v>
      </c>
      <c r="AK7" s="123" t="s">
        <v>14</v>
      </c>
      <c r="AL7" s="115">
        <v>200</v>
      </c>
      <c r="AM7" s="196">
        <f t="shared" si="2"/>
        <v>3.3415906127770527</v>
      </c>
      <c r="AN7" s="126">
        <v>1</v>
      </c>
      <c r="AO7" s="120">
        <f t="shared" si="3"/>
        <v>668.31812255541058</v>
      </c>
      <c r="AP7" s="119">
        <f t="shared" si="4"/>
        <v>668.31812255541058</v>
      </c>
      <c r="AQ7" s="1153">
        <f>VLOOKUP(AJ7,Marination_Ordering!$A:$J,6,FALSE)</f>
        <v>1</v>
      </c>
      <c r="AR7" s="1153">
        <f>VLOOKUP(AJ7,Marination_Ordering!$A:$J,10,FALSE)</f>
        <v>10.5</v>
      </c>
      <c r="AS7" s="174">
        <f t="shared" ref="AS7:AS9" si="8">AP7/AQ7</f>
        <v>668.31812255541058</v>
      </c>
      <c r="AT7" s="1153">
        <f t="shared" ref="AT7:AT9" si="9">AR7*(AS7/1000)</f>
        <v>7.0173402868318107</v>
      </c>
    </row>
    <row r="8" spans="1:46" x14ac:dyDescent="0.3">
      <c r="A8" s="127" t="s">
        <v>182</v>
      </c>
      <c r="B8" s="400" t="s">
        <v>185</v>
      </c>
      <c r="C8" s="123" t="s">
        <v>14</v>
      </c>
      <c r="D8" s="124">
        <v>50</v>
      </c>
      <c r="E8" s="196">
        <f t="shared" si="5"/>
        <v>5.9743589743589807</v>
      </c>
      <c r="F8" s="126">
        <v>1</v>
      </c>
      <c r="G8" s="120">
        <f t="shared" si="0"/>
        <v>298.71794871794901</v>
      </c>
      <c r="H8" s="119">
        <f t="shared" si="1"/>
        <v>298.71794871794901</v>
      </c>
      <c r="I8" s="80">
        <f>VLOOKUP(B8,All_Ingredients!$A$1:$F$149,6,FALSE())</f>
        <v>1</v>
      </c>
      <c r="J8" s="120">
        <f>VLOOKUP(B8,All_Ingredients!$A$1:$J$149,10,FALSE())</f>
        <v>17</v>
      </c>
      <c r="K8" s="121">
        <f t="shared" si="6"/>
        <v>0.29871794871794899</v>
      </c>
      <c r="L8" s="121">
        <f t="shared" si="7"/>
        <v>5.0782051282051324</v>
      </c>
      <c r="M8" s="130"/>
      <c r="N8" s="130"/>
      <c r="AI8" s="78" t="s">
        <v>206</v>
      </c>
      <c r="AJ8" s="80" t="s">
        <v>214</v>
      </c>
      <c r="AK8" s="123" t="s">
        <v>161</v>
      </c>
      <c r="AL8" s="222">
        <v>350</v>
      </c>
      <c r="AM8" s="196">
        <f t="shared" si="2"/>
        <v>3.3415906127770527</v>
      </c>
      <c r="AN8" s="126">
        <v>1</v>
      </c>
      <c r="AO8" s="120">
        <f t="shared" si="3"/>
        <v>1169.5567144719685</v>
      </c>
      <c r="AP8" s="119">
        <f t="shared" si="4"/>
        <v>1169.5567144719685</v>
      </c>
      <c r="AQ8" s="1153">
        <f>VLOOKUP(AJ8,Marination_Ordering!$A:$J,6,FALSE)</f>
        <v>1</v>
      </c>
      <c r="AR8" s="1153">
        <f>VLOOKUP(AJ8,Marination_Ordering!$A:$J,10,FALSE)</f>
        <v>5</v>
      </c>
      <c r="AS8" s="174">
        <f t="shared" si="8"/>
        <v>1169.5567144719685</v>
      </c>
      <c r="AT8" s="1153">
        <f t="shared" si="9"/>
        <v>5.8477835723598428</v>
      </c>
    </row>
    <row r="9" spans="1:46" ht="14.25" customHeight="1" x14ac:dyDescent="0.35">
      <c r="A9" s="127" t="s">
        <v>192</v>
      </c>
      <c r="B9" s="400" t="s">
        <v>200</v>
      </c>
      <c r="C9" s="992" t="s">
        <v>161</v>
      </c>
      <c r="D9" s="124">
        <v>200</v>
      </c>
      <c r="E9" s="196">
        <f t="shared" si="5"/>
        <v>5.9743589743589807</v>
      </c>
      <c r="F9" s="126">
        <v>1</v>
      </c>
      <c r="G9" s="120">
        <f t="shared" si="0"/>
        <v>1194.8717948717961</v>
      </c>
      <c r="H9" s="119">
        <f t="shared" si="1"/>
        <v>1194.8717948717961</v>
      </c>
      <c r="I9" s="80">
        <f>VLOOKUP(B9,All_Ingredients!$A$1:$F$149,6,FALSE())</f>
        <v>1</v>
      </c>
      <c r="J9" s="120">
        <f>VLOOKUP(B9,All_Ingredients!$A$1:$J$149,10,FALSE())</f>
        <v>3.25</v>
      </c>
      <c r="K9" s="121">
        <f t="shared" si="6"/>
        <v>1.194871794871796</v>
      </c>
      <c r="L9" s="121">
        <f t="shared" si="7"/>
        <v>3.8833333333333369</v>
      </c>
      <c r="M9" s="130"/>
      <c r="N9" s="130"/>
      <c r="AI9" s="78" t="s">
        <v>206</v>
      </c>
      <c r="AJ9" s="80" t="s">
        <v>210</v>
      </c>
      <c r="AK9" s="123" t="s">
        <v>161</v>
      </c>
      <c r="AL9" s="115">
        <v>70</v>
      </c>
      <c r="AM9" s="196">
        <f t="shared" si="2"/>
        <v>3.3415906127770527</v>
      </c>
      <c r="AN9" s="126">
        <v>1</v>
      </c>
      <c r="AO9" s="120">
        <f t="shared" si="3"/>
        <v>233.9113428943937</v>
      </c>
      <c r="AP9" s="119">
        <f t="shared" si="4"/>
        <v>233.9113428943937</v>
      </c>
      <c r="AQ9" s="1153">
        <f>VLOOKUP(AJ9,Marination_Ordering!$A:$J,6,FALSE)</f>
        <v>1</v>
      </c>
      <c r="AR9" s="1153">
        <f>VLOOKUP(AJ9,Marination_Ordering!$A:$J,10,FALSE)</f>
        <v>2.1621621621621623</v>
      </c>
      <c r="AS9" s="174">
        <f t="shared" si="8"/>
        <v>233.9113428943937</v>
      </c>
      <c r="AT9" s="1153">
        <f t="shared" si="9"/>
        <v>0.50575425490679715</v>
      </c>
    </row>
    <row r="10" spans="1:46" ht="14.25" customHeight="1" x14ac:dyDescent="0.3">
      <c r="A10" s="127" t="s">
        <v>192</v>
      </c>
      <c r="B10" s="113" t="s">
        <v>731</v>
      </c>
      <c r="C10" s="123" t="s">
        <v>14</v>
      </c>
      <c r="D10" s="124">
        <v>20</v>
      </c>
      <c r="E10" s="196">
        <f t="shared" si="5"/>
        <v>5.9743589743589807</v>
      </c>
      <c r="F10" s="126">
        <v>1</v>
      </c>
      <c r="G10" s="120">
        <f t="shared" si="0"/>
        <v>119.48717948717962</v>
      </c>
      <c r="H10" s="119">
        <f t="shared" si="1"/>
        <v>119.48717948717962</v>
      </c>
      <c r="I10" s="80">
        <f>VLOOKUP(B10,All_Ingredients!$A$1:$F$149,6,FALSE())</f>
        <v>1</v>
      </c>
      <c r="J10" s="120">
        <f>VLOOKUP(B10,All_Ingredients!$A$1:$J$149,10,FALSE())</f>
        <v>8.1520833333333336</v>
      </c>
      <c r="K10" s="121">
        <f>(H10/I10)/1000</f>
        <v>0.11948717948717962</v>
      </c>
      <c r="L10" s="121">
        <f t="shared" si="7"/>
        <v>0.97406944444444554</v>
      </c>
      <c r="M10" s="130"/>
      <c r="N10" s="130"/>
      <c r="AI10" s="78" t="s">
        <v>95</v>
      </c>
      <c r="AJ10" s="80" t="s">
        <v>94</v>
      </c>
      <c r="AK10" s="123" t="s">
        <v>14</v>
      </c>
      <c r="AL10" s="115">
        <v>2</v>
      </c>
      <c r="AM10" s="196">
        <f t="shared" si="2"/>
        <v>3.3415906127770527</v>
      </c>
      <c r="AN10" s="126">
        <v>1</v>
      </c>
      <c r="AO10" s="120">
        <f t="shared" si="3"/>
        <v>6.6831812255541054</v>
      </c>
      <c r="AP10" s="119">
        <f t="shared" si="4"/>
        <v>6.6831812255541054</v>
      </c>
      <c r="AQ10" s="1153">
        <f>VLOOKUP(AJ10,Marination_Ordering!$A:$J,6,FALSE)</f>
        <v>1</v>
      </c>
      <c r="AR10" s="1153">
        <f>VLOOKUP(AJ10,Marination_Ordering!$A:$J,10,FALSE)</f>
        <v>0.74</v>
      </c>
      <c r="AS10" s="174">
        <f t="shared" ref="AS10:AS12" si="10">AP10/AQ10</f>
        <v>6.6831812255541054</v>
      </c>
      <c r="AT10" s="1153">
        <f t="shared" ref="AT10:AT12" si="11">AR10*(AS10/1000)</f>
        <v>4.9455541069100377E-3</v>
      </c>
    </row>
    <row r="11" spans="1:46" x14ac:dyDescent="0.3">
      <c r="A11" s="127" t="s">
        <v>95</v>
      </c>
      <c r="B11" s="400" t="s">
        <v>140</v>
      </c>
      <c r="C11" s="123" t="s">
        <v>14</v>
      </c>
      <c r="D11" s="124">
        <v>10</v>
      </c>
      <c r="E11" s="196">
        <f t="shared" si="5"/>
        <v>5.9743589743589807</v>
      </c>
      <c r="F11" s="126">
        <v>0.75</v>
      </c>
      <c r="G11" s="120">
        <f t="shared" si="0"/>
        <v>59.743589743589808</v>
      </c>
      <c r="H11" s="119">
        <f t="shared" si="1"/>
        <v>44.807692307692356</v>
      </c>
      <c r="I11" s="80">
        <f>VLOOKUP(B11,All_Ingredients!$A$1:$F$149,6,FALSE())</f>
        <v>1</v>
      </c>
      <c r="J11" s="120">
        <f>VLOOKUP(B11,All_Ingredients!$A$1:$J$149,10,FALSE())</f>
        <v>15.277777777777779</v>
      </c>
      <c r="K11" s="121">
        <f t="shared" si="6"/>
        <v>4.4807692307692354E-2</v>
      </c>
      <c r="L11" s="121">
        <f t="shared" si="7"/>
        <v>0.6845619658119666</v>
      </c>
      <c r="M11" s="130"/>
      <c r="N11" s="130"/>
      <c r="AI11" s="78" t="s">
        <v>95</v>
      </c>
      <c r="AJ11" s="80" t="s">
        <v>100</v>
      </c>
      <c r="AK11" s="123" t="s">
        <v>14</v>
      </c>
      <c r="AL11" s="115">
        <v>3</v>
      </c>
      <c r="AM11" s="196">
        <f t="shared" si="2"/>
        <v>3.3415906127770527</v>
      </c>
      <c r="AN11" s="126">
        <v>1</v>
      </c>
      <c r="AO11" s="120">
        <f t="shared" si="3"/>
        <v>10.024771838331159</v>
      </c>
      <c r="AP11" s="119">
        <f t="shared" si="4"/>
        <v>10.024771838331159</v>
      </c>
      <c r="AQ11" s="1153">
        <f>VLOOKUP(AJ11,Marination_Ordering!$A:$J,6,FALSE)</f>
        <v>1</v>
      </c>
      <c r="AR11" s="1153">
        <f>VLOOKUP(AJ11,Marination_Ordering!$A:$J,10,FALSE)</f>
        <v>31</v>
      </c>
      <c r="AS11" s="174">
        <f t="shared" si="10"/>
        <v>10.024771838331159</v>
      </c>
      <c r="AT11" s="1153">
        <f t="shared" si="11"/>
        <v>0.31076792698826589</v>
      </c>
    </row>
    <row r="12" spans="1:46" ht="14" customHeight="1" x14ac:dyDescent="0.3">
      <c r="A12" s="127" t="s">
        <v>154</v>
      </c>
      <c r="B12" s="400" t="s">
        <v>160</v>
      </c>
      <c r="C12" s="123" t="s">
        <v>161</v>
      </c>
      <c r="D12" s="124">
        <v>100</v>
      </c>
      <c r="E12" s="196">
        <f t="shared" si="5"/>
        <v>5.9743589743589807</v>
      </c>
      <c r="F12" s="126">
        <v>1</v>
      </c>
      <c r="G12" s="120">
        <f t="shared" si="0"/>
        <v>597.43589743589803</v>
      </c>
      <c r="H12" s="119">
        <f t="shared" si="1"/>
        <v>597.43589743589803</v>
      </c>
      <c r="I12" s="80">
        <f>VLOOKUP(B12,All_Ingredients!$A$1:$F$149,6,FALSE())</f>
        <v>1</v>
      </c>
      <c r="J12" s="120">
        <f>VLOOKUP(B12,All_Ingredients!$A$1:$J$149,10,FALSE())</f>
        <v>4.2033333333333331</v>
      </c>
      <c r="K12" s="121">
        <f t="shared" si="6"/>
        <v>0.59743589743589798</v>
      </c>
      <c r="L12" s="121">
        <f t="shared" si="7"/>
        <v>2.5112222222222242</v>
      </c>
      <c r="M12" s="130"/>
      <c r="N12" s="130"/>
      <c r="AI12" s="78" t="s">
        <v>215</v>
      </c>
      <c r="AJ12" s="293" t="s">
        <v>877</v>
      </c>
      <c r="AK12" s="123" t="s">
        <v>14</v>
      </c>
      <c r="AL12" s="124">
        <v>5</v>
      </c>
      <c r="AM12" s="196">
        <f t="shared" si="2"/>
        <v>3.3415906127770527</v>
      </c>
      <c r="AN12" s="126">
        <v>1</v>
      </c>
      <c r="AO12" s="120">
        <f t="shared" si="3"/>
        <v>16.707953063885263</v>
      </c>
      <c r="AP12" s="119">
        <f t="shared" si="4"/>
        <v>16.707953063885263</v>
      </c>
      <c r="AQ12" s="1153">
        <f>VLOOKUP(AJ12,Marination_Ordering!$A:$J,6,FALSE)</f>
        <v>1</v>
      </c>
      <c r="AR12" s="1153">
        <f>VLOOKUP(AJ12,Marination_Ordering!$A:$J,10,FALSE)</f>
        <v>22.5</v>
      </c>
      <c r="AS12" s="174">
        <f t="shared" si="10"/>
        <v>16.707953063885263</v>
      </c>
      <c r="AT12" s="1153">
        <f t="shared" si="11"/>
        <v>0.37592894393741844</v>
      </c>
    </row>
    <row r="13" spans="1:46" ht="14.25" customHeight="1" x14ac:dyDescent="0.3">
      <c r="A13" s="127" t="s">
        <v>192</v>
      </c>
      <c r="B13" s="400" t="s">
        <v>204</v>
      </c>
      <c r="C13" s="123" t="s">
        <v>14</v>
      </c>
      <c r="D13" s="124">
        <v>25</v>
      </c>
      <c r="E13" s="196">
        <f t="shared" si="5"/>
        <v>5.9743589743589807</v>
      </c>
      <c r="F13" s="126">
        <v>1</v>
      </c>
      <c r="G13" s="120">
        <f t="shared" si="0"/>
        <v>149.35897435897451</v>
      </c>
      <c r="H13" s="119">
        <f t="shared" si="1"/>
        <v>149.35897435897451</v>
      </c>
      <c r="I13" s="80">
        <f>VLOOKUP(B13,All_Ingredients!$A$1:$F$149,6,FALSE())</f>
        <v>1</v>
      </c>
      <c r="J13" s="120">
        <f>VLOOKUP(B13,All_Ingredients!$A$1:$J$149,10,FALSE())</f>
        <v>11.243386243386244</v>
      </c>
      <c r="K13" s="121">
        <f t="shared" si="6"/>
        <v>0.14935897435897449</v>
      </c>
      <c r="L13" s="121">
        <f t="shared" si="7"/>
        <v>1.6793006376339725</v>
      </c>
      <c r="M13" s="130"/>
      <c r="N13" s="130"/>
    </row>
    <row r="14" spans="1:46" ht="14.25" customHeight="1" x14ac:dyDescent="0.3">
      <c r="A14" s="127" t="s">
        <v>192</v>
      </c>
      <c r="B14" s="400" t="s">
        <v>194</v>
      </c>
      <c r="C14" s="123" t="s">
        <v>161</v>
      </c>
      <c r="D14" s="124">
        <v>30</v>
      </c>
      <c r="E14" s="196">
        <f t="shared" si="5"/>
        <v>5.9743589743589807</v>
      </c>
      <c r="F14" s="126">
        <v>0.75</v>
      </c>
      <c r="G14" s="120">
        <f t="shared" si="0"/>
        <v>179.23076923076943</v>
      </c>
      <c r="H14" s="119">
        <f t="shared" si="1"/>
        <v>134.42307692307708</v>
      </c>
      <c r="I14" s="80">
        <f>VLOOKUP(B14,All_Ingredients!$A$1:$F$149,6,FALSE())</f>
        <v>1</v>
      </c>
      <c r="J14" s="120">
        <f>VLOOKUP(B14,All_Ingredients!$A$1:$J$149,10,FALSE())</f>
        <v>58.685446009389672</v>
      </c>
      <c r="K14" s="121">
        <f t="shared" si="6"/>
        <v>0.13442307692307709</v>
      </c>
      <c r="L14" s="121">
        <f t="shared" si="7"/>
        <v>7.8886782231852752</v>
      </c>
      <c r="M14" s="130"/>
      <c r="N14" s="130"/>
    </row>
    <row r="15" spans="1:46" ht="14.25" customHeight="1" x14ac:dyDescent="0.3">
      <c r="A15" s="127" t="s">
        <v>154</v>
      </c>
      <c r="B15" s="400" t="s">
        <v>167</v>
      </c>
      <c r="C15" s="123" t="s">
        <v>161</v>
      </c>
      <c r="D15" s="124">
        <v>500</v>
      </c>
      <c r="E15" s="196">
        <f t="shared" si="5"/>
        <v>5.9743589743589807</v>
      </c>
      <c r="F15" s="126">
        <v>1</v>
      </c>
      <c r="G15" s="120">
        <f t="shared" si="0"/>
        <v>2987.1794871794905</v>
      </c>
      <c r="H15" s="119">
        <f t="shared" si="1"/>
        <v>2987.1794871794905</v>
      </c>
      <c r="I15" s="80">
        <f>VLOOKUP(B15,All_Ingredients!$A$1:$F$149,6,FALSE())</f>
        <v>1</v>
      </c>
      <c r="J15" s="120">
        <f>VLOOKUP(B15,All_Ingredients!$A$1:$J$149,10,FALSE())</f>
        <v>12.666666666666666</v>
      </c>
      <c r="K15" s="121">
        <f t="shared" si="6"/>
        <v>2.9871794871794903</v>
      </c>
      <c r="L15" s="121">
        <f t="shared" si="7"/>
        <v>37.837606837606877</v>
      </c>
      <c r="M15" s="130"/>
      <c r="N15" s="130"/>
    </row>
    <row r="16" spans="1:46" ht="14.25" customHeight="1" x14ac:dyDescent="0.3">
      <c r="A16" s="127" t="s">
        <v>13</v>
      </c>
      <c r="B16" s="400" t="s">
        <v>12</v>
      </c>
      <c r="C16" s="123" t="s">
        <v>14</v>
      </c>
      <c r="D16" s="124">
        <v>100</v>
      </c>
      <c r="E16" s="196">
        <f t="shared" si="5"/>
        <v>5.9743589743589807</v>
      </c>
      <c r="F16" s="126">
        <v>0.95</v>
      </c>
      <c r="G16" s="120">
        <f t="shared" si="0"/>
        <v>597.43589743589803</v>
      </c>
      <c r="H16" s="119">
        <f t="shared" si="1"/>
        <v>567.56410256410311</v>
      </c>
      <c r="I16" s="80">
        <f>VLOOKUP(B16,All_Ingredients!$A$1:$F$149,6,FALSE())</f>
        <v>0.9</v>
      </c>
      <c r="J16" s="120">
        <f>VLOOKUP(B16,All_Ingredients!$A$1:$J$149,10,FALSE())</f>
        <v>3</v>
      </c>
      <c r="K16" s="121">
        <f t="shared" si="6"/>
        <v>0.63062678062678112</v>
      </c>
      <c r="L16" s="121">
        <f t="shared" si="7"/>
        <v>1.8918803418803434</v>
      </c>
      <c r="M16" s="130"/>
      <c r="N16" s="130"/>
    </row>
    <row r="17" spans="1:31" ht="14.25" customHeight="1" x14ac:dyDescent="0.3">
      <c r="A17" s="127" t="s">
        <v>95</v>
      </c>
      <c r="B17" s="400" t="s">
        <v>94</v>
      </c>
      <c r="C17" s="123" t="s">
        <v>14</v>
      </c>
      <c r="D17" s="124">
        <v>6</v>
      </c>
      <c r="E17" s="196">
        <f t="shared" si="5"/>
        <v>5.9743589743589807</v>
      </c>
      <c r="F17" s="126">
        <v>0.75</v>
      </c>
      <c r="G17" s="120">
        <f t="shared" si="0"/>
        <v>35.846153846153882</v>
      </c>
      <c r="H17" s="119">
        <f t="shared" si="1"/>
        <v>26.884615384615412</v>
      </c>
      <c r="I17" s="80">
        <f>VLOOKUP(B17,All_Ingredients!$A$1:$F$149,6,FALSE())</f>
        <v>1</v>
      </c>
      <c r="J17" s="120">
        <f>VLOOKUP(B17,All_Ingredients!$A$1:$J$149,10,FALSE())</f>
        <v>0.74</v>
      </c>
      <c r="K17" s="121">
        <f t="shared" si="6"/>
        <v>2.6884615384615413E-2</v>
      </c>
      <c r="L17" s="121">
        <f t="shared" si="7"/>
        <v>1.9894615384615406E-2</v>
      </c>
      <c r="M17" s="130"/>
      <c r="N17" s="130"/>
    </row>
    <row r="18" spans="1:31" ht="14.25" customHeight="1" x14ac:dyDescent="0.3">
      <c r="A18" s="127" t="s">
        <v>215</v>
      </c>
      <c r="B18" s="221" t="s">
        <v>877</v>
      </c>
      <c r="C18" s="123" t="s">
        <v>14</v>
      </c>
      <c r="D18" s="124">
        <v>2</v>
      </c>
      <c r="E18" s="196">
        <f t="shared" si="5"/>
        <v>5.9743589743589807</v>
      </c>
      <c r="F18" s="126">
        <v>1</v>
      </c>
      <c r="G18" s="120">
        <f t="shared" si="0"/>
        <v>11.948717948717961</v>
      </c>
      <c r="H18" s="119">
        <f t="shared" si="1"/>
        <v>11.948717948717961</v>
      </c>
      <c r="I18" s="80">
        <f>VLOOKUP(B18,All_Ingredients!$A$1:$F$149,6,FALSE())</f>
        <v>1</v>
      </c>
      <c r="J18" s="120">
        <f>VLOOKUP(B18,All_Ingredients!$A$1:$J$149,10,FALSE())</f>
        <v>22.5</v>
      </c>
      <c r="K18" s="121">
        <f t="shared" si="6"/>
        <v>1.1948717948717961E-2</v>
      </c>
      <c r="L18" s="121">
        <f t="shared" si="7"/>
        <v>0.26884615384615412</v>
      </c>
      <c r="M18" s="130"/>
      <c r="N18" s="130"/>
    </row>
    <row r="19" spans="1:31" ht="14.25" customHeight="1" x14ac:dyDescent="0.3">
      <c r="A19" s="127" t="s">
        <v>154</v>
      </c>
      <c r="B19" s="417" t="s">
        <v>153</v>
      </c>
      <c r="C19" s="418" t="s">
        <v>14</v>
      </c>
      <c r="D19" s="419">
        <v>20</v>
      </c>
      <c r="E19" s="420">
        <f t="shared" si="5"/>
        <v>5.9743589743589807</v>
      </c>
      <c r="F19" s="126">
        <v>1</v>
      </c>
      <c r="G19" s="120">
        <f t="shared" si="0"/>
        <v>119.48717948717962</v>
      </c>
      <c r="H19" s="119">
        <f t="shared" si="1"/>
        <v>119.48717948717962</v>
      </c>
      <c r="I19" s="80">
        <f>VLOOKUP(B19,All_Ingredients!$A$1:$F$149,6,FALSE())</f>
        <v>1</v>
      </c>
      <c r="J19" s="120">
        <f>VLOOKUP(B19,All_Ingredients!$A$1:$J$149,10,FALSE())</f>
        <v>30</v>
      </c>
      <c r="K19" s="121">
        <f t="shared" si="6"/>
        <v>0.11948717948717962</v>
      </c>
      <c r="L19" s="121">
        <f t="shared" si="7"/>
        <v>3.5846153846153883</v>
      </c>
      <c r="M19" s="130"/>
      <c r="N19" s="130"/>
    </row>
    <row r="20" spans="1:31" ht="14.25" customHeight="1" x14ac:dyDescent="0.3">
      <c r="B20" s="221" t="s">
        <v>189</v>
      </c>
      <c r="C20" s="123" t="s">
        <v>14</v>
      </c>
      <c r="D20" s="124">
        <v>30</v>
      </c>
      <c r="E20" s="222">
        <f t="shared" si="5"/>
        <v>5.9743589743589807</v>
      </c>
      <c r="F20" s="126">
        <v>0.75</v>
      </c>
      <c r="G20" s="118">
        <f t="shared" si="0"/>
        <v>179.23076923076943</v>
      </c>
      <c r="H20" s="119">
        <f t="shared" si="1"/>
        <v>134.42307692307708</v>
      </c>
      <c r="I20" s="80">
        <f>VLOOKUP(B20,All_Ingredients!$A$1:$F$149,6,FALSE())</f>
        <v>0.9</v>
      </c>
      <c r="J20" s="118">
        <f>VLOOKUP(B20,All_Ingredients!$A$1:$J$149,10,FALSE())</f>
        <v>2.3199999999999998</v>
      </c>
      <c r="K20" s="121">
        <f t="shared" si="6"/>
        <v>0.14935897435897452</v>
      </c>
      <c r="L20" s="121">
        <f t="shared" si="7"/>
        <v>0.34651282051282084</v>
      </c>
    </row>
    <row r="21" spans="1:31" ht="14.25" customHeight="1" x14ac:dyDescent="0.3">
      <c r="L21" s="296"/>
    </row>
    <row r="22" spans="1:31" ht="14.25" customHeight="1" x14ac:dyDescent="0.3">
      <c r="B22" s="91"/>
      <c r="C22" s="132"/>
      <c r="D22" s="253"/>
      <c r="E22" s="295"/>
      <c r="F22" s="135"/>
      <c r="G22" s="136"/>
      <c r="H22" s="137"/>
      <c r="L22" s="296"/>
      <c r="R22"/>
    </row>
    <row r="23" spans="1:31" ht="14.25" customHeight="1" x14ac:dyDescent="0.3">
      <c r="B23" s="91"/>
      <c r="C23" s="132"/>
      <c r="D23" s="253"/>
      <c r="E23" s="295"/>
      <c r="F23" s="135"/>
      <c r="G23" s="136"/>
      <c r="H23" s="137"/>
      <c r="L23" s="296"/>
    </row>
    <row r="24" spans="1:31" ht="14.25" customHeight="1" x14ac:dyDescent="0.3">
      <c r="L24" s="296"/>
      <c r="Z24" s="1208"/>
    </row>
    <row r="25" spans="1:31" ht="14.25" customHeight="1" x14ac:dyDescent="0.35">
      <c r="L25" s="296"/>
      <c r="R25" s="1440" t="s">
        <v>382</v>
      </c>
      <c r="S25" s="1444"/>
      <c r="T25" s="1444"/>
      <c r="U25" s="1444"/>
      <c r="V25" s="1132"/>
      <c r="Z25" s="140" t="s">
        <v>256</v>
      </c>
      <c r="AA25" s="141">
        <v>1</v>
      </c>
      <c r="AB25" s="140" t="s">
        <v>253</v>
      </c>
      <c r="AC25" s="142">
        <f>(AA25*AE30)+(AA30*(AB28/R1))</f>
        <v>2.9929038709475071E-2</v>
      </c>
    </row>
    <row r="26" spans="1:31" ht="14.25" customHeight="1" x14ac:dyDescent="0.3">
      <c r="L26" s="296"/>
      <c r="R26" s="1445" t="s">
        <v>301</v>
      </c>
      <c r="S26" s="1446"/>
      <c r="T26" s="1446"/>
      <c r="U26" s="1446"/>
      <c r="V26" s="1132"/>
    </row>
    <row r="27" spans="1:31" ht="14.25" customHeight="1" thickBot="1" x14ac:dyDescent="0.35">
      <c r="R27" s="144" t="s">
        <v>258</v>
      </c>
      <c r="S27" s="145" t="s">
        <v>259</v>
      </c>
      <c r="T27" s="145" t="s">
        <v>260</v>
      </c>
      <c r="U27" s="145" t="s">
        <v>261</v>
      </c>
      <c r="V27" s="145" t="s">
        <v>808</v>
      </c>
      <c r="W27" s="145" t="s">
        <v>817</v>
      </c>
      <c r="Z27" s="140" t="s">
        <v>262</v>
      </c>
      <c r="AA27" s="1166" t="s">
        <v>316</v>
      </c>
      <c r="AB27" s="146" t="s">
        <v>263</v>
      </c>
      <c r="AC27" s="146" t="s">
        <v>264</v>
      </c>
      <c r="AD27" s="1167" t="s">
        <v>817</v>
      </c>
      <c r="AE27" s="146" t="s">
        <v>266</v>
      </c>
    </row>
    <row r="28" spans="1:31" ht="20.25" customHeight="1" thickBot="1" x14ac:dyDescent="0.35">
      <c r="R28" s="147" t="s">
        <v>267</v>
      </c>
      <c r="S28" s="754">
        <f>U28*S40</f>
        <v>19715.38461538461</v>
      </c>
      <c r="T28" s="754">
        <f>U28*U40</f>
        <v>5914.6153846153902</v>
      </c>
      <c r="U28" s="760">
        <f>$Z$1</f>
        <v>25630</v>
      </c>
      <c r="V28" s="148">
        <f>SUM(AP5:AP13)</f>
        <v>2472.7770534550191</v>
      </c>
      <c r="W28" s="148">
        <f>SUM(H37:H39)</f>
        <v>1921.5</v>
      </c>
      <c r="Z28" s="150"/>
      <c r="AA28" s="1169"/>
      <c r="AB28" s="151">
        <f>AA25*$S$40</f>
        <v>0.76923076923076905</v>
      </c>
      <c r="AC28" s="151">
        <f>AA25*$U$40</f>
        <v>0.230769230769231</v>
      </c>
      <c r="AD28" s="1169"/>
      <c r="AE28" s="153">
        <f>SUM(AB28:AC28)</f>
        <v>1</v>
      </c>
    </row>
    <row r="29" spans="1:31" ht="14.25" customHeight="1" thickBot="1" x14ac:dyDescent="0.35">
      <c r="R29" s="147" t="s">
        <v>268</v>
      </c>
      <c r="S29" s="756"/>
      <c r="T29" s="754"/>
      <c r="U29" s="148">
        <f>T29</f>
        <v>0</v>
      </c>
      <c r="V29" s="148"/>
      <c r="W29" s="148"/>
      <c r="Z29" s="150"/>
      <c r="AA29" s="1173"/>
      <c r="AB29" s="155">
        <f>AB28/$AE$28</f>
        <v>0.76923076923076905</v>
      </c>
      <c r="AC29" s="155">
        <f>AC28/$AE$28</f>
        <v>0.230769230769231</v>
      </c>
      <c r="AD29" s="1173"/>
      <c r="AE29" s="155">
        <f>AE28/$AE$28</f>
        <v>1</v>
      </c>
    </row>
    <row r="30" spans="1:31" ht="14.25" customHeight="1" thickBot="1" x14ac:dyDescent="0.35">
      <c r="R30" s="147" t="s">
        <v>269</v>
      </c>
      <c r="S30" s="1318">
        <f>U30*S40</f>
        <v>0</v>
      </c>
      <c r="T30" s="754">
        <f>U30*U40</f>
        <v>0</v>
      </c>
      <c r="U30" s="760">
        <f>$AB$1</f>
        <v>0</v>
      </c>
      <c r="V30" s="1124"/>
      <c r="W30" s="1124"/>
      <c r="Z30" s="140" t="s">
        <v>270</v>
      </c>
      <c r="AA30" s="1177">
        <f>V35/(S32/R1)</f>
        <v>4.5761474433053749E-4</v>
      </c>
      <c r="AB30" s="156">
        <f>S35/(S32)</f>
        <v>3.3701221915648408E-2</v>
      </c>
      <c r="AC30" s="157">
        <f>T35/T32</f>
        <v>1.1584560671574892E-2</v>
      </c>
      <c r="AD30" s="1180">
        <f>W35/U32</f>
        <v>7.3503230343614941E-4</v>
      </c>
      <c r="AE30" s="1182">
        <f>SUMPRODUCT(AB30:AC30,AB29:AC29)+AD30</f>
        <v>2.9332409316606051E-2</v>
      </c>
    </row>
    <row r="31" spans="1:31" ht="14.25" customHeight="1" thickBot="1" x14ac:dyDescent="0.35">
      <c r="R31" s="147" t="s">
        <v>271</v>
      </c>
      <c r="S31" s="154"/>
      <c r="T31" s="148"/>
      <c r="U31" s="148"/>
      <c r="V31" s="148"/>
      <c r="W31" s="148"/>
    </row>
    <row r="32" spans="1:31" ht="14.25" customHeight="1" thickBot="1" x14ac:dyDescent="0.35">
      <c r="R32" s="159" t="s">
        <v>261</v>
      </c>
      <c r="S32" s="148">
        <f>S28+S30</f>
        <v>19715.38461538461</v>
      </c>
      <c r="T32" s="148">
        <f>SUM(T28:T30)</f>
        <v>5914.6153846153902</v>
      </c>
      <c r="U32" s="148">
        <f>SUM(U28:U30)</f>
        <v>25630</v>
      </c>
      <c r="V32" s="148"/>
      <c r="W32" s="148">
        <f>SUM(W28:W30)</f>
        <v>1921.5</v>
      </c>
    </row>
    <row r="33" spans="2:23" ht="14.25" customHeight="1" thickBot="1" x14ac:dyDescent="0.35">
      <c r="R33" s="160" t="s">
        <v>272</v>
      </c>
      <c r="S33" s="154"/>
      <c r="T33" s="154"/>
      <c r="U33" s="154"/>
      <c r="V33" s="154"/>
      <c r="W33" s="154"/>
    </row>
    <row r="34" spans="2:23" ht="14.25" customHeight="1" thickBot="1" x14ac:dyDescent="0.35">
      <c r="R34" s="161" t="s">
        <v>273</v>
      </c>
      <c r="S34" s="154"/>
      <c r="T34" s="148"/>
      <c r="U34" s="154"/>
      <c r="V34" s="154"/>
      <c r="W34" s="154"/>
    </row>
    <row r="35" spans="2:23" ht="18.75" customHeight="1" thickBot="1" x14ac:dyDescent="0.35">
      <c r="B35" s="1484" t="s">
        <v>727</v>
      </c>
      <c r="C35" s="1484"/>
      <c r="D35" s="1484"/>
      <c r="E35" s="1484"/>
      <c r="F35" s="1484"/>
      <c r="G35" s="870"/>
      <c r="H35" s="870"/>
      <c r="I35" s="877"/>
      <c r="J35" s="877"/>
      <c r="K35" s="877"/>
      <c r="L35" s="877"/>
      <c r="R35" s="162" t="s">
        <v>253</v>
      </c>
      <c r="S35" s="1125">
        <f>$L$5</f>
        <v>664.43255207543723</v>
      </c>
      <c r="T35" s="1125">
        <f>SUM(L6:L19)</f>
        <v>68.518220772107256</v>
      </c>
      <c r="U35" s="1184">
        <f>S35+T35+V35+W35</f>
        <v>767.08126212384605</v>
      </c>
      <c r="V35" s="1125">
        <f>SUM(AT6:AT13)</f>
        <v>15.291611339232951</v>
      </c>
      <c r="W35" s="148">
        <f>SUM(L37:L39)</f>
        <v>18.83887793706851</v>
      </c>
    </row>
    <row r="36" spans="2:23" ht="46.5" x14ac:dyDescent="0.3">
      <c r="B36" s="848" t="s">
        <v>245</v>
      </c>
      <c r="C36" s="848" t="s">
        <v>321</v>
      </c>
      <c r="D36" s="850" t="s">
        <v>645</v>
      </c>
      <c r="E36" s="847" t="s">
        <v>646</v>
      </c>
      <c r="F36" s="850" t="s">
        <v>647</v>
      </c>
      <c r="G36" s="870"/>
      <c r="H36" s="850" t="s">
        <v>647</v>
      </c>
      <c r="I36" s="850" t="s">
        <v>250</v>
      </c>
      <c r="J36" s="850" t="s">
        <v>251</v>
      </c>
      <c r="K36" s="850" t="s">
        <v>252</v>
      </c>
      <c r="L36" s="850" t="s">
        <v>253</v>
      </c>
    </row>
    <row r="37" spans="2:23" x14ac:dyDescent="0.3">
      <c r="B37" s="843" t="s">
        <v>28</v>
      </c>
      <c r="C37" s="844" t="s">
        <v>14</v>
      </c>
      <c r="D37" s="845">
        <v>3.66</v>
      </c>
      <c r="E37" s="843">
        <f>$AD$1</f>
        <v>175</v>
      </c>
      <c r="F37" s="1151">
        <f>D37*E37</f>
        <v>640.5</v>
      </c>
      <c r="H37" s="843">
        <f>F37</f>
        <v>640.5</v>
      </c>
      <c r="I37" s="843">
        <f>VLOOKUP(B37,All_Ingredients!$A$1:$F$149,6,FALSE())</f>
        <v>0.73</v>
      </c>
      <c r="J37" s="843">
        <f>VLOOKUP(B37,All_Ingredients!$A$1:$J$149,10,FALSE())</f>
        <v>8.5</v>
      </c>
      <c r="K37" s="843">
        <f>(H37/I37)/1000</f>
        <v>0.87739726027397258</v>
      </c>
      <c r="L37" s="843">
        <f t="shared" ref="L37" si="12">K37*J37</f>
        <v>7.4578767123287673</v>
      </c>
    </row>
    <row r="38" spans="2:23" x14ac:dyDescent="0.3">
      <c r="B38" s="843" t="s">
        <v>30</v>
      </c>
      <c r="C38" s="844" t="s">
        <v>14</v>
      </c>
      <c r="D38" s="845">
        <v>3.66</v>
      </c>
      <c r="E38" s="843">
        <f>$AD$1</f>
        <v>175</v>
      </c>
      <c r="F38" s="1151">
        <f>D38*E38</f>
        <v>640.5</v>
      </c>
      <c r="H38" s="843">
        <f>F38</f>
        <v>640.5</v>
      </c>
      <c r="I38" s="843">
        <f>VLOOKUP(B38,All_Ingredients!$A$1:$F$149,6,FALSE())</f>
        <v>0.71</v>
      </c>
      <c r="J38" s="843">
        <f>VLOOKUP(B38,All_Ingredients!$A$1:$J$149,10,FALSE())</f>
        <v>8.5</v>
      </c>
      <c r="K38" s="843">
        <f t="shared" ref="K38:K39" si="13">(H38/I38)/1000</f>
        <v>0.90211267605633805</v>
      </c>
      <c r="L38" s="843">
        <f t="shared" ref="L38:L39" si="14">K38*J38</f>
        <v>7.6679577464788737</v>
      </c>
    </row>
    <row r="39" spans="2:23" x14ac:dyDescent="0.3">
      <c r="B39" s="843" t="s">
        <v>32</v>
      </c>
      <c r="C39" s="844" t="s">
        <v>14</v>
      </c>
      <c r="D39" s="845">
        <v>3.66</v>
      </c>
      <c r="E39" s="843">
        <f>$AD$1</f>
        <v>175</v>
      </c>
      <c r="F39" s="1151">
        <f>D39*E39</f>
        <v>640.5</v>
      </c>
      <c r="H39" s="843">
        <f>F39</f>
        <v>640.5</v>
      </c>
      <c r="I39" s="843">
        <f>VLOOKUP(B39,All_Ingredients!$A$1:$F$149,6,FALSE())</f>
        <v>0.69</v>
      </c>
      <c r="J39" s="843">
        <f>VLOOKUP(B39,All_Ingredients!$A$1:$J$149,10,FALSE())</f>
        <v>4</v>
      </c>
      <c r="K39" s="843">
        <f t="shared" si="13"/>
        <v>0.92826086956521747</v>
      </c>
      <c r="L39" s="843">
        <f t="shared" si="14"/>
        <v>3.7130434782608699</v>
      </c>
    </row>
    <row r="40" spans="2:23" ht="19.25" customHeight="1" x14ac:dyDescent="0.3">
      <c r="R40" s="164" t="s">
        <v>274</v>
      </c>
      <c r="S40" s="165">
        <v>0.76923076923076905</v>
      </c>
      <c r="T40" s="164" t="s">
        <v>275</v>
      </c>
      <c r="U40" s="166">
        <v>0.230769230769231</v>
      </c>
      <c r="V40" s="167">
        <f>S40+U40</f>
        <v>1</v>
      </c>
    </row>
    <row r="41" spans="2:23" ht="14.25" customHeight="1" x14ac:dyDescent="0.3">
      <c r="U41" s="168"/>
    </row>
    <row r="43" spans="2:23" ht="14.25" customHeight="1" x14ac:dyDescent="0.3">
      <c r="Q43" s="169" t="s">
        <v>276</v>
      </c>
      <c r="R43" s="169" t="s">
        <v>277</v>
      </c>
      <c r="S43" s="169" t="s">
        <v>278</v>
      </c>
      <c r="T43" s="169" t="s">
        <v>279</v>
      </c>
      <c r="U43" s="169" t="s">
        <v>280</v>
      </c>
      <c r="V43" s="169" t="s">
        <v>281</v>
      </c>
      <c r="W43" s="257" t="s">
        <v>282</v>
      </c>
    </row>
    <row r="44" spans="2:23" ht="14.25" customHeight="1" x14ac:dyDescent="0.3">
      <c r="Q44" s="171">
        <v>43334</v>
      </c>
      <c r="R44" s="172">
        <f>D51</f>
        <v>10000</v>
      </c>
      <c r="S44" s="240">
        <v>1</v>
      </c>
      <c r="T44" s="173">
        <v>0</v>
      </c>
      <c r="U44" s="241">
        <f>R44*S44</f>
        <v>10000</v>
      </c>
      <c r="V44" s="175">
        <f>R44*T44</f>
        <v>0</v>
      </c>
      <c r="W44" s="259">
        <f>Q44-U44</f>
        <v>33334</v>
      </c>
    </row>
    <row r="48" spans="2:23" ht="14" customHeight="1" x14ac:dyDescent="0.3"/>
    <row r="49" spans="1:10" ht="14" customHeight="1" x14ac:dyDescent="0.3"/>
    <row r="50" spans="1:10" x14ac:dyDescent="0.3">
      <c r="B50" s="275"/>
      <c r="C50" s="144" t="s">
        <v>237</v>
      </c>
      <c r="D50" s="144" t="s">
        <v>283</v>
      </c>
      <c r="E50" s="182"/>
      <c r="F50" s="99"/>
      <c r="G50" s="144" t="s">
        <v>284</v>
      </c>
      <c r="H50" s="144" t="s">
        <v>237</v>
      </c>
      <c r="I50" s="144" t="s">
        <v>285</v>
      </c>
      <c r="J50" s="144" t="s">
        <v>286</v>
      </c>
    </row>
    <row r="51" spans="1:10" ht="14.25" customHeight="1" x14ac:dyDescent="0.3">
      <c r="B51" s="179" t="s">
        <v>287</v>
      </c>
      <c r="C51" s="180">
        <f>10/$K$1</f>
        <v>10.1010101010101</v>
      </c>
      <c r="D51" s="181">
        <f>$C$1*10</f>
        <v>10000</v>
      </c>
      <c r="E51" s="182"/>
      <c r="F51" s="99"/>
      <c r="G51" s="179" t="s">
        <v>287</v>
      </c>
      <c r="H51" s="276">
        <f>I51/$D$5</f>
        <v>10</v>
      </c>
      <c r="I51" s="180">
        <f>J51/$R$1</f>
        <v>56498.305084745763</v>
      </c>
      <c r="J51" s="180">
        <f>$W$44</f>
        <v>33334</v>
      </c>
    </row>
    <row r="52" spans="1:10" ht="14.25" customHeight="1" x14ac:dyDescent="0.3">
      <c r="B52" s="230" t="s">
        <v>266</v>
      </c>
      <c r="C52" s="231">
        <f>$I$1</f>
        <v>5.9743589743589807</v>
      </c>
      <c r="D52" s="232">
        <f>$E$1</f>
        <v>5914.6153846153902</v>
      </c>
      <c r="E52" s="99"/>
      <c r="F52" s="99"/>
      <c r="G52" s="147" t="s">
        <v>266</v>
      </c>
      <c r="H52" s="209">
        <f>I52/$D$5</f>
        <v>5.9144970946734894</v>
      </c>
      <c r="I52" s="175">
        <f>J52/$R$1</f>
        <v>33415.906127770526</v>
      </c>
      <c r="J52" s="183">
        <f>$S$32</f>
        <v>19715.38461538461</v>
      </c>
    </row>
    <row r="53" spans="1:10" ht="14.25" customHeight="1" x14ac:dyDescent="0.3">
      <c r="B53" s="230" t="s">
        <v>288</v>
      </c>
      <c r="C53" s="233">
        <f>MIN(C52, C51)</f>
        <v>5.9743589743589807</v>
      </c>
      <c r="D53" s="232">
        <f>(C53*$K$1)*$C$1</f>
        <v>5914.6153846153902</v>
      </c>
      <c r="E53" s="99"/>
      <c r="F53" s="99"/>
      <c r="G53" s="147" t="s">
        <v>288</v>
      </c>
      <c r="H53" s="186">
        <f>MIN(H52,H51)</f>
        <v>5.9144970946734894</v>
      </c>
      <c r="I53" s="175">
        <f>J53/$R$1</f>
        <v>33415.906127770526</v>
      </c>
      <c r="J53" s="175">
        <f>MIN(J52,J51)</f>
        <v>19715.38461538461</v>
      </c>
    </row>
    <row r="54" spans="1:10" ht="14.25" customHeight="1" x14ac:dyDescent="0.3">
      <c r="B54" s="230" t="s">
        <v>289</v>
      </c>
      <c r="C54" s="233">
        <f>MIN(MAX(C52-C53,0),C51)</f>
        <v>0</v>
      </c>
      <c r="D54" s="232">
        <f>(C54*$K$1)*$C$1</f>
        <v>0</v>
      </c>
      <c r="E54" s="99"/>
      <c r="F54" s="99"/>
      <c r="G54" s="147" t="s">
        <v>289</v>
      </c>
      <c r="H54" s="186">
        <f>MIN(MAX(H52-H53),H51)</f>
        <v>0</v>
      </c>
      <c r="I54" s="175">
        <f>J54/$R$1</f>
        <v>0</v>
      </c>
      <c r="J54" s="175">
        <f>MIN(MAX(J52-J53),J51)</f>
        <v>0</v>
      </c>
    </row>
    <row r="55" spans="1:10" ht="14.25" customHeight="1" x14ac:dyDescent="0.3">
      <c r="B55" s="230" t="s">
        <v>290</v>
      </c>
      <c r="C55" s="233">
        <f>MIN(MAX(C52-C53-C54,0),C51)</f>
        <v>0</v>
      </c>
      <c r="D55" s="232">
        <f>(C55*$K$1)*$C$1</f>
        <v>0</v>
      </c>
      <c r="E55" s="99"/>
      <c r="F55" s="99"/>
      <c r="G55" s="144" t="s">
        <v>290</v>
      </c>
      <c r="H55" s="186">
        <f>MIN(MAX(H52-H53-H54),H51)</f>
        <v>0</v>
      </c>
      <c r="I55" s="175">
        <f>J55/$R$1</f>
        <v>0</v>
      </c>
      <c r="J55" s="175">
        <f>MIN(MAX(J52-J53-J54),J51)</f>
        <v>0</v>
      </c>
    </row>
    <row r="56" spans="1:10" ht="14.25" customHeight="1" x14ac:dyDescent="0.3"/>
    <row r="61" spans="1:10" ht="18" x14ac:dyDescent="0.3">
      <c r="I61" s="261"/>
      <c r="J61" s="261"/>
    </row>
    <row r="62" spans="1:10" ht="17.75" customHeight="1" x14ac:dyDescent="0.3">
      <c r="A62" s="922"/>
      <c r="B62" s="1503" t="str">
        <f>"  دجاج مكروني بالخضار 1 / " &amp; COUNTIF($C$53:$C$55, "&gt;0")</f>
        <v xml:space="preserve">  دجاج مكروني بالخضار 1 / 1</v>
      </c>
      <c r="C62" s="1439"/>
      <c r="D62" s="1439"/>
      <c r="E62" s="1439"/>
      <c r="F62" s="1439"/>
      <c r="G62" s="1439"/>
      <c r="H62" s="1504"/>
      <c r="I62" s="261"/>
      <c r="J62" s="261"/>
    </row>
    <row r="63" spans="1:10" ht="30" customHeight="1" x14ac:dyDescent="0.3">
      <c r="A63" s="922"/>
      <c r="B63" s="1499" t="str">
        <f>" Chicken Pasta with Vegetables 1 / " &amp; COUNTIF($C$53:$C$55, "&gt;0")</f>
        <v xml:space="preserve"> Chicken Pasta with Vegetables 1 / 1</v>
      </c>
      <c r="C63" s="1437"/>
      <c r="D63" s="1437"/>
      <c r="E63" s="1437"/>
      <c r="F63" s="1437"/>
      <c r="G63" s="1437"/>
      <c r="H63" s="1500"/>
      <c r="I63" s="370"/>
      <c r="J63" s="370"/>
    </row>
    <row r="64" spans="1:10" ht="53.25" customHeight="1" x14ac:dyDescent="0.25">
      <c r="A64" s="90"/>
      <c r="B64" s="90" t="s">
        <v>245</v>
      </c>
      <c r="C64" s="106" t="s">
        <v>246</v>
      </c>
      <c r="D64" s="90" t="s">
        <v>235</v>
      </c>
      <c r="E64" s="107" t="s">
        <v>238</v>
      </c>
      <c r="F64" s="107" t="s">
        <v>247</v>
      </c>
      <c r="G64" s="88" t="s">
        <v>248</v>
      </c>
      <c r="H64" s="108" t="s">
        <v>249</v>
      </c>
      <c r="I64" s="91"/>
      <c r="J64" s="138"/>
    </row>
    <row r="65" spans="1:10" ht="14.25" customHeight="1" x14ac:dyDescent="0.3">
      <c r="A65" s="127" t="s">
        <v>225</v>
      </c>
      <c r="B65" s="80" t="str">
        <f t="shared" ref="B65:D78" si="15">B5</f>
        <v>Chicken - دجاج</v>
      </c>
      <c r="C65" s="80" t="str">
        <f t="shared" si="15"/>
        <v>gm</v>
      </c>
      <c r="D65" s="118">
        <f t="shared" si="15"/>
        <v>5649.8305084745762</v>
      </c>
      <c r="E65" s="125">
        <f>H53</f>
        <v>5.9144970946734894</v>
      </c>
      <c r="F65" s="126">
        <f t="shared" ref="F65:F80" si="16">F5</f>
        <v>1</v>
      </c>
      <c r="G65" s="423">
        <f t="shared" ref="G65:G78" si="17">D65*E65</f>
        <v>33415.906127770526</v>
      </c>
      <c r="H65" s="119">
        <f t="shared" ref="H65:H78" si="18">G65*F65</f>
        <v>33415.906127770526</v>
      </c>
      <c r="I65" s="91"/>
      <c r="J65" s="138"/>
    </row>
    <row r="66" spans="1:10" ht="14.25" customHeight="1" x14ac:dyDescent="0.3">
      <c r="A66" s="127" t="s">
        <v>13</v>
      </c>
      <c r="B66" s="80" t="str">
        <f t="shared" si="15"/>
        <v>Garlic - ثوم مقشر</v>
      </c>
      <c r="C66" s="80" t="str">
        <f t="shared" si="15"/>
        <v>gm</v>
      </c>
      <c r="D66" s="80">
        <f t="shared" si="15"/>
        <v>20</v>
      </c>
      <c r="E66" s="125">
        <f t="shared" ref="E66:E80" si="19">$C$53</f>
        <v>5.9743589743589807</v>
      </c>
      <c r="F66" s="126">
        <f t="shared" si="16"/>
        <v>1</v>
      </c>
      <c r="G66" s="423">
        <f t="shared" si="17"/>
        <v>119.48717948717962</v>
      </c>
      <c r="H66" s="119">
        <f t="shared" si="18"/>
        <v>119.48717948717962</v>
      </c>
      <c r="I66" s="91"/>
      <c r="J66" s="138"/>
    </row>
    <row r="67" spans="1:10" ht="14.25" customHeight="1" x14ac:dyDescent="0.3">
      <c r="A67" s="127" t="s">
        <v>56</v>
      </c>
      <c r="B67" s="80" t="str">
        <f t="shared" si="15"/>
        <v>Ginger - زنجبيل</v>
      </c>
      <c r="C67" s="80" t="str">
        <f t="shared" si="15"/>
        <v>gm</v>
      </c>
      <c r="D67" s="80">
        <f t="shared" si="15"/>
        <v>20</v>
      </c>
      <c r="E67" s="125">
        <f t="shared" si="19"/>
        <v>5.9743589743589807</v>
      </c>
      <c r="F67" s="126">
        <f t="shared" si="16"/>
        <v>1</v>
      </c>
      <c r="G67" s="423">
        <f t="shared" si="17"/>
        <v>119.48717948717962</v>
      </c>
      <c r="H67" s="119">
        <f t="shared" si="18"/>
        <v>119.48717948717962</v>
      </c>
      <c r="I67" s="91"/>
      <c r="J67" s="138"/>
    </row>
    <row r="68" spans="1:10" ht="14.25" customHeight="1" x14ac:dyDescent="0.3">
      <c r="A68" s="127" t="s">
        <v>182</v>
      </c>
      <c r="B68" s="80" t="str">
        <f t="shared" si="15"/>
        <v>Honey - عسل</v>
      </c>
      <c r="C68" s="80" t="str">
        <f t="shared" si="15"/>
        <v>gm</v>
      </c>
      <c r="D68" s="80">
        <f t="shared" si="15"/>
        <v>50</v>
      </c>
      <c r="E68" s="125">
        <f t="shared" si="19"/>
        <v>5.9743589743589807</v>
      </c>
      <c r="F68" s="126">
        <f t="shared" si="16"/>
        <v>1</v>
      </c>
      <c r="G68" s="423">
        <f t="shared" si="17"/>
        <v>298.71794871794901</v>
      </c>
      <c r="H68" s="119">
        <f t="shared" si="18"/>
        <v>298.71794871794901</v>
      </c>
      <c r="I68" s="91"/>
      <c r="J68" s="138"/>
    </row>
    <row r="69" spans="1:10" ht="14.25" customHeight="1" x14ac:dyDescent="0.3">
      <c r="A69" s="127" t="s">
        <v>192</v>
      </c>
      <c r="B69" s="80" t="str">
        <f t="shared" si="15"/>
        <v>Tomato Ketchup - كاتشب طماطم</v>
      </c>
      <c r="C69" s="80" t="str">
        <f t="shared" si="15"/>
        <v>ml</v>
      </c>
      <c r="D69" s="80">
        <f t="shared" si="15"/>
        <v>200</v>
      </c>
      <c r="E69" s="125">
        <f>$C$53</f>
        <v>5.9743589743589807</v>
      </c>
      <c r="F69" s="126">
        <f t="shared" si="16"/>
        <v>1</v>
      </c>
      <c r="G69" s="423">
        <f t="shared" si="17"/>
        <v>1194.8717948717961</v>
      </c>
      <c r="H69" s="119">
        <f t="shared" si="18"/>
        <v>1194.8717948717961</v>
      </c>
      <c r="I69" s="91"/>
      <c r="J69" s="138"/>
    </row>
    <row r="70" spans="1:10" ht="14.25" customHeight="1" x14ac:dyDescent="0.3">
      <c r="A70" s="127" t="s">
        <v>192</v>
      </c>
      <c r="B70" s="80" t="str">
        <f t="shared" si="15"/>
        <v>Tomato Paste - صلصة طماطم</v>
      </c>
      <c r="C70" s="80" t="str">
        <f t="shared" si="15"/>
        <v>gm</v>
      </c>
      <c r="D70" s="80">
        <f t="shared" si="15"/>
        <v>20</v>
      </c>
      <c r="E70" s="125">
        <f t="shared" si="19"/>
        <v>5.9743589743589807</v>
      </c>
      <c r="F70" s="126">
        <f t="shared" si="16"/>
        <v>1</v>
      </c>
      <c r="G70" s="423">
        <f t="shared" si="17"/>
        <v>119.48717948717962</v>
      </c>
      <c r="H70" s="119">
        <f t="shared" si="18"/>
        <v>119.48717948717962</v>
      </c>
      <c r="I70" s="91"/>
      <c r="J70" s="138"/>
    </row>
    <row r="71" spans="1:10" ht="14.25" customHeight="1" x14ac:dyDescent="0.3">
      <c r="A71" s="127" t="s">
        <v>95</v>
      </c>
      <c r="B71" s="80" t="str">
        <f t="shared" si="15"/>
        <v>Maggi Cubes - مكعبات ماجي</v>
      </c>
      <c r="C71" s="80" t="str">
        <f t="shared" si="15"/>
        <v>gm</v>
      </c>
      <c r="D71" s="80">
        <f t="shared" si="15"/>
        <v>10</v>
      </c>
      <c r="E71" s="125">
        <f t="shared" si="19"/>
        <v>5.9743589743589807</v>
      </c>
      <c r="F71" s="126">
        <f t="shared" si="16"/>
        <v>0.75</v>
      </c>
      <c r="G71" s="423">
        <f t="shared" si="17"/>
        <v>59.743589743589808</v>
      </c>
      <c r="H71" s="119">
        <f t="shared" si="18"/>
        <v>44.807692307692356</v>
      </c>
      <c r="I71" s="91"/>
      <c r="J71" s="138"/>
    </row>
    <row r="72" spans="1:10" ht="14.25" customHeight="1" x14ac:dyDescent="0.3">
      <c r="A72" s="127" t="s">
        <v>154</v>
      </c>
      <c r="B72" s="80" t="str">
        <f t="shared" si="15"/>
        <v>Milk - حليب</v>
      </c>
      <c r="C72" s="80" t="str">
        <f t="shared" si="15"/>
        <v>ml</v>
      </c>
      <c r="D72" s="80">
        <f t="shared" si="15"/>
        <v>100</v>
      </c>
      <c r="E72" s="125">
        <f t="shared" si="19"/>
        <v>5.9743589743589807</v>
      </c>
      <c r="F72" s="126">
        <f t="shared" si="16"/>
        <v>1</v>
      </c>
      <c r="G72" s="423">
        <f t="shared" si="17"/>
        <v>597.43589743589803</v>
      </c>
      <c r="H72" s="119">
        <f t="shared" si="18"/>
        <v>597.43589743589803</v>
      </c>
      <c r="I72" s="91"/>
      <c r="J72" s="138"/>
    </row>
    <row r="73" spans="1:10" ht="14.25" customHeight="1" x14ac:dyDescent="0.3">
      <c r="A73" s="127" t="s">
        <v>192</v>
      </c>
      <c r="B73" s="80" t="str">
        <f t="shared" si="15"/>
        <v>Mustard - خردل</v>
      </c>
      <c r="C73" s="80" t="str">
        <f t="shared" si="15"/>
        <v>gm</v>
      </c>
      <c r="D73" s="80">
        <f t="shared" si="15"/>
        <v>25</v>
      </c>
      <c r="E73" s="125">
        <f t="shared" si="19"/>
        <v>5.9743589743589807</v>
      </c>
      <c r="F73" s="126">
        <f t="shared" si="16"/>
        <v>1</v>
      </c>
      <c r="G73" s="423">
        <f t="shared" si="17"/>
        <v>149.35897435897451</v>
      </c>
      <c r="H73" s="119">
        <f t="shared" si="18"/>
        <v>149.35897435897451</v>
      </c>
      <c r="I73" s="91"/>
      <c r="J73" s="138"/>
    </row>
    <row r="74" spans="1:10" ht="14.25" customHeight="1" x14ac:dyDescent="0.3">
      <c r="A74" s="127" t="s">
        <v>192</v>
      </c>
      <c r="B74" s="80" t="str">
        <f t="shared" si="15"/>
        <v>Sriracha Sauce - صوص سريراتشا</v>
      </c>
      <c r="C74" s="80" t="str">
        <f t="shared" si="15"/>
        <v>ml</v>
      </c>
      <c r="D74" s="80">
        <f t="shared" si="15"/>
        <v>30</v>
      </c>
      <c r="E74" s="125">
        <f t="shared" si="19"/>
        <v>5.9743589743589807</v>
      </c>
      <c r="F74" s="126">
        <f t="shared" si="16"/>
        <v>0.75</v>
      </c>
      <c r="G74" s="423">
        <f t="shared" si="17"/>
        <v>179.23076923076943</v>
      </c>
      <c r="H74" s="119">
        <f t="shared" si="18"/>
        <v>134.42307692307708</v>
      </c>
      <c r="I74" s="91"/>
      <c r="J74" s="138"/>
    </row>
    <row r="75" spans="1:10" ht="14.25" customHeight="1" x14ac:dyDescent="0.3">
      <c r="A75" s="127" t="s">
        <v>154</v>
      </c>
      <c r="B75" s="80" t="str">
        <f t="shared" si="15"/>
        <v>Cooking Cream - كريمة طبخ</v>
      </c>
      <c r="C75" s="80" t="str">
        <f t="shared" si="15"/>
        <v>ml</v>
      </c>
      <c r="D75" s="80">
        <f t="shared" si="15"/>
        <v>500</v>
      </c>
      <c r="E75" s="125">
        <f t="shared" si="19"/>
        <v>5.9743589743589807</v>
      </c>
      <c r="F75" s="126">
        <f t="shared" si="16"/>
        <v>1</v>
      </c>
      <c r="G75" s="423">
        <f t="shared" si="17"/>
        <v>2987.1794871794905</v>
      </c>
      <c r="H75" s="119">
        <f t="shared" si="18"/>
        <v>2987.1794871794905</v>
      </c>
      <c r="I75" s="91"/>
      <c r="J75" s="138"/>
    </row>
    <row r="76" spans="1:10" ht="14.25" customHeight="1" x14ac:dyDescent="0.3">
      <c r="A76" s="127" t="s">
        <v>13</v>
      </c>
      <c r="B76" s="80" t="str">
        <f t="shared" si="15"/>
        <v>Onion - بصل</v>
      </c>
      <c r="C76" s="80" t="str">
        <f t="shared" si="15"/>
        <v>gm</v>
      </c>
      <c r="D76" s="80">
        <f t="shared" si="15"/>
        <v>100</v>
      </c>
      <c r="E76" s="125">
        <f t="shared" si="19"/>
        <v>5.9743589743589807</v>
      </c>
      <c r="F76" s="126">
        <f t="shared" si="16"/>
        <v>0.95</v>
      </c>
      <c r="G76" s="423">
        <f t="shared" si="17"/>
        <v>597.43589743589803</v>
      </c>
      <c r="H76" s="119">
        <f t="shared" si="18"/>
        <v>567.56410256410311</v>
      </c>
      <c r="I76" s="91"/>
      <c r="J76" s="138"/>
    </row>
    <row r="77" spans="1:10" ht="14.25" customHeight="1" x14ac:dyDescent="0.3">
      <c r="A77" s="127" t="s">
        <v>95</v>
      </c>
      <c r="B77" s="80" t="str">
        <f t="shared" si="15"/>
        <v>Salt - ملح</v>
      </c>
      <c r="C77" s="80" t="str">
        <f t="shared" si="15"/>
        <v>gm</v>
      </c>
      <c r="D77" s="80">
        <f t="shared" si="15"/>
        <v>6</v>
      </c>
      <c r="E77" s="125">
        <f t="shared" si="19"/>
        <v>5.9743589743589807</v>
      </c>
      <c r="F77" s="126">
        <f t="shared" si="16"/>
        <v>0.75</v>
      </c>
      <c r="G77" s="423">
        <f t="shared" si="17"/>
        <v>35.846153846153882</v>
      </c>
      <c r="H77" s="119">
        <f t="shared" si="18"/>
        <v>26.884615384615412</v>
      </c>
      <c r="I77" s="91"/>
      <c r="J77" s="138"/>
    </row>
    <row r="78" spans="1:10" ht="14.25" customHeight="1" x14ac:dyDescent="0.3">
      <c r="A78" s="127" t="s">
        <v>215</v>
      </c>
      <c r="B78" s="80" t="str">
        <f t="shared" si="15"/>
        <v>Saffron yellow color powder - لون صفار زعفران بودر</v>
      </c>
      <c r="C78" s="80" t="str">
        <f t="shared" si="15"/>
        <v>gm</v>
      </c>
      <c r="D78" s="80">
        <f t="shared" si="15"/>
        <v>2</v>
      </c>
      <c r="E78" s="125">
        <f t="shared" si="19"/>
        <v>5.9743589743589807</v>
      </c>
      <c r="F78" s="126">
        <f t="shared" si="16"/>
        <v>1</v>
      </c>
      <c r="G78" s="423">
        <f t="shared" si="17"/>
        <v>11.948717948717961</v>
      </c>
      <c r="H78" s="119">
        <f t="shared" si="18"/>
        <v>11.948717948717961</v>
      </c>
      <c r="I78" s="91"/>
      <c r="J78" s="138"/>
    </row>
    <row r="79" spans="1:10" ht="14.25" customHeight="1" x14ac:dyDescent="0.4">
      <c r="A79" s="127"/>
      <c r="B79" s="80" t="str">
        <f t="shared" ref="B79:D79" si="20">B19</f>
        <v>Butter - زبدة</v>
      </c>
      <c r="C79" s="80" t="str">
        <f t="shared" si="20"/>
        <v>gm</v>
      </c>
      <c r="D79" s="80">
        <f t="shared" si="20"/>
        <v>20</v>
      </c>
      <c r="E79" s="125">
        <f t="shared" si="19"/>
        <v>5.9743589743589807</v>
      </c>
      <c r="F79" s="126">
        <f t="shared" si="16"/>
        <v>1</v>
      </c>
      <c r="G79" s="423">
        <f t="shared" ref="G79:G80" si="21">D79*E79</f>
        <v>119.48717948717962</v>
      </c>
      <c r="H79" s="119">
        <f t="shared" ref="H79:H80" si="22">G79*F79</f>
        <v>119.48717948717962</v>
      </c>
      <c r="J79" s="202"/>
    </row>
    <row r="80" spans="1:10" ht="20.25" customHeight="1" x14ac:dyDescent="0.3">
      <c r="A80" s="127" t="s">
        <v>154</v>
      </c>
      <c r="B80" s="80" t="str">
        <f t="shared" ref="B80:D80" si="23">B20</f>
        <v>Corn Starch - نشا ذرة</v>
      </c>
      <c r="C80" s="80" t="str">
        <f t="shared" si="23"/>
        <v>gm</v>
      </c>
      <c r="D80" s="80">
        <f t="shared" si="23"/>
        <v>30</v>
      </c>
      <c r="E80" s="125">
        <f t="shared" si="19"/>
        <v>5.9743589743589807</v>
      </c>
      <c r="F80" s="126">
        <f t="shared" si="16"/>
        <v>0.75</v>
      </c>
      <c r="G80" s="423">
        <f t="shared" si="21"/>
        <v>179.23076923076943</v>
      </c>
      <c r="H80" s="119">
        <f t="shared" si="22"/>
        <v>134.42307692307708</v>
      </c>
    </row>
    <row r="81" spans="1:8" ht="18" x14ac:dyDescent="0.3">
      <c r="A81" s="210"/>
      <c r="B81" s="197" t="s">
        <v>291</v>
      </c>
      <c r="C81" s="199" t="s">
        <v>277</v>
      </c>
      <c r="E81" s="199" t="s">
        <v>292</v>
      </c>
      <c r="G81" s="878" t="s">
        <v>268</v>
      </c>
      <c r="H81" s="878" t="s">
        <v>703</v>
      </c>
    </row>
    <row r="82" spans="1:8" ht="20" x14ac:dyDescent="0.4">
      <c r="A82" s="210"/>
      <c r="B82" s="198">
        <f>$J$53</f>
        <v>19715.38461538461</v>
      </c>
      <c r="C82" s="198">
        <f>E82+G82</f>
        <v>5914.6153846153902</v>
      </c>
      <c r="D82" s="915"/>
      <c r="E82" s="198">
        <f>$D$53*$S$44</f>
        <v>5914.6153846153902</v>
      </c>
      <c r="F82" s="919"/>
      <c r="G82" s="198">
        <f>$D$53*$T$44</f>
        <v>0</v>
      </c>
      <c r="H82" s="198">
        <f>B82+E82</f>
        <v>25630</v>
      </c>
    </row>
  </sheetData>
  <mergeCells count="12">
    <mergeCell ref="AK2:AM2"/>
    <mergeCell ref="B63:H63"/>
    <mergeCell ref="L2:L3"/>
    <mergeCell ref="B2:J3"/>
    <mergeCell ref="AE2:AG3"/>
    <mergeCell ref="R26:U26"/>
    <mergeCell ref="R25:U25"/>
    <mergeCell ref="M2:M3"/>
    <mergeCell ref="B62:H62"/>
    <mergeCell ref="N2:N3"/>
    <mergeCell ref="K2:K3"/>
    <mergeCell ref="B35:F35"/>
  </mergeCells>
  <printOptions horizontalCentered="1"/>
  <pageMargins left="0.4" right="0.4" top="1" bottom="0.5" header="0.3" footer="0.511811023622047"/>
  <pageSetup paperSize="9" scale="41" orientation="landscape" r:id="rId1"/>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rgb="FFBF9000"/>
    <pageSetUpPr fitToPage="1"/>
  </sheetPr>
  <dimension ref="A1:AG104"/>
  <sheetViews>
    <sheetView topLeftCell="L1" zoomScale="55" zoomScaleNormal="55" workbookViewId="0">
      <selection activeCell="R52" sqref="Q52:R53"/>
    </sheetView>
  </sheetViews>
  <sheetFormatPr defaultColWidth="12.5" defaultRowHeight="14" x14ac:dyDescent="0.3"/>
  <cols>
    <col min="1" max="1" width="12.5" style="78" customWidth="1"/>
    <col min="2" max="2" width="38.914062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5" style="14" customWidth="1"/>
    <col min="15" max="17" width="12.5" style="14" customWidth="1"/>
    <col min="18" max="18" width="43.1640625" style="14" customWidth="1"/>
    <col min="19" max="19" width="12.5" style="14" customWidth="1"/>
    <col min="20" max="27" width="12.5" style="14"/>
    <col min="28" max="28" width="11.58203125" style="14" bestFit="1" customWidth="1"/>
    <col min="29" max="16384" width="12.5" style="14"/>
  </cols>
  <sheetData>
    <row r="1" spans="1:33" ht="40.5" customHeight="1" x14ac:dyDescent="0.3">
      <c r="B1" s="79" t="s">
        <v>235</v>
      </c>
      <c r="C1" s="80">
        <v>1000</v>
      </c>
      <c r="D1" s="81" t="s">
        <v>236</v>
      </c>
      <c r="E1" s="116">
        <f>T32</f>
        <v>10252</v>
      </c>
      <c r="F1" s="79" t="s">
        <v>237</v>
      </c>
      <c r="G1" s="248">
        <f>E1/C1</f>
        <v>10.252000000000001</v>
      </c>
      <c r="H1" s="79" t="s">
        <v>238</v>
      </c>
      <c r="I1" s="248">
        <f>(G1/K1)</f>
        <v>10.355555555555556</v>
      </c>
      <c r="J1" s="85" t="s">
        <v>239</v>
      </c>
      <c r="K1" s="80">
        <v>0.99</v>
      </c>
      <c r="L1" s="99"/>
      <c r="M1" s="88"/>
      <c r="N1" s="89"/>
      <c r="O1" s="90" t="s">
        <v>240</v>
      </c>
      <c r="P1" s="99"/>
      <c r="Q1" s="92" t="s">
        <v>533</v>
      </c>
      <c r="R1" s="14">
        <v>2.5</v>
      </c>
      <c r="Y1" s="90" t="s">
        <v>463</v>
      </c>
      <c r="Z1" s="835">
        <v>25630</v>
      </c>
      <c r="AA1" s="90" t="s">
        <v>578</v>
      </c>
      <c r="AB1" s="835">
        <v>0</v>
      </c>
      <c r="AC1" s="90" t="s">
        <v>567</v>
      </c>
      <c r="AD1" s="835">
        <v>175</v>
      </c>
      <c r="AE1" s="249"/>
      <c r="AF1" s="251"/>
      <c r="AG1" s="91"/>
    </row>
    <row r="2" spans="1:33" ht="12.75" customHeight="1" x14ac:dyDescent="0.3">
      <c r="A2" s="96"/>
      <c r="B2" s="1450" t="s">
        <v>383</v>
      </c>
      <c r="C2" s="1460"/>
      <c r="D2" s="1460"/>
      <c r="E2" s="1460"/>
      <c r="F2" s="1460"/>
      <c r="G2" s="1460"/>
      <c r="H2" s="1460"/>
      <c r="I2" s="1460"/>
      <c r="J2" s="1460"/>
      <c r="K2" s="1462"/>
      <c r="L2" s="1462"/>
      <c r="M2" s="99"/>
      <c r="N2" s="99"/>
      <c r="O2" s="99"/>
      <c r="P2" s="99"/>
      <c r="Q2" s="99"/>
      <c r="R2" s="99"/>
      <c r="AC2" s="98"/>
      <c r="AD2" s="98"/>
      <c r="AE2" s="1457"/>
      <c r="AF2" s="1460"/>
      <c r="AG2" s="1460"/>
    </row>
    <row r="3" spans="1:33" ht="12.75" customHeight="1" x14ac:dyDescent="0.3">
      <c r="A3" s="96"/>
      <c r="B3" s="1444"/>
      <c r="C3" s="1444"/>
      <c r="D3" s="1444"/>
      <c r="E3" s="1444"/>
      <c r="F3" s="1444"/>
      <c r="G3" s="1444"/>
      <c r="H3" s="1444"/>
      <c r="I3" s="1444"/>
      <c r="J3" s="1444"/>
      <c r="K3" s="1463"/>
      <c r="L3" s="1463"/>
      <c r="M3" s="99"/>
      <c r="N3" s="99"/>
      <c r="O3" s="99"/>
      <c r="P3" s="99"/>
      <c r="Q3" s="99"/>
      <c r="R3" s="99"/>
      <c r="AC3" s="98"/>
      <c r="AD3" s="98"/>
      <c r="AE3" s="1460"/>
      <c r="AF3" s="1460"/>
      <c r="AG3" s="1460"/>
    </row>
    <row r="4" spans="1:33" ht="35.25" customHeight="1" x14ac:dyDescent="0.25">
      <c r="A4" s="90" t="s">
        <v>1</v>
      </c>
      <c r="B4" s="90" t="s">
        <v>245</v>
      </c>
      <c r="C4" s="106" t="s">
        <v>246</v>
      </c>
      <c r="D4" s="90" t="s">
        <v>235</v>
      </c>
      <c r="E4" s="107" t="s">
        <v>238</v>
      </c>
      <c r="F4" s="107" t="s">
        <v>247</v>
      </c>
      <c r="G4" s="90" t="s">
        <v>248</v>
      </c>
      <c r="H4" s="330" t="s">
        <v>339</v>
      </c>
      <c r="I4" s="90" t="s">
        <v>250</v>
      </c>
      <c r="J4" s="90" t="s">
        <v>251</v>
      </c>
      <c r="K4" s="90" t="s">
        <v>252</v>
      </c>
      <c r="L4" s="90" t="s">
        <v>253</v>
      </c>
      <c r="M4" s="99"/>
      <c r="N4" s="99"/>
      <c r="O4" s="99"/>
      <c r="P4" s="99"/>
      <c r="AA4" s="250"/>
      <c r="AB4" s="252"/>
      <c r="AC4" s="250"/>
      <c r="AD4" s="250"/>
      <c r="AE4" s="250"/>
    </row>
    <row r="5" spans="1:33" ht="14.25" customHeight="1" x14ac:dyDescent="0.25">
      <c r="A5" s="265"/>
      <c r="B5" s="400" t="s">
        <v>534</v>
      </c>
      <c r="C5" s="114" t="s">
        <v>14</v>
      </c>
      <c r="D5" s="120">
        <f>I51/H51</f>
        <v>600</v>
      </c>
      <c r="E5" s="196">
        <f>$I$1</f>
        <v>10.355555555555556</v>
      </c>
      <c r="F5" s="117">
        <v>1</v>
      </c>
      <c r="G5" s="120">
        <f>D5*E5</f>
        <v>6213.3333333333339</v>
      </c>
      <c r="H5" s="119">
        <f>G5*F5</f>
        <v>6213.3333333333339</v>
      </c>
      <c r="I5" s="80">
        <f>VLOOKUP(B5,All_Ingredients!$A$1:$F$149,6,FALSE())</f>
        <v>1</v>
      </c>
      <c r="J5" s="118">
        <f>VLOOKUP(B5,All_Ingredients!$A$1:$J$149,10,FALSE())</f>
        <v>9.2592592592592595</v>
      </c>
      <c r="K5" s="121">
        <f t="shared" ref="K5" si="0">(H5/I5)/1000</f>
        <v>6.2133333333333338</v>
      </c>
      <c r="L5" s="121">
        <f>J5*K5</f>
        <v>57.530864197530867</v>
      </c>
      <c r="M5" s="99"/>
      <c r="N5" s="99"/>
      <c r="O5" s="99"/>
      <c r="P5" s="99"/>
      <c r="AA5" s="91"/>
      <c r="AB5" s="132"/>
      <c r="AC5" s="253"/>
      <c r="AD5" s="134"/>
      <c r="AE5" s="135"/>
    </row>
    <row r="6" spans="1:33" ht="14.25" customHeight="1" x14ac:dyDescent="0.3">
      <c r="A6" s="127" t="s">
        <v>13</v>
      </c>
      <c r="B6" s="400" t="s">
        <v>762</v>
      </c>
      <c r="C6" s="123" t="s">
        <v>14</v>
      </c>
      <c r="D6" s="124">
        <v>20</v>
      </c>
      <c r="E6" s="196">
        <f t="shared" ref="E6:E19" si="1">$I$1</f>
        <v>10.355555555555556</v>
      </c>
      <c r="F6" s="126">
        <v>1</v>
      </c>
      <c r="G6" s="120">
        <f t="shared" ref="G6:G19" si="2">D6*E6</f>
        <v>207.11111111111111</v>
      </c>
      <c r="H6" s="119">
        <f t="shared" ref="H6:H19" si="3">G6*F6</f>
        <v>207.11111111111111</v>
      </c>
      <c r="I6" s="80">
        <f>VLOOKUP(B6,All_Ingredients!$A$1:$F$149,6,FALSE())</f>
        <v>1</v>
      </c>
      <c r="J6" s="118">
        <f>VLOOKUP(B6,All_Ingredients!$A$1:$J$149,10,FALSE())</f>
        <v>10.5</v>
      </c>
      <c r="K6" s="121">
        <f t="shared" ref="K6:K19" si="4">(H6/I6)/1000</f>
        <v>0.20711111111111111</v>
      </c>
      <c r="L6" s="121">
        <f>J6*K6</f>
        <v>2.1746666666666665</v>
      </c>
    </row>
    <row r="7" spans="1:33" ht="14.25" customHeight="1" x14ac:dyDescent="0.3">
      <c r="A7" s="127" t="s">
        <v>56</v>
      </c>
      <c r="B7" s="400" t="s">
        <v>55</v>
      </c>
      <c r="C7" s="123" t="s">
        <v>14</v>
      </c>
      <c r="D7" s="124">
        <v>20</v>
      </c>
      <c r="E7" s="196">
        <f t="shared" si="1"/>
        <v>10.355555555555556</v>
      </c>
      <c r="F7" s="126">
        <v>1</v>
      </c>
      <c r="G7" s="120">
        <f t="shared" si="2"/>
        <v>207.11111111111111</v>
      </c>
      <c r="H7" s="119">
        <f t="shared" si="3"/>
        <v>207.11111111111111</v>
      </c>
      <c r="I7" s="80">
        <f>VLOOKUP(B7,All_Ingredients!$A$1:$F$149,6,FALSE())</f>
        <v>0.87</v>
      </c>
      <c r="J7" s="118">
        <f>VLOOKUP(B7,All_Ingredients!$A$1:$J$149,10,FALSE())</f>
        <v>7</v>
      </c>
      <c r="K7" s="121">
        <f t="shared" si="4"/>
        <v>0.23805874840357599</v>
      </c>
      <c r="L7" s="121">
        <f t="shared" ref="L7:L19" si="5">J7*K7</f>
        <v>1.6664112388250318</v>
      </c>
    </row>
    <row r="8" spans="1:33" ht="14.25" customHeight="1" x14ac:dyDescent="0.3">
      <c r="A8" s="127" t="s">
        <v>182</v>
      </c>
      <c r="B8" s="400" t="s">
        <v>185</v>
      </c>
      <c r="C8" s="123" t="s">
        <v>14</v>
      </c>
      <c r="D8" s="124">
        <v>50</v>
      </c>
      <c r="E8" s="196">
        <f t="shared" si="1"/>
        <v>10.355555555555556</v>
      </c>
      <c r="F8" s="126">
        <v>1</v>
      </c>
      <c r="G8" s="120">
        <f t="shared" si="2"/>
        <v>517.77777777777783</v>
      </c>
      <c r="H8" s="119">
        <f t="shared" si="3"/>
        <v>517.77777777777783</v>
      </c>
      <c r="I8" s="80">
        <f>VLOOKUP(B8,All_Ingredients!$A$1:$F$149,6,FALSE())</f>
        <v>1</v>
      </c>
      <c r="J8" s="118">
        <f>VLOOKUP(B8,All_Ingredients!$A$1:$J$149,10,FALSE())</f>
        <v>17</v>
      </c>
      <c r="K8" s="121">
        <f t="shared" si="4"/>
        <v>0.51777777777777778</v>
      </c>
      <c r="L8" s="121">
        <f t="shared" si="5"/>
        <v>8.8022222222222215</v>
      </c>
    </row>
    <row r="9" spans="1:33" ht="14.25" customHeight="1" x14ac:dyDescent="0.35">
      <c r="A9" s="127" t="s">
        <v>192</v>
      </c>
      <c r="B9" s="400" t="s">
        <v>200</v>
      </c>
      <c r="C9" s="992" t="s">
        <v>161</v>
      </c>
      <c r="D9" s="124">
        <v>200</v>
      </c>
      <c r="E9" s="196">
        <f t="shared" si="1"/>
        <v>10.355555555555556</v>
      </c>
      <c r="F9" s="126">
        <v>1</v>
      </c>
      <c r="G9" s="120">
        <f t="shared" si="2"/>
        <v>2071.1111111111113</v>
      </c>
      <c r="H9" s="119">
        <f t="shared" si="3"/>
        <v>2071.1111111111113</v>
      </c>
      <c r="I9" s="80">
        <f>VLOOKUP(B9,All_Ingredients!$A$1:$F$149,6,FALSE())</f>
        <v>1</v>
      </c>
      <c r="J9" s="118">
        <f>VLOOKUP(B9,All_Ingredients!$A$1:$J$149,10,FALSE())</f>
        <v>3.25</v>
      </c>
      <c r="K9" s="121">
        <f t="shared" si="4"/>
        <v>2.0711111111111111</v>
      </c>
      <c r="L9" s="121">
        <f t="shared" si="5"/>
        <v>6.7311111111111108</v>
      </c>
    </row>
    <row r="10" spans="1:33" ht="14.25" customHeight="1" x14ac:dyDescent="0.3">
      <c r="A10" s="127" t="s">
        <v>192</v>
      </c>
      <c r="B10" s="113" t="s">
        <v>731</v>
      </c>
      <c r="C10" s="123" t="s">
        <v>14</v>
      </c>
      <c r="D10" s="124">
        <v>20</v>
      </c>
      <c r="E10" s="196">
        <f t="shared" si="1"/>
        <v>10.355555555555556</v>
      </c>
      <c r="F10" s="126">
        <v>1</v>
      </c>
      <c r="G10" s="120">
        <f t="shared" si="2"/>
        <v>207.11111111111111</v>
      </c>
      <c r="H10" s="119">
        <f t="shared" si="3"/>
        <v>207.11111111111111</v>
      </c>
      <c r="I10" s="80">
        <f>VLOOKUP(B10,All_Ingredients!$A$1:$F$149,6,FALSE())</f>
        <v>1</v>
      </c>
      <c r="J10" s="118">
        <f>VLOOKUP(B10,All_Ingredients!$A$1:$J$149,10,FALSE())</f>
        <v>8.1520833333333336</v>
      </c>
      <c r="K10" s="121">
        <f t="shared" si="4"/>
        <v>0.20711111111111111</v>
      </c>
      <c r="L10" s="121">
        <f t="shared" si="5"/>
        <v>1.6883870370370371</v>
      </c>
    </row>
    <row r="11" spans="1:33" ht="14.25" customHeight="1" x14ac:dyDescent="0.3">
      <c r="A11" s="127" t="s">
        <v>95</v>
      </c>
      <c r="B11" s="400" t="s">
        <v>140</v>
      </c>
      <c r="C11" s="123" t="s">
        <v>14</v>
      </c>
      <c r="D11" s="124">
        <v>10</v>
      </c>
      <c r="E11" s="196">
        <f t="shared" si="1"/>
        <v>10.355555555555556</v>
      </c>
      <c r="F11" s="126">
        <v>0.75</v>
      </c>
      <c r="G11" s="120">
        <f t="shared" si="2"/>
        <v>103.55555555555556</v>
      </c>
      <c r="H11" s="119">
        <f t="shared" si="3"/>
        <v>77.666666666666671</v>
      </c>
      <c r="I11" s="80">
        <f>VLOOKUP(B11,All_Ingredients!$A$1:$F$149,6,FALSE())</f>
        <v>1</v>
      </c>
      <c r="J11" s="118">
        <f>VLOOKUP(B11,All_Ingredients!$A$1:$J$149,10,FALSE())</f>
        <v>15.277777777777779</v>
      </c>
      <c r="K11" s="121">
        <f t="shared" si="4"/>
        <v>7.7666666666666676E-2</v>
      </c>
      <c r="L11" s="121">
        <f t="shared" si="5"/>
        <v>1.1865740740740742</v>
      </c>
    </row>
    <row r="12" spans="1:33" ht="14.25" customHeight="1" x14ac:dyDescent="0.3">
      <c r="A12" s="127" t="s">
        <v>154</v>
      </c>
      <c r="B12" s="400" t="s">
        <v>160</v>
      </c>
      <c r="C12" s="123" t="s">
        <v>161</v>
      </c>
      <c r="D12" s="124">
        <v>100</v>
      </c>
      <c r="E12" s="196">
        <f t="shared" si="1"/>
        <v>10.355555555555556</v>
      </c>
      <c r="F12" s="126">
        <v>1</v>
      </c>
      <c r="G12" s="120">
        <f t="shared" si="2"/>
        <v>1035.5555555555557</v>
      </c>
      <c r="H12" s="119">
        <f t="shared" si="3"/>
        <v>1035.5555555555557</v>
      </c>
      <c r="I12" s="80">
        <f>VLOOKUP(B12,All_Ingredients!$A$1:$F$149,6,FALSE())</f>
        <v>1</v>
      </c>
      <c r="J12" s="118">
        <f>VLOOKUP(B12,All_Ingredients!$A$1:$J$149,10,FALSE())</f>
        <v>4.2033333333333331</v>
      </c>
      <c r="K12" s="121">
        <f t="shared" si="4"/>
        <v>1.0355555555555556</v>
      </c>
      <c r="L12" s="121">
        <f t="shared" si="5"/>
        <v>4.3527851851851853</v>
      </c>
    </row>
    <row r="13" spans="1:33" ht="14.25" customHeight="1" x14ac:dyDescent="0.3">
      <c r="A13" s="127" t="s">
        <v>192</v>
      </c>
      <c r="B13" s="400" t="s">
        <v>204</v>
      </c>
      <c r="C13" s="123" t="s">
        <v>14</v>
      </c>
      <c r="D13" s="124">
        <v>25</v>
      </c>
      <c r="E13" s="196">
        <f t="shared" si="1"/>
        <v>10.355555555555556</v>
      </c>
      <c r="F13" s="126">
        <v>1</v>
      </c>
      <c r="G13" s="120">
        <f t="shared" si="2"/>
        <v>258.88888888888891</v>
      </c>
      <c r="H13" s="119">
        <f t="shared" si="3"/>
        <v>258.88888888888891</v>
      </c>
      <c r="I13" s="80">
        <f>VLOOKUP(B13,All_Ingredients!$A$1:$F$149,6,FALSE())</f>
        <v>1</v>
      </c>
      <c r="J13" s="118">
        <f>VLOOKUP(B13,All_Ingredients!$A$1:$J$149,10,FALSE())</f>
        <v>11.243386243386244</v>
      </c>
      <c r="K13" s="121">
        <f t="shared" si="4"/>
        <v>0.25888888888888889</v>
      </c>
      <c r="L13" s="121">
        <f t="shared" si="5"/>
        <v>2.910787771898883</v>
      </c>
    </row>
    <row r="14" spans="1:33" ht="14.25" customHeight="1" x14ac:dyDescent="0.3">
      <c r="A14" s="127" t="s">
        <v>192</v>
      </c>
      <c r="B14" s="400" t="s">
        <v>194</v>
      </c>
      <c r="C14" s="123" t="s">
        <v>161</v>
      </c>
      <c r="D14" s="124">
        <v>30</v>
      </c>
      <c r="E14" s="196">
        <f t="shared" si="1"/>
        <v>10.355555555555556</v>
      </c>
      <c r="F14" s="126">
        <v>0.75</v>
      </c>
      <c r="G14" s="120">
        <f t="shared" si="2"/>
        <v>310.66666666666669</v>
      </c>
      <c r="H14" s="119">
        <f t="shared" si="3"/>
        <v>233</v>
      </c>
      <c r="I14" s="80">
        <f>VLOOKUP(B14,All_Ingredients!$A$1:$F$149,6,FALSE())</f>
        <v>1</v>
      </c>
      <c r="J14" s="118">
        <f>VLOOKUP(B14,All_Ingredients!$A$1:$J$149,10,FALSE())</f>
        <v>58.685446009389672</v>
      </c>
      <c r="K14" s="121">
        <f t="shared" si="4"/>
        <v>0.23300000000000001</v>
      </c>
      <c r="L14" s="121">
        <f t="shared" si="5"/>
        <v>13.673708920187794</v>
      </c>
    </row>
    <row r="15" spans="1:33" ht="14.25" customHeight="1" x14ac:dyDescent="0.3">
      <c r="A15" s="127" t="s">
        <v>154</v>
      </c>
      <c r="B15" s="400" t="s">
        <v>167</v>
      </c>
      <c r="C15" s="123" t="s">
        <v>161</v>
      </c>
      <c r="D15" s="124">
        <v>500</v>
      </c>
      <c r="E15" s="196">
        <f t="shared" si="1"/>
        <v>10.355555555555556</v>
      </c>
      <c r="F15" s="126">
        <v>1</v>
      </c>
      <c r="G15" s="120">
        <f t="shared" si="2"/>
        <v>5177.7777777777783</v>
      </c>
      <c r="H15" s="119">
        <f t="shared" si="3"/>
        <v>5177.7777777777783</v>
      </c>
      <c r="I15" s="80">
        <f>VLOOKUP(B15,All_Ingredients!$A$1:$F$149,6,FALSE())</f>
        <v>1</v>
      </c>
      <c r="J15" s="118">
        <f>VLOOKUP(B15,All_Ingredients!$A$1:$J$149,10,FALSE())</f>
        <v>12.666666666666666</v>
      </c>
      <c r="K15" s="121">
        <f t="shared" si="4"/>
        <v>5.177777777777778</v>
      </c>
      <c r="L15" s="121">
        <f t="shared" si="5"/>
        <v>65.585185185185182</v>
      </c>
    </row>
    <row r="16" spans="1:33" ht="14.25" customHeight="1" x14ac:dyDescent="0.3">
      <c r="A16" s="127" t="s">
        <v>13</v>
      </c>
      <c r="B16" s="400" t="s">
        <v>12</v>
      </c>
      <c r="C16" s="123" t="s">
        <v>14</v>
      </c>
      <c r="D16" s="124">
        <v>100</v>
      </c>
      <c r="E16" s="196">
        <f t="shared" si="1"/>
        <v>10.355555555555556</v>
      </c>
      <c r="F16" s="126">
        <v>0.95</v>
      </c>
      <c r="G16" s="120">
        <f t="shared" si="2"/>
        <v>1035.5555555555557</v>
      </c>
      <c r="H16" s="119">
        <f t="shared" si="3"/>
        <v>983.77777777777783</v>
      </c>
      <c r="I16" s="80">
        <f>VLOOKUP(B16,All_Ingredients!$A$1:$F$149,6,FALSE())</f>
        <v>0.9</v>
      </c>
      <c r="J16" s="118">
        <f>VLOOKUP(B16,All_Ingredients!$A$1:$J$149,10,FALSE())</f>
        <v>3</v>
      </c>
      <c r="K16" s="121">
        <f t="shared" si="4"/>
        <v>1.0930864197530863</v>
      </c>
      <c r="L16" s="121">
        <f t="shared" si="5"/>
        <v>3.2792592592592591</v>
      </c>
    </row>
    <row r="17" spans="1:29" ht="14.25" customHeight="1" x14ac:dyDescent="0.3">
      <c r="A17" s="127" t="s">
        <v>95</v>
      </c>
      <c r="B17" s="400" t="s">
        <v>94</v>
      </c>
      <c r="C17" s="123" t="s">
        <v>14</v>
      </c>
      <c r="D17" s="124">
        <v>6</v>
      </c>
      <c r="E17" s="196">
        <f t="shared" si="1"/>
        <v>10.355555555555556</v>
      </c>
      <c r="F17" s="126">
        <v>0.75</v>
      </c>
      <c r="G17" s="120">
        <f t="shared" si="2"/>
        <v>62.13333333333334</v>
      </c>
      <c r="H17" s="119">
        <f t="shared" si="3"/>
        <v>46.600000000000009</v>
      </c>
      <c r="I17" s="80">
        <f>VLOOKUP(B17,All_Ingredients!$A$1:$F$149,6,FALSE())</f>
        <v>1</v>
      </c>
      <c r="J17" s="118">
        <f>VLOOKUP(B17,All_Ingredients!$A$1:$J$149,10,FALSE())</f>
        <v>0.74</v>
      </c>
      <c r="K17" s="121">
        <f t="shared" si="4"/>
        <v>4.6600000000000009E-2</v>
      </c>
      <c r="L17" s="121">
        <f t="shared" si="5"/>
        <v>3.4484000000000008E-2</v>
      </c>
    </row>
    <row r="18" spans="1:29" ht="14.25" customHeight="1" x14ac:dyDescent="0.3">
      <c r="A18" s="127" t="s">
        <v>215</v>
      </c>
      <c r="B18" s="221" t="s">
        <v>877</v>
      </c>
      <c r="C18" s="123" t="s">
        <v>14</v>
      </c>
      <c r="D18" s="124">
        <v>2</v>
      </c>
      <c r="E18" s="196">
        <f t="shared" si="1"/>
        <v>10.355555555555556</v>
      </c>
      <c r="F18" s="126">
        <v>1</v>
      </c>
      <c r="G18" s="120">
        <f t="shared" si="2"/>
        <v>20.711111111111112</v>
      </c>
      <c r="H18" s="119">
        <f t="shared" si="3"/>
        <v>20.711111111111112</v>
      </c>
      <c r="I18" s="80">
        <f>VLOOKUP(B18,All_Ingredients!$A$1:$F$149,6,FALSE())</f>
        <v>1</v>
      </c>
      <c r="J18" s="118">
        <f>VLOOKUP(B18,All_Ingredients!$A$1:$J$149,10,FALSE())</f>
        <v>22.5</v>
      </c>
      <c r="K18" s="121">
        <f t="shared" si="4"/>
        <v>2.0711111111111111E-2</v>
      </c>
      <c r="L18" s="121">
        <f t="shared" si="5"/>
        <v>0.46599999999999997</v>
      </c>
    </row>
    <row r="19" spans="1:29" ht="14.25" customHeight="1" x14ac:dyDescent="0.3">
      <c r="A19" s="127" t="s">
        <v>154</v>
      </c>
      <c r="B19" s="400" t="s">
        <v>153</v>
      </c>
      <c r="C19" s="123" t="s">
        <v>14</v>
      </c>
      <c r="D19" s="124">
        <v>20</v>
      </c>
      <c r="E19" s="196">
        <f t="shared" si="1"/>
        <v>10.355555555555556</v>
      </c>
      <c r="F19" s="126">
        <v>1</v>
      </c>
      <c r="G19" s="120">
        <f t="shared" si="2"/>
        <v>207.11111111111111</v>
      </c>
      <c r="H19" s="119">
        <f t="shared" si="3"/>
        <v>207.11111111111111</v>
      </c>
      <c r="I19" s="80">
        <f>VLOOKUP(B19,All_Ingredients!$A$1:$F$149,6,FALSE())</f>
        <v>1</v>
      </c>
      <c r="J19" s="118">
        <f>VLOOKUP(B19,All_Ingredients!$A$1:$J$149,10,FALSE())</f>
        <v>30</v>
      </c>
      <c r="K19" s="121">
        <f t="shared" si="4"/>
        <v>0.20711111111111111</v>
      </c>
      <c r="L19" s="121">
        <f t="shared" si="5"/>
        <v>6.2133333333333329</v>
      </c>
    </row>
    <row r="20" spans="1:29" ht="14.25" customHeight="1" x14ac:dyDescent="0.3">
      <c r="B20" s="99"/>
      <c r="C20" s="170"/>
      <c r="D20" s="170"/>
      <c r="E20" s="99"/>
      <c r="F20" s="99"/>
      <c r="G20" s="170"/>
      <c r="L20" s="296"/>
    </row>
    <row r="21" spans="1:29" ht="14.25" customHeight="1" x14ac:dyDescent="0.3">
      <c r="K21" s="296"/>
      <c r="L21" s="296"/>
    </row>
    <row r="22" spans="1:29" ht="14.25" customHeight="1" x14ac:dyDescent="0.3">
      <c r="K22" s="296"/>
      <c r="L22" s="296"/>
    </row>
    <row r="23" spans="1:29" ht="14.25" customHeight="1" x14ac:dyDescent="0.3">
      <c r="K23" s="296"/>
      <c r="L23" s="296"/>
      <c r="R23"/>
    </row>
    <row r="24" spans="1:29" ht="14.25" customHeight="1" x14ac:dyDescent="0.3">
      <c r="K24" s="296"/>
      <c r="L24" s="296"/>
      <c r="Z24" s="1208"/>
    </row>
    <row r="25" spans="1:29" ht="14.25" customHeight="1" x14ac:dyDescent="0.35">
      <c r="K25" s="296"/>
      <c r="L25" s="296"/>
      <c r="R25" s="1440" t="s">
        <v>384</v>
      </c>
      <c r="S25" s="1444"/>
      <c r="T25" s="1444"/>
      <c r="U25" s="1444"/>
      <c r="Z25" s="140" t="s">
        <v>256</v>
      </c>
      <c r="AA25" s="141">
        <v>1</v>
      </c>
      <c r="AB25" s="140" t="s">
        <v>253</v>
      </c>
      <c r="AC25" s="142">
        <f>AC30*AA25</f>
        <v>6.8784931799655341E-3</v>
      </c>
    </row>
    <row r="26" spans="1:29" ht="14.25" customHeight="1" x14ac:dyDescent="0.3">
      <c r="K26" s="296"/>
      <c r="L26" s="296"/>
      <c r="R26" s="1445" t="s">
        <v>301</v>
      </c>
      <c r="S26" s="1446"/>
      <c r="T26" s="1446"/>
      <c r="U26" s="1446"/>
    </row>
    <row r="27" spans="1:29" ht="14.25" customHeight="1" x14ac:dyDescent="0.3">
      <c r="B27" s="99"/>
      <c r="E27" s="99"/>
      <c r="F27" s="99"/>
      <c r="R27" s="144" t="s">
        <v>258</v>
      </c>
      <c r="S27" s="145" t="s">
        <v>356</v>
      </c>
      <c r="T27" s="145" t="s">
        <v>260</v>
      </c>
      <c r="U27" s="145" t="s">
        <v>261</v>
      </c>
      <c r="Z27" s="140" t="s">
        <v>262</v>
      </c>
      <c r="AA27" s="146" t="s">
        <v>263</v>
      </c>
      <c r="AB27" s="146" t="s">
        <v>264</v>
      </c>
      <c r="AC27" s="146" t="s">
        <v>266</v>
      </c>
    </row>
    <row r="28" spans="1:29" ht="14.25" customHeight="1" x14ac:dyDescent="0.3">
      <c r="B28" s="99"/>
      <c r="E28" s="99"/>
      <c r="F28" s="99"/>
      <c r="R28" s="147" t="s">
        <v>267</v>
      </c>
      <c r="S28" s="754">
        <f>U28*S40</f>
        <v>15378</v>
      </c>
      <c r="T28" s="754">
        <f>U28*U40</f>
        <v>10252</v>
      </c>
      <c r="U28" s="760">
        <f>$Z$1</f>
        <v>25630</v>
      </c>
      <c r="Z28" s="150"/>
      <c r="AA28" s="151">
        <f>AA25*$S$40</f>
        <v>0.6</v>
      </c>
      <c r="AB28" s="151">
        <f>AA25*$U$40</f>
        <v>0.4</v>
      </c>
      <c r="AC28" s="153">
        <f>SUM(AA28:AB28)</f>
        <v>1</v>
      </c>
    </row>
    <row r="29" spans="1:29" ht="22.25" customHeight="1" x14ac:dyDescent="0.3">
      <c r="B29" s="99"/>
      <c r="E29" s="99"/>
      <c r="F29" s="99"/>
      <c r="R29" s="147" t="s">
        <v>268</v>
      </c>
      <c r="S29" s="756"/>
      <c r="T29" s="754"/>
      <c r="U29" s="1319">
        <f>T29</f>
        <v>0</v>
      </c>
      <c r="Z29" s="150"/>
      <c r="AA29" s="1203">
        <f>AA28/$AC$28</f>
        <v>0.6</v>
      </c>
      <c r="AB29" s="155">
        <f>AB28/$AC$28</f>
        <v>0.4</v>
      </c>
      <c r="AC29" s="155">
        <f>AC28/$AC$28</f>
        <v>1</v>
      </c>
    </row>
    <row r="30" spans="1:29" ht="14.25" customHeight="1" x14ac:dyDescent="0.3">
      <c r="B30" s="99"/>
      <c r="E30" s="99"/>
      <c r="F30" s="99"/>
      <c r="R30" s="147" t="s">
        <v>269</v>
      </c>
      <c r="S30" s="1320">
        <f>U30*S40</f>
        <v>0</v>
      </c>
      <c r="T30" s="1321">
        <f>U30*U40</f>
        <v>0</v>
      </c>
      <c r="U30" s="760">
        <f>$AB$1</f>
        <v>0</v>
      </c>
      <c r="Z30" s="140" t="s">
        <v>270</v>
      </c>
      <c r="AA30" s="156">
        <f>S35/(S32)</f>
        <v>3.7411148522259637E-3</v>
      </c>
      <c r="AB30" s="157">
        <f>T35/T32</f>
        <v>1.158456067157489E-2</v>
      </c>
      <c r="AC30" s="1272">
        <f>SUMPRODUCT(AA30:AB30,AA29:AB29)</f>
        <v>6.8784931799655341E-3</v>
      </c>
    </row>
    <row r="31" spans="1:29" ht="14.25" customHeight="1" x14ac:dyDescent="0.3">
      <c r="B31" s="99"/>
      <c r="E31" s="99"/>
      <c r="F31" s="99"/>
      <c r="R31" s="147" t="s">
        <v>271</v>
      </c>
      <c r="S31" s="154"/>
      <c r="T31" s="148"/>
      <c r="U31" s="148"/>
      <c r="AA31" s="1162"/>
    </row>
    <row r="32" spans="1:29" ht="14.25" customHeight="1" x14ac:dyDescent="0.3">
      <c r="B32" s="99"/>
      <c r="E32" s="99"/>
      <c r="F32" s="99"/>
      <c r="R32" s="159" t="s">
        <v>261</v>
      </c>
      <c r="S32" s="148">
        <f>SUM(S28:S30)</f>
        <v>15378</v>
      </c>
      <c r="T32" s="148">
        <f>SUM(T28:T30)</f>
        <v>10252</v>
      </c>
      <c r="U32" s="148">
        <f>SUM(U28:U30)</f>
        <v>25630</v>
      </c>
    </row>
    <row r="33" spans="13:23" ht="14.25" customHeight="1" x14ac:dyDescent="0.3">
      <c r="R33" s="160" t="s">
        <v>272</v>
      </c>
      <c r="S33" s="154"/>
      <c r="T33" s="154"/>
      <c r="U33" s="154"/>
    </row>
    <row r="34" spans="13:23" ht="14.25" customHeight="1" x14ac:dyDescent="0.3">
      <c r="R34" s="161" t="s">
        <v>273</v>
      </c>
      <c r="S34" s="154"/>
      <c r="T34" s="148"/>
      <c r="U34" s="154"/>
    </row>
    <row r="35" spans="13:23" ht="14.25" customHeight="1" x14ac:dyDescent="0.3">
      <c r="R35" s="162" t="s">
        <v>253</v>
      </c>
      <c r="S35" s="1125">
        <f>$L$5</f>
        <v>57.530864197530867</v>
      </c>
      <c r="T35" s="1125">
        <f>SUM(L6:L19)</f>
        <v>118.76491600498578</v>
      </c>
      <c r="U35" s="1184">
        <f>S35+T35</f>
        <v>176.29578020251665</v>
      </c>
    </row>
    <row r="40" spans="13:23" ht="52" x14ac:dyDescent="0.3">
      <c r="R40" s="164" t="s">
        <v>274</v>
      </c>
      <c r="S40" s="165">
        <v>0.6</v>
      </c>
      <c r="T40" s="164" t="s">
        <v>275</v>
      </c>
      <c r="U40" s="166">
        <v>0.4</v>
      </c>
      <c r="V40" s="167">
        <f>S40+U40</f>
        <v>1</v>
      </c>
    </row>
    <row r="41" spans="13:23" x14ac:dyDescent="0.3">
      <c r="U41" s="168"/>
    </row>
    <row r="43" spans="13:23" x14ac:dyDescent="0.3">
      <c r="Q43" s="169" t="s">
        <v>276</v>
      </c>
      <c r="R43" s="169" t="s">
        <v>277</v>
      </c>
      <c r="S43" s="169" t="s">
        <v>278</v>
      </c>
      <c r="T43" s="169" t="s">
        <v>279</v>
      </c>
      <c r="U43" s="169" t="s">
        <v>280</v>
      </c>
      <c r="V43" s="169" t="s">
        <v>281</v>
      </c>
      <c r="W43" s="257" t="s">
        <v>527</v>
      </c>
    </row>
    <row r="44" spans="13:23" x14ac:dyDescent="0.3">
      <c r="Q44" s="548">
        <v>25000</v>
      </c>
      <c r="R44" s="172">
        <f>D51</f>
        <v>10000</v>
      </c>
      <c r="S44" s="173">
        <v>1</v>
      </c>
      <c r="T44" s="173">
        <v>0</v>
      </c>
      <c r="U44" s="241">
        <f>R44*S44</f>
        <v>10000</v>
      </c>
      <c r="V44" s="175">
        <f>R44*T44</f>
        <v>0</v>
      </c>
      <c r="W44" s="646">
        <f>Q44-U44</f>
        <v>15000</v>
      </c>
    </row>
    <row r="45" spans="13:23" ht="14.25" customHeight="1" x14ac:dyDescent="0.3">
      <c r="M45"/>
    </row>
    <row r="49" spans="1:10" ht="14" customHeight="1" x14ac:dyDescent="0.3"/>
    <row r="50" spans="1:10" ht="14" customHeight="1" x14ac:dyDescent="0.3">
      <c r="B50" s="144"/>
      <c r="C50" s="144" t="s">
        <v>237</v>
      </c>
      <c r="D50" s="144" t="s">
        <v>283</v>
      </c>
      <c r="E50" s="99"/>
      <c r="F50" s="99"/>
      <c r="G50" s="144" t="s">
        <v>284</v>
      </c>
      <c r="H50" s="144" t="s">
        <v>237</v>
      </c>
      <c r="I50" s="144" t="s">
        <v>526</v>
      </c>
      <c r="J50" s="144" t="s">
        <v>525</v>
      </c>
    </row>
    <row r="51" spans="1:10" x14ac:dyDescent="0.3">
      <c r="B51" s="179" t="s">
        <v>287</v>
      </c>
      <c r="C51" s="180">
        <f>10/$K$1</f>
        <v>10.1010101010101</v>
      </c>
      <c r="D51" s="181">
        <f>$C$1*10</f>
        <v>10000</v>
      </c>
      <c r="E51" s="99"/>
      <c r="F51" s="99"/>
      <c r="G51" s="179" t="s">
        <v>287</v>
      </c>
      <c r="H51" s="276">
        <v>10</v>
      </c>
      <c r="I51" s="180">
        <f>J51/$R$1</f>
        <v>6000</v>
      </c>
      <c r="J51" s="180">
        <f>$W$44</f>
        <v>15000</v>
      </c>
    </row>
    <row r="52" spans="1:10" x14ac:dyDescent="0.3">
      <c r="B52" s="144" t="s">
        <v>266</v>
      </c>
      <c r="C52" s="183">
        <f>$I$1</f>
        <v>10.355555555555556</v>
      </c>
      <c r="D52" s="184">
        <f>$E$1</f>
        <v>10252</v>
      </c>
      <c r="E52" s="99"/>
      <c r="F52" s="99"/>
      <c r="G52" s="147" t="s">
        <v>266</v>
      </c>
      <c r="H52" s="566">
        <f>I52/$D$5</f>
        <v>10.251999999999999</v>
      </c>
      <c r="I52" s="175">
        <f>J52/$R$1</f>
        <v>6151.2</v>
      </c>
      <c r="J52" s="183">
        <f>$S$32</f>
        <v>15378</v>
      </c>
    </row>
    <row r="53" spans="1:10" x14ac:dyDescent="0.3">
      <c r="B53" s="144" t="s">
        <v>288</v>
      </c>
      <c r="C53" s="424">
        <f>MIN($C$52, C51)</f>
        <v>10.1010101010101</v>
      </c>
      <c r="D53" s="184">
        <f>(C53*$K$1)*$C$1</f>
        <v>10000</v>
      </c>
      <c r="E53" s="99"/>
      <c r="F53" s="99"/>
      <c r="G53" s="147" t="s">
        <v>288</v>
      </c>
      <c r="H53" s="186">
        <f>MIN(H52,H51)</f>
        <v>10</v>
      </c>
      <c r="I53" s="175">
        <f>J53/$R$1</f>
        <v>6000</v>
      </c>
      <c r="J53" s="175">
        <f>MIN(J52,J51)</f>
        <v>15000</v>
      </c>
    </row>
    <row r="54" spans="1:10" x14ac:dyDescent="0.3">
      <c r="B54" s="144"/>
      <c r="C54" s="233">
        <f>MIN(MAX(C52-C53,0),C51)</f>
        <v>0.25454545454545574</v>
      </c>
      <c r="D54" s="184">
        <f>(C54*$K$1)*$C$1</f>
        <v>252.00000000000117</v>
      </c>
      <c r="E54" s="99"/>
      <c r="F54" s="99"/>
      <c r="G54" s="147" t="s">
        <v>289</v>
      </c>
      <c r="H54" s="186">
        <f>MIN(MAX(H52-H53),H51)</f>
        <v>0.25199999999999889</v>
      </c>
      <c r="I54" s="175">
        <f>J54/$R$1</f>
        <v>151.19999999999999</v>
      </c>
      <c r="J54" s="175">
        <f>MIN(MAX(J52-J53),J51)</f>
        <v>378</v>
      </c>
    </row>
    <row r="55" spans="1:10" x14ac:dyDescent="0.3">
      <c r="B55" s="144"/>
      <c r="C55" s="185">
        <f>MIN(MAX($C$53-C53-C54,0),C51)</f>
        <v>0</v>
      </c>
      <c r="D55" s="184">
        <f>(C55*$K$1)*$C$1</f>
        <v>0</v>
      </c>
      <c r="E55" s="99"/>
      <c r="F55" s="99"/>
      <c r="G55" s="144" t="s">
        <v>290</v>
      </c>
      <c r="H55" s="186">
        <f>MIN(MAX(H52-H53-H54),H51)</f>
        <v>0</v>
      </c>
      <c r="I55" s="175">
        <f>J55/$R$1</f>
        <v>0</v>
      </c>
      <c r="J55" s="175">
        <f>MIN(MAX(J52-J53-J54),J51)</f>
        <v>0</v>
      </c>
    </row>
    <row r="62" spans="1:10" ht="17.75" customHeight="1" x14ac:dyDescent="0.3">
      <c r="A62" s="922"/>
      <c r="B62" s="1438" t="str">
        <f>"  باستا مكروني بالخضار 1 / " &amp; COUNTIF($C$53:$C$55, "&gt;0")</f>
        <v xml:space="preserve">  باستا مكروني بالخضار 1 / 2</v>
      </c>
      <c r="C62" s="1439"/>
      <c r="D62" s="1439"/>
      <c r="E62" s="1439"/>
      <c r="F62" s="1439"/>
      <c r="G62" s="1439"/>
      <c r="H62" s="1439"/>
    </row>
    <row r="63" spans="1:10" ht="17.75" customHeight="1" x14ac:dyDescent="0.3">
      <c r="A63" s="922"/>
      <c r="B63" s="1436" t="str">
        <f>" Pasta with Vegetables 1 / " &amp; COUNTIF($C$53:$C$55, "&gt;0")</f>
        <v xml:space="preserve"> Pasta with Vegetables 1 / 2</v>
      </c>
      <c r="C63" s="1437"/>
      <c r="D63" s="1437"/>
      <c r="E63" s="1437"/>
      <c r="F63" s="1437"/>
      <c r="G63" s="1437"/>
      <c r="H63" s="1437"/>
    </row>
    <row r="64" spans="1:10" ht="56.25" customHeight="1" x14ac:dyDescent="0.25">
      <c r="A64" s="90"/>
      <c r="B64" s="90" t="s">
        <v>245</v>
      </c>
      <c r="C64" s="106" t="s">
        <v>246</v>
      </c>
      <c r="D64" s="90" t="s">
        <v>235</v>
      </c>
      <c r="E64" s="107" t="s">
        <v>238</v>
      </c>
      <c r="F64" s="107" t="s">
        <v>247</v>
      </c>
      <c r="G64" s="90" t="s">
        <v>248</v>
      </c>
      <c r="H64" s="108" t="s">
        <v>249</v>
      </c>
    </row>
    <row r="65" spans="1:8" ht="14.25" customHeight="1" x14ac:dyDescent="0.3">
      <c r="A65" s="127"/>
      <c r="B65" s="80" t="str">
        <f t="shared" ref="B65:D79" si="6">B5</f>
        <v>Pasta Penne - مكرونة أقلام</v>
      </c>
      <c r="C65" s="123" t="str">
        <f t="shared" si="6"/>
        <v>gm</v>
      </c>
      <c r="D65" s="124">
        <f t="shared" si="6"/>
        <v>600</v>
      </c>
      <c r="E65" s="125">
        <f>$H$53</f>
        <v>10</v>
      </c>
      <c r="F65" s="126">
        <f t="shared" ref="F65:F79" si="7">F5</f>
        <v>1</v>
      </c>
      <c r="G65" s="118">
        <f t="shared" ref="G65:G79" si="8">D65*E65</f>
        <v>6000</v>
      </c>
      <c r="H65" s="119">
        <f t="shared" ref="H65:H79" si="9">G65*F65</f>
        <v>6000</v>
      </c>
    </row>
    <row r="66" spans="1:8" ht="14.25" customHeight="1" x14ac:dyDescent="0.3">
      <c r="A66" s="127" t="s">
        <v>13</v>
      </c>
      <c r="B66" s="80" t="str">
        <f t="shared" si="6"/>
        <v>Garlic - ثوم مقشر</v>
      </c>
      <c r="C66" s="123" t="str">
        <f t="shared" si="6"/>
        <v>gm</v>
      </c>
      <c r="D66" s="124">
        <f t="shared" si="6"/>
        <v>20</v>
      </c>
      <c r="E66" s="125">
        <f>$C$53</f>
        <v>10.1010101010101</v>
      </c>
      <c r="F66" s="126">
        <f t="shared" si="7"/>
        <v>1</v>
      </c>
      <c r="G66" s="118">
        <f t="shared" si="8"/>
        <v>202.02020202020202</v>
      </c>
      <c r="H66" s="119">
        <f t="shared" si="9"/>
        <v>202.02020202020202</v>
      </c>
    </row>
    <row r="67" spans="1:8" ht="14.25" customHeight="1" x14ac:dyDescent="0.3">
      <c r="A67" s="127" t="s">
        <v>56</v>
      </c>
      <c r="B67" s="80" t="str">
        <f t="shared" si="6"/>
        <v>Ginger - زنجبيل</v>
      </c>
      <c r="C67" s="123" t="str">
        <f t="shared" si="6"/>
        <v>gm</v>
      </c>
      <c r="D67" s="124">
        <f t="shared" si="6"/>
        <v>20</v>
      </c>
      <c r="E67" s="125">
        <f t="shared" ref="E67:E79" si="10">$C$53</f>
        <v>10.1010101010101</v>
      </c>
      <c r="F67" s="126">
        <f t="shared" si="7"/>
        <v>1</v>
      </c>
      <c r="G67" s="118">
        <f t="shared" si="8"/>
        <v>202.02020202020202</v>
      </c>
      <c r="H67" s="119">
        <f t="shared" si="9"/>
        <v>202.02020202020202</v>
      </c>
    </row>
    <row r="68" spans="1:8" ht="14.25" customHeight="1" x14ac:dyDescent="0.3">
      <c r="A68" s="127" t="s">
        <v>182</v>
      </c>
      <c r="B68" s="80" t="str">
        <f t="shared" si="6"/>
        <v>Honey - عسل</v>
      </c>
      <c r="C68" s="123" t="str">
        <f t="shared" si="6"/>
        <v>gm</v>
      </c>
      <c r="D68" s="124">
        <f t="shared" si="6"/>
        <v>50</v>
      </c>
      <c r="E68" s="125">
        <f t="shared" si="10"/>
        <v>10.1010101010101</v>
      </c>
      <c r="F68" s="126">
        <f t="shared" si="7"/>
        <v>1</v>
      </c>
      <c r="G68" s="118">
        <f t="shared" si="8"/>
        <v>505.05050505050502</v>
      </c>
      <c r="H68" s="119">
        <f t="shared" si="9"/>
        <v>505.05050505050502</v>
      </c>
    </row>
    <row r="69" spans="1:8" ht="14.25" customHeight="1" x14ac:dyDescent="0.3">
      <c r="A69" s="127" t="s">
        <v>192</v>
      </c>
      <c r="B69" s="80" t="str">
        <f t="shared" si="6"/>
        <v>Tomato Ketchup - كاتشب طماطم</v>
      </c>
      <c r="C69" s="123" t="str">
        <f t="shared" si="6"/>
        <v>ml</v>
      </c>
      <c r="D69" s="124">
        <f t="shared" si="6"/>
        <v>200</v>
      </c>
      <c r="E69" s="125">
        <f t="shared" si="10"/>
        <v>10.1010101010101</v>
      </c>
      <c r="F69" s="126">
        <f t="shared" si="7"/>
        <v>1</v>
      </c>
      <c r="G69" s="118">
        <f t="shared" si="8"/>
        <v>2020.2020202020201</v>
      </c>
      <c r="H69" s="119">
        <f t="shared" si="9"/>
        <v>2020.2020202020201</v>
      </c>
    </row>
    <row r="70" spans="1:8" ht="14.25" customHeight="1" x14ac:dyDescent="0.3">
      <c r="A70" s="127" t="s">
        <v>192</v>
      </c>
      <c r="B70" s="80" t="str">
        <f t="shared" si="6"/>
        <v>Tomato Paste - صلصة طماطم</v>
      </c>
      <c r="C70" s="123" t="str">
        <f t="shared" si="6"/>
        <v>gm</v>
      </c>
      <c r="D70" s="124">
        <f t="shared" si="6"/>
        <v>20</v>
      </c>
      <c r="E70" s="125">
        <f t="shared" si="10"/>
        <v>10.1010101010101</v>
      </c>
      <c r="F70" s="126">
        <f t="shared" si="7"/>
        <v>1</v>
      </c>
      <c r="G70" s="118">
        <f t="shared" si="8"/>
        <v>202.02020202020202</v>
      </c>
      <c r="H70" s="119">
        <f t="shared" si="9"/>
        <v>202.02020202020202</v>
      </c>
    </row>
    <row r="71" spans="1:8" ht="14.25" customHeight="1" x14ac:dyDescent="0.3">
      <c r="A71" s="127" t="s">
        <v>95</v>
      </c>
      <c r="B71" s="80" t="str">
        <f t="shared" si="6"/>
        <v>Maggi Cubes - مكعبات ماجي</v>
      </c>
      <c r="C71" s="123" t="str">
        <f t="shared" si="6"/>
        <v>gm</v>
      </c>
      <c r="D71" s="124">
        <f t="shared" si="6"/>
        <v>10</v>
      </c>
      <c r="E71" s="125">
        <f t="shared" si="10"/>
        <v>10.1010101010101</v>
      </c>
      <c r="F71" s="126">
        <f t="shared" si="7"/>
        <v>0.75</v>
      </c>
      <c r="G71" s="118">
        <f t="shared" si="8"/>
        <v>101.01010101010101</v>
      </c>
      <c r="H71" s="119">
        <f t="shared" si="9"/>
        <v>75.757575757575751</v>
      </c>
    </row>
    <row r="72" spans="1:8" ht="14.25" customHeight="1" x14ac:dyDescent="0.3">
      <c r="A72" s="127" t="s">
        <v>154</v>
      </c>
      <c r="B72" s="80" t="str">
        <f t="shared" si="6"/>
        <v>Milk - حليب</v>
      </c>
      <c r="C72" s="123" t="str">
        <f t="shared" si="6"/>
        <v>ml</v>
      </c>
      <c r="D72" s="124">
        <f t="shared" si="6"/>
        <v>100</v>
      </c>
      <c r="E72" s="125">
        <f t="shared" si="10"/>
        <v>10.1010101010101</v>
      </c>
      <c r="F72" s="126">
        <f t="shared" si="7"/>
        <v>1</v>
      </c>
      <c r="G72" s="118">
        <f t="shared" si="8"/>
        <v>1010.10101010101</v>
      </c>
      <c r="H72" s="119">
        <f t="shared" si="9"/>
        <v>1010.10101010101</v>
      </c>
    </row>
    <row r="73" spans="1:8" ht="14.25" customHeight="1" x14ac:dyDescent="0.3">
      <c r="A73" s="127" t="s">
        <v>192</v>
      </c>
      <c r="B73" s="80" t="str">
        <f t="shared" si="6"/>
        <v>Mustard - خردل</v>
      </c>
      <c r="C73" s="123" t="str">
        <f t="shared" si="6"/>
        <v>gm</v>
      </c>
      <c r="D73" s="124">
        <f t="shared" si="6"/>
        <v>25</v>
      </c>
      <c r="E73" s="125">
        <f t="shared" si="10"/>
        <v>10.1010101010101</v>
      </c>
      <c r="F73" s="126">
        <f t="shared" si="7"/>
        <v>1</v>
      </c>
      <c r="G73" s="118">
        <f t="shared" si="8"/>
        <v>252.52525252525251</v>
      </c>
      <c r="H73" s="119">
        <f t="shared" si="9"/>
        <v>252.52525252525251</v>
      </c>
    </row>
    <row r="74" spans="1:8" ht="14.25" customHeight="1" x14ac:dyDescent="0.3">
      <c r="A74" s="127" t="s">
        <v>192</v>
      </c>
      <c r="B74" s="80" t="str">
        <f t="shared" si="6"/>
        <v>Sriracha Sauce - صوص سريراتشا</v>
      </c>
      <c r="C74" s="123" t="str">
        <f t="shared" si="6"/>
        <v>ml</v>
      </c>
      <c r="D74" s="124">
        <f t="shared" si="6"/>
        <v>30</v>
      </c>
      <c r="E74" s="125">
        <f t="shared" si="10"/>
        <v>10.1010101010101</v>
      </c>
      <c r="F74" s="126">
        <f t="shared" si="7"/>
        <v>0.75</v>
      </c>
      <c r="G74" s="118">
        <f t="shared" si="8"/>
        <v>303.030303030303</v>
      </c>
      <c r="H74" s="119">
        <f t="shared" si="9"/>
        <v>227.27272727272725</v>
      </c>
    </row>
    <row r="75" spans="1:8" ht="14.25" customHeight="1" x14ac:dyDescent="0.3">
      <c r="A75" s="127" t="s">
        <v>154</v>
      </c>
      <c r="B75" s="80" t="str">
        <f t="shared" si="6"/>
        <v>Cooking Cream - كريمة طبخ</v>
      </c>
      <c r="C75" s="123" t="str">
        <f t="shared" si="6"/>
        <v>ml</v>
      </c>
      <c r="D75" s="124">
        <f t="shared" si="6"/>
        <v>500</v>
      </c>
      <c r="E75" s="125">
        <f t="shared" si="10"/>
        <v>10.1010101010101</v>
      </c>
      <c r="F75" s="126">
        <f t="shared" si="7"/>
        <v>1</v>
      </c>
      <c r="G75" s="118">
        <f t="shared" si="8"/>
        <v>5050.5050505050503</v>
      </c>
      <c r="H75" s="119">
        <f t="shared" si="9"/>
        <v>5050.5050505050503</v>
      </c>
    </row>
    <row r="76" spans="1:8" ht="14.25" customHeight="1" x14ac:dyDescent="0.3">
      <c r="A76" s="127" t="s">
        <v>13</v>
      </c>
      <c r="B76" s="80" t="str">
        <f t="shared" si="6"/>
        <v>Onion - بصل</v>
      </c>
      <c r="C76" s="123" t="str">
        <f t="shared" si="6"/>
        <v>gm</v>
      </c>
      <c r="D76" s="124">
        <f t="shared" si="6"/>
        <v>100</v>
      </c>
      <c r="E76" s="125">
        <f t="shared" si="10"/>
        <v>10.1010101010101</v>
      </c>
      <c r="F76" s="126">
        <f t="shared" si="7"/>
        <v>0.95</v>
      </c>
      <c r="G76" s="118">
        <f t="shared" si="8"/>
        <v>1010.10101010101</v>
      </c>
      <c r="H76" s="119">
        <f t="shared" si="9"/>
        <v>959.59595959595947</v>
      </c>
    </row>
    <row r="77" spans="1:8" ht="14.25" customHeight="1" x14ac:dyDescent="0.3">
      <c r="A77" s="127" t="s">
        <v>95</v>
      </c>
      <c r="B77" s="80" t="str">
        <f t="shared" si="6"/>
        <v>Salt - ملح</v>
      </c>
      <c r="C77" s="123" t="str">
        <f t="shared" si="6"/>
        <v>gm</v>
      </c>
      <c r="D77" s="124">
        <f t="shared" si="6"/>
        <v>6</v>
      </c>
      <c r="E77" s="125">
        <f t="shared" si="10"/>
        <v>10.1010101010101</v>
      </c>
      <c r="F77" s="126">
        <f t="shared" si="7"/>
        <v>0.75</v>
      </c>
      <c r="G77" s="118">
        <f t="shared" si="8"/>
        <v>60.606060606060602</v>
      </c>
      <c r="H77" s="119">
        <f t="shared" si="9"/>
        <v>45.454545454545453</v>
      </c>
    </row>
    <row r="78" spans="1:8" ht="14.25" customHeight="1" x14ac:dyDescent="0.3">
      <c r="A78" s="127" t="s">
        <v>215</v>
      </c>
      <c r="B78" s="80" t="str">
        <f t="shared" si="6"/>
        <v>Saffron yellow color powder - لون صفار زعفران بودر</v>
      </c>
      <c r="C78" s="123" t="str">
        <f t="shared" si="6"/>
        <v>gm</v>
      </c>
      <c r="D78" s="124">
        <f t="shared" si="6"/>
        <v>2</v>
      </c>
      <c r="E78" s="125">
        <f t="shared" si="10"/>
        <v>10.1010101010101</v>
      </c>
      <c r="F78" s="126">
        <f t="shared" si="7"/>
        <v>1</v>
      </c>
      <c r="G78" s="118">
        <f t="shared" si="8"/>
        <v>20.202020202020201</v>
      </c>
      <c r="H78" s="119">
        <f t="shared" si="9"/>
        <v>20.202020202020201</v>
      </c>
    </row>
    <row r="79" spans="1:8" ht="14.25" customHeight="1" x14ac:dyDescent="0.3">
      <c r="A79" s="127" t="s">
        <v>154</v>
      </c>
      <c r="B79" s="80" t="str">
        <f t="shared" si="6"/>
        <v>Butter - زبدة</v>
      </c>
      <c r="C79" s="123" t="str">
        <f t="shared" si="6"/>
        <v>gm</v>
      </c>
      <c r="D79" s="124">
        <f t="shared" si="6"/>
        <v>20</v>
      </c>
      <c r="E79" s="125">
        <f t="shared" si="10"/>
        <v>10.1010101010101</v>
      </c>
      <c r="F79" s="126">
        <f t="shared" si="7"/>
        <v>1</v>
      </c>
      <c r="G79" s="118">
        <f t="shared" si="8"/>
        <v>202.02020202020202</v>
      </c>
      <c r="H79" s="119">
        <f t="shared" si="9"/>
        <v>202.02020202020202</v>
      </c>
    </row>
    <row r="80" spans="1:8" ht="20.25" customHeight="1" x14ac:dyDescent="0.3">
      <c r="A80" s="210"/>
      <c r="B80" s="197" t="s">
        <v>736</v>
      </c>
      <c r="C80" s="199" t="s">
        <v>277</v>
      </c>
      <c r="E80" s="199" t="s">
        <v>292</v>
      </c>
      <c r="G80" s="878" t="s">
        <v>268</v>
      </c>
      <c r="H80" s="878" t="s">
        <v>714</v>
      </c>
    </row>
    <row r="81" spans="1:8" ht="20" x14ac:dyDescent="0.4">
      <c r="A81" s="210"/>
      <c r="B81" s="198">
        <f>$J$53</f>
        <v>15000</v>
      </c>
      <c r="C81" s="198">
        <f>E81+G81</f>
        <v>10000</v>
      </c>
      <c r="D81" s="915"/>
      <c r="E81" s="198">
        <f>$D$53*$S$44</f>
        <v>10000</v>
      </c>
      <c r="F81" s="919"/>
      <c r="G81" s="198">
        <f>$D$53*$T$44</f>
        <v>0</v>
      </c>
      <c r="H81" s="198">
        <f>B81+E81</f>
        <v>25000</v>
      </c>
    </row>
    <row r="85" spans="1:8" x14ac:dyDescent="0.3">
      <c r="A85" s="922"/>
      <c r="B85" s="1438" t="str">
        <f>"  باستا مكروني بالخضار 2 / " &amp; COUNTIF($C$53:$C$55, "&gt;0")</f>
        <v xml:space="preserve">  باستا مكروني بالخضار 2 / 2</v>
      </c>
      <c r="C85" s="1439"/>
      <c r="D85" s="1439"/>
      <c r="E85" s="1439"/>
      <c r="F85" s="1439"/>
      <c r="G85" s="1439"/>
      <c r="H85" s="1439"/>
    </row>
    <row r="86" spans="1:8" x14ac:dyDescent="0.3">
      <c r="A86" s="922"/>
      <c r="B86" s="1436" t="str">
        <f>" Pasta with Vegetables 2 / " &amp; COUNTIF($C$53:$C$55, "&gt;0")</f>
        <v xml:space="preserve"> Pasta with Vegetables 2 / 2</v>
      </c>
      <c r="C86" s="1437"/>
      <c r="D86" s="1437"/>
      <c r="E86" s="1437"/>
      <c r="F86" s="1437"/>
      <c r="G86" s="1437"/>
      <c r="H86" s="1437"/>
    </row>
    <row r="87" spans="1:8" ht="26" x14ac:dyDescent="0.25">
      <c r="A87" s="90"/>
      <c r="B87" s="90" t="s">
        <v>245</v>
      </c>
      <c r="C87" s="106" t="s">
        <v>246</v>
      </c>
      <c r="D87" s="90" t="s">
        <v>235</v>
      </c>
      <c r="E87" s="107" t="s">
        <v>238</v>
      </c>
      <c r="F87" s="107" t="s">
        <v>247</v>
      </c>
      <c r="G87" s="90" t="s">
        <v>248</v>
      </c>
      <c r="H87" s="108" t="s">
        <v>249</v>
      </c>
    </row>
    <row r="88" spans="1:8" x14ac:dyDescent="0.3">
      <c r="A88" s="127"/>
      <c r="B88" s="80" t="str">
        <f t="shared" ref="B88:D102" si="11">B5</f>
        <v>Pasta Penne - مكرونة أقلام</v>
      </c>
      <c r="C88" s="80" t="str">
        <f t="shared" si="11"/>
        <v>gm</v>
      </c>
      <c r="D88" s="80">
        <f t="shared" si="11"/>
        <v>600</v>
      </c>
      <c r="E88" s="125">
        <f>$H$54</f>
        <v>0.25199999999999889</v>
      </c>
      <c r="F88" s="126">
        <f>F5</f>
        <v>1</v>
      </c>
      <c r="G88" s="118">
        <f t="shared" ref="G88:G102" si="12">D88*E88</f>
        <v>151.19999999999933</v>
      </c>
      <c r="H88" s="119">
        <f t="shared" ref="H88:H102" si="13">G88*F88</f>
        <v>151.19999999999933</v>
      </c>
    </row>
    <row r="89" spans="1:8" x14ac:dyDescent="0.3">
      <c r="A89" s="127" t="s">
        <v>13</v>
      </c>
      <c r="B89" s="80" t="str">
        <f t="shared" si="11"/>
        <v>Garlic - ثوم مقشر</v>
      </c>
      <c r="C89" s="80" t="str">
        <f t="shared" si="11"/>
        <v>gm</v>
      </c>
      <c r="D89" s="80">
        <f t="shared" si="11"/>
        <v>20</v>
      </c>
      <c r="E89" s="125">
        <f t="shared" ref="E89:E102" si="14">$C$54</f>
        <v>0.25454545454545574</v>
      </c>
      <c r="F89" s="126">
        <f t="shared" ref="F89:F102" si="15">F6</f>
        <v>1</v>
      </c>
      <c r="G89" s="118">
        <f t="shared" si="12"/>
        <v>5.0909090909091148</v>
      </c>
      <c r="H89" s="119">
        <f t="shared" si="13"/>
        <v>5.0909090909091148</v>
      </c>
    </row>
    <row r="90" spans="1:8" x14ac:dyDescent="0.3">
      <c r="A90" s="127" t="s">
        <v>56</v>
      </c>
      <c r="B90" s="80" t="str">
        <f t="shared" si="11"/>
        <v>Ginger - زنجبيل</v>
      </c>
      <c r="C90" s="80" t="str">
        <f t="shared" si="11"/>
        <v>gm</v>
      </c>
      <c r="D90" s="80">
        <f t="shared" si="11"/>
        <v>20</v>
      </c>
      <c r="E90" s="125">
        <f t="shared" si="14"/>
        <v>0.25454545454545574</v>
      </c>
      <c r="F90" s="126">
        <f t="shared" si="15"/>
        <v>1</v>
      </c>
      <c r="G90" s="118">
        <f t="shared" si="12"/>
        <v>5.0909090909091148</v>
      </c>
      <c r="H90" s="119">
        <f t="shared" si="13"/>
        <v>5.0909090909091148</v>
      </c>
    </row>
    <row r="91" spans="1:8" x14ac:dyDescent="0.3">
      <c r="A91" s="127" t="s">
        <v>182</v>
      </c>
      <c r="B91" s="80" t="str">
        <f t="shared" si="11"/>
        <v>Honey - عسل</v>
      </c>
      <c r="C91" s="80" t="str">
        <f t="shared" si="11"/>
        <v>gm</v>
      </c>
      <c r="D91" s="80">
        <f t="shared" si="11"/>
        <v>50</v>
      </c>
      <c r="E91" s="125">
        <f t="shared" si="14"/>
        <v>0.25454545454545574</v>
      </c>
      <c r="F91" s="126">
        <f t="shared" si="15"/>
        <v>1</v>
      </c>
      <c r="G91" s="118">
        <f t="shared" si="12"/>
        <v>12.727272727272787</v>
      </c>
      <c r="H91" s="119">
        <f t="shared" si="13"/>
        <v>12.727272727272787</v>
      </c>
    </row>
    <row r="92" spans="1:8" x14ac:dyDescent="0.3">
      <c r="A92" s="127" t="s">
        <v>192</v>
      </c>
      <c r="B92" s="80" t="str">
        <f t="shared" si="11"/>
        <v>Tomato Ketchup - كاتشب طماطم</v>
      </c>
      <c r="C92" s="80" t="str">
        <f t="shared" si="11"/>
        <v>ml</v>
      </c>
      <c r="D92" s="80">
        <f t="shared" si="11"/>
        <v>200</v>
      </c>
      <c r="E92" s="125">
        <f t="shared" si="14"/>
        <v>0.25454545454545574</v>
      </c>
      <c r="F92" s="126">
        <f t="shared" si="15"/>
        <v>1</v>
      </c>
      <c r="G92" s="118">
        <f t="shared" si="12"/>
        <v>50.909090909091148</v>
      </c>
      <c r="H92" s="119">
        <f t="shared" si="13"/>
        <v>50.909090909091148</v>
      </c>
    </row>
    <row r="93" spans="1:8" x14ac:dyDescent="0.3">
      <c r="A93" s="127" t="s">
        <v>192</v>
      </c>
      <c r="B93" s="80" t="str">
        <f t="shared" si="11"/>
        <v>Tomato Paste - صلصة طماطم</v>
      </c>
      <c r="C93" s="80" t="str">
        <f t="shared" si="11"/>
        <v>gm</v>
      </c>
      <c r="D93" s="80">
        <f t="shared" si="11"/>
        <v>20</v>
      </c>
      <c r="E93" s="125">
        <f t="shared" si="14"/>
        <v>0.25454545454545574</v>
      </c>
      <c r="F93" s="126">
        <f t="shared" si="15"/>
        <v>1</v>
      </c>
      <c r="G93" s="118">
        <f t="shared" si="12"/>
        <v>5.0909090909091148</v>
      </c>
      <c r="H93" s="119">
        <f t="shared" si="13"/>
        <v>5.0909090909091148</v>
      </c>
    </row>
    <row r="94" spans="1:8" x14ac:dyDescent="0.3">
      <c r="A94" s="127" t="s">
        <v>95</v>
      </c>
      <c r="B94" s="80" t="str">
        <f t="shared" si="11"/>
        <v>Maggi Cubes - مكعبات ماجي</v>
      </c>
      <c r="C94" s="80" t="str">
        <f t="shared" si="11"/>
        <v>gm</v>
      </c>
      <c r="D94" s="80">
        <f t="shared" si="11"/>
        <v>10</v>
      </c>
      <c r="E94" s="125">
        <f t="shared" si="14"/>
        <v>0.25454545454545574</v>
      </c>
      <c r="F94" s="126">
        <f t="shared" si="15"/>
        <v>0.75</v>
      </c>
      <c r="G94" s="118">
        <f t="shared" si="12"/>
        <v>2.5454545454545574</v>
      </c>
      <c r="H94" s="119">
        <f t="shared" si="13"/>
        <v>1.9090909090909181</v>
      </c>
    </row>
    <row r="95" spans="1:8" x14ac:dyDescent="0.3">
      <c r="A95" s="127" t="s">
        <v>154</v>
      </c>
      <c r="B95" s="80" t="str">
        <f t="shared" si="11"/>
        <v>Milk - حليب</v>
      </c>
      <c r="C95" s="80" t="str">
        <f t="shared" si="11"/>
        <v>ml</v>
      </c>
      <c r="D95" s="80">
        <f t="shared" si="11"/>
        <v>100</v>
      </c>
      <c r="E95" s="125">
        <f t="shared" si="14"/>
        <v>0.25454545454545574</v>
      </c>
      <c r="F95" s="126">
        <f t="shared" si="15"/>
        <v>1</v>
      </c>
      <c r="G95" s="118">
        <f t="shared" si="12"/>
        <v>25.454545454545574</v>
      </c>
      <c r="H95" s="119">
        <f t="shared" si="13"/>
        <v>25.454545454545574</v>
      </c>
    </row>
    <row r="96" spans="1:8" x14ac:dyDescent="0.3">
      <c r="A96" s="127" t="s">
        <v>192</v>
      </c>
      <c r="B96" s="80" t="str">
        <f t="shared" si="11"/>
        <v>Mustard - خردل</v>
      </c>
      <c r="C96" s="80" t="str">
        <f t="shared" si="11"/>
        <v>gm</v>
      </c>
      <c r="D96" s="80">
        <f t="shared" si="11"/>
        <v>25</v>
      </c>
      <c r="E96" s="125">
        <f t="shared" si="14"/>
        <v>0.25454545454545574</v>
      </c>
      <c r="F96" s="126">
        <f t="shared" si="15"/>
        <v>1</v>
      </c>
      <c r="G96" s="118">
        <f t="shared" si="12"/>
        <v>6.3636363636363935</v>
      </c>
      <c r="H96" s="119">
        <f t="shared" si="13"/>
        <v>6.3636363636363935</v>
      </c>
    </row>
    <row r="97" spans="1:8" x14ac:dyDescent="0.3">
      <c r="A97" s="127" t="s">
        <v>192</v>
      </c>
      <c r="B97" s="80" t="str">
        <f t="shared" si="11"/>
        <v>Sriracha Sauce - صوص سريراتشا</v>
      </c>
      <c r="C97" s="80" t="str">
        <f t="shared" si="11"/>
        <v>ml</v>
      </c>
      <c r="D97" s="80">
        <f t="shared" si="11"/>
        <v>30</v>
      </c>
      <c r="E97" s="125">
        <f t="shared" si="14"/>
        <v>0.25454545454545574</v>
      </c>
      <c r="F97" s="126">
        <f t="shared" si="15"/>
        <v>0.75</v>
      </c>
      <c r="G97" s="118">
        <f t="shared" si="12"/>
        <v>7.6363636363636722</v>
      </c>
      <c r="H97" s="119">
        <f t="shared" si="13"/>
        <v>5.7272727272727542</v>
      </c>
    </row>
    <row r="98" spans="1:8" x14ac:dyDescent="0.3">
      <c r="A98" s="127" t="s">
        <v>154</v>
      </c>
      <c r="B98" s="80" t="str">
        <f t="shared" si="11"/>
        <v>Cooking Cream - كريمة طبخ</v>
      </c>
      <c r="C98" s="80" t="str">
        <f t="shared" si="11"/>
        <v>ml</v>
      </c>
      <c r="D98" s="80">
        <f t="shared" si="11"/>
        <v>500</v>
      </c>
      <c r="E98" s="125">
        <f t="shared" si="14"/>
        <v>0.25454545454545574</v>
      </c>
      <c r="F98" s="126">
        <f t="shared" si="15"/>
        <v>1</v>
      </c>
      <c r="G98" s="118">
        <f t="shared" si="12"/>
        <v>127.27272727272788</v>
      </c>
      <c r="H98" s="119">
        <f t="shared" si="13"/>
        <v>127.27272727272788</v>
      </c>
    </row>
    <row r="99" spans="1:8" x14ac:dyDescent="0.3">
      <c r="A99" s="127" t="s">
        <v>13</v>
      </c>
      <c r="B99" s="80" t="str">
        <f t="shared" si="11"/>
        <v>Onion - بصل</v>
      </c>
      <c r="C99" s="80" t="str">
        <f t="shared" si="11"/>
        <v>gm</v>
      </c>
      <c r="D99" s="80">
        <f t="shared" si="11"/>
        <v>100</v>
      </c>
      <c r="E99" s="125">
        <f t="shared" si="14"/>
        <v>0.25454545454545574</v>
      </c>
      <c r="F99" s="126">
        <f t="shared" si="15"/>
        <v>0.95</v>
      </c>
      <c r="G99" s="118">
        <f t="shared" si="12"/>
        <v>25.454545454545574</v>
      </c>
      <c r="H99" s="119">
        <f t="shared" si="13"/>
        <v>24.181818181818294</v>
      </c>
    </row>
    <row r="100" spans="1:8" x14ac:dyDescent="0.3">
      <c r="A100" s="127" t="s">
        <v>95</v>
      </c>
      <c r="B100" s="80" t="str">
        <f t="shared" si="11"/>
        <v>Salt - ملح</v>
      </c>
      <c r="C100" s="80" t="str">
        <f t="shared" si="11"/>
        <v>gm</v>
      </c>
      <c r="D100" s="80">
        <f t="shared" si="11"/>
        <v>6</v>
      </c>
      <c r="E100" s="125">
        <f t="shared" si="14"/>
        <v>0.25454545454545574</v>
      </c>
      <c r="F100" s="126">
        <f t="shared" si="15"/>
        <v>0.75</v>
      </c>
      <c r="G100" s="118">
        <f t="shared" si="12"/>
        <v>1.5272727272727344</v>
      </c>
      <c r="H100" s="119">
        <f t="shared" si="13"/>
        <v>1.1454545454545508</v>
      </c>
    </row>
    <row r="101" spans="1:8" x14ac:dyDescent="0.3">
      <c r="A101" s="127" t="s">
        <v>215</v>
      </c>
      <c r="B101" s="80" t="str">
        <f t="shared" si="11"/>
        <v>Saffron yellow color powder - لون صفار زعفران بودر</v>
      </c>
      <c r="C101" s="80" t="str">
        <f t="shared" si="11"/>
        <v>gm</v>
      </c>
      <c r="D101" s="80">
        <f t="shared" si="11"/>
        <v>2</v>
      </c>
      <c r="E101" s="125">
        <f t="shared" si="14"/>
        <v>0.25454545454545574</v>
      </c>
      <c r="F101" s="126">
        <f t="shared" si="15"/>
        <v>1</v>
      </c>
      <c r="G101" s="118">
        <f t="shared" si="12"/>
        <v>0.50909090909091148</v>
      </c>
      <c r="H101" s="119">
        <f t="shared" si="13"/>
        <v>0.50909090909091148</v>
      </c>
    </row>
    <row r="102" spans="1:8" x14ac:dyDescent="0.3">
      <c r="A102" s="127" t="s">
        <v>154</v>
      </c>
      <c r="B102" s="80" t="str">
        <f t="shared" si="11"/>
        <v>Butter - زبدة</v>
      </c>
      <c r="C102" s="80" t="str">
        <f t="shared" si="11"/>
        <v>gm</v>
      </c>
      <c r="D102" s="80">
        <f t="shared" si="11"/>
        <v>20</v>
      </c>
      <c r="E102" s="125">
        <f t="shared" si="14"/>
        <v>0.25454545454545574</v>
      </c>
      <c r="F102" s="126">
        <f t="shared" si="15"/>
        <v>1</v>
      </c>
      <c r="G102" s="118">
        <f t="shared" si="12"/>
        <v>5.0909090909091148</v>
      </c>
      <c r="H102" s="119">
        <f t="shared" si="13"/>
        <v>5.0909090909091148</v>
      </c>
    </row>
    <row r="103" spans="1:8" ht="18" x14ac:dyDescent="0.3">
      <c r="A103" s="210"/>
      <c r="B103" s="197" t="s">
        <v>736</v>
      </c>
      <c r="C103" s="199" t="s">
        <v>277</v>
      </c>
      <c r="E103" s="199" t="s">
        <v>292</v>
      </c>
      <c r="G103" s="878" t="s">
        <v>268</v>
      </c>
      <c r="H103" s="878" t="s">
        <v>714</v>
      </c>
    </row>
    <row r="104" spans="1:8" ht="20" x14ac:dyDescent="0.4">
      <c r="A104" s="210"/>
      <c r="B104" s="198">
        <f>$J$54</f>
        <v>378</v>
      </c>
      <c r="C104" s="198">
        <f>E104+G104</f>
        <v>252.00000000000117</v>
      </c>
      <c r="D104" s="915"/>
      <c r="E104" s="198">
        <f>$D$54*$S$44</f>
        <v>252.00000000000117</v>
      </c>
      <c r="F104" s="919"/>
      <c r="G104" s="198">
        <f>$D$54*$T$44</f>
        <v>0</v>
      </c>
      <c r="H104" s="198">
        <f>B104+E104</f>
        <v>630.00000000000114</v>
      </c>
    </row>
  </sheetData>
  <mergeCells count="10">
    <mergeCell ref="AE2:AG3"/>
    <mergeCell ref="R26:U26"/>
    <mergeCell ref="R25:U25"/>
    <mergeCell ref="B62:H62"/>
    <mergeCell ref="K2:K3"/>
    <mergeCell ref="B85:H85"/>
    <mergeCell ref="B86:H86"/>
    <mergeCell ref="B63:H63"/>
    <mergeCell ref="L2:L3"/>
    <mergeCell ref="B2:J3"/>
  </mergeCells>
  <printOptions horizontalCentered="1"/>
  <pageMargins left="0.5" right="0.5" top="1" bottom="0.5" header="0.3" footer="0.511811023622047"/>
  <pageSetup paperSize="9" scale="30" orientation="portrait" r:id="rId1"/>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7" tint="-0.249977111117893"/>
    <pageSetUpPr fitToPage="1"/>
  </sheetPr>
  <dimension ref="A1:AT142"/>
  <sheetViews>
    <sheetView topLeftCell="A72" zoomScale="34" zoomScaleNormal="34" workbookViewId="0">
      <selection activeCell="R52" sqref="Q52:R53"/>
    </sheetView>
  </sheetViews>
  <sheetFormatPr defaultColWidth="29.1640625" defaultRowHeight="14" x14ac:dyDescent="0.3"/>
  <cols>
    <col min="1" max="1" width="14.9140625" style="78" customWidth="1"/>
    <col min="2" max="2" width="41.83203125" style="14" customWidth="1"/>
    <col min="3" max="3" width="18.4140625" style="14" customWidth="1"/>
    <col min="4" max="4" width="29.1640625" style="14" customWidth="1"/>
    <col min="5" max="5" width="20" style="249" customWidth="1"/>
    <col min="6" max="8" width="29.1640625" style="14" customWidth="1"/>
    <col min="9" max="9" width="14.5" style="14" customWidth="1"/>
    <col min="10" max="10" width="29.1640625" style="14" customWidth="1"/>
    <col min="11" max="11" width="22.08203125" style="14" customWidth="1"/>
    <col min="12" max="12" width="8.33203125" style="14" customWidth="1"/>
    <col min="13" max="13" width="29.1640625" style="14" customWidth="1"/>
    <col min="14" max="15" width="11.5" style="14" customWidth="1"/>
    <col min="16" max="16" width="13.83203125" style="14" customWidth="1"/>
    <col min="17" max="17" width="18.4140625" style="14" customWidth="1"/>
    <col min="18" max="18" width="41.4140625" style="14" customWidth="1"/>
    <col min="19" max="19" width="11.4140625" style="14" customWidth="1"/>
    <col min="20" max="20" width="14.5" style="14" customWidth="1"/>
    <col min="21" max="21" width="12" style="14" customWidth="1"/>
    <col min="22" max="22" width="29.1640625" style="14" customWidth="1"/>
    <col min="23" max="23" width="31.83203125" style="14" bestFit="1" customWidth="1"/>
    <col min="24" max="24" width="12.4140625" style="14" customWidth="1"/>
    <col min="25" max="25" width="15.4140625" style="14" customWidth="1"/>
    <col min="26" max="26" width="13.58203125" style="14" customWidth="1"/>
    <col min="27" max="27" width="15.83203125" style="14" customWidth="1"/>
    <col min="28" max="28" width="11.9140625" style="14" bestFit="1" customWidth="1"/>
    <col min="29" max="30" width="13.33203125" style="14" bestFit="1" customWidth="1"/>
    <col min="31" max="31" width="11.58203125" style="14" bestFit="1" customWidth="1"/>
    <col min="32" max="32" width="13.6640625" style="14" customWidth="1"/>
    <col min="33" max="34" width="7.4140625" style="14" customWidth="1"/>
    <col min="35" max="36" width="29.1640625" style="14"/>
    <col min="37" max="37" width="5.4140625" style="14" bestFit="1" customWidth="1"/>
    <col min="38" max="38" width="26.33203125" style="14" customWidth="1"/>
    <col min="39" max="39" width="24.4140625" style="14" bestFit="1" customWidth="1"/>
    <col min="40" max="40" width="14.9140625" style="14" bestFit="1" customWidth="1"/>
    <col min="41" max="41" width="13.58203125" style="14" customWidth="1"/>
    <col min="42" max="42" width="16.5" style="14" customWidth="1"/>
    <col min="43" max="16384" width="29.1640625" style="14"/>
  </cols>
  <sheetData>
    <row r="1" spans="1:46" s="249" customFormat="1" ht="20.25" customHeight="1" x14ac:dyDescent="0.3">
      <c r="A1" s="247"/>
      <c r="B1" s="79" t="s">
        <v>235</v>
      </c>
      <c r="C1" s="80">
        <v>1000</v>
      </c>
      <c r="D1" s="81" t="s">
        <v>236</v>
      </c>
      <c r="E1" s="116">
        <f>T32</f>
        <v>24448.20512820514</v>
      </c>
      <c r="F1" s="79" t="s">
        <v>237</v>
      </c>
      <c r="G1" s="83">
        <f>E1/C1</f>
        <v>24.448205128205139</v>
      </c>
      <c r="H1" s="79" t="s">
        <v>238</v>
      </c>
      <c r="I1" s="84">
        <f>(G1/K1)</f>
        <v>24.947148090005243</v>
      </c>
      <c r="J1" s="85" t="s">
        <v>239</v>
      </c>
      <c r="K1" s="80">
        <v>0.98</v>
      </c>
      <c r="L1" s="91"/>
      <c r="M1" s="88"/>
      <c r="N1" s="89"/>
      <c r="O1" s="90" t="s">
        <v>240</v>
      </c>
      <c r="P1" s="91" t="s">
        <v>241</v>
      </c>
      <c r="Q1" s="92" t="s">
        <v>242</v>
      </c>
      <c r="R1" s="91">
        <v>0.59</v>
      </c>
      <c r="S1" s="91"/>
      <c r="T1" s="91"/>
      <c r="Y1" s="90" t="s">
        <v>463</v>
      </c>
      <c r="Z1" s="835">
        <v>43340</v>
      </c>
      <c r="AA1" s="90" t="s">
        <v>578</v>
      </c>
      <c r="AB1" s="835">
        <v>0</v>
      </c>
      <c r="AC1" s="90" t="s">
        <v>567</v>
      </c>
      <c r="AD1" s="835">
        <v>305</v>
      </c>
      <c r="AF1" s="251"/>
      <c r="AG1" s="91"/>
      <c r="AI1" s="78"/>
      <c r="AJ1" s="109" t="s">
        <v>254</v>
      </c>
      <c r="AK1" s="93">
        <v>10000</v>
      </c>
      <c r="AL1" s="623" t="s">
        <v>503</v>
      </c>
      <c r="AM1" s="624">
        <f>$S$32</f>
        <v>33338.461538461532</v>
      </c>
      <c r="AN1" s="93" t="s">
        <v>243</v>
      </c>
      <c r="AO1" s="95">
        <f>($S$32/$R$1)/$AK$1</f>
        <v>5.6505867014341584</v>
      </c>
      <c r="AP1" s="94"/>
    </row>
    <row r="2" spans="1:46" ht="15.75" customHeight="1" x14ac:dyDescent="0.3">
      <c r="A2" s="96"/>
      <c r="B2" s="1450" t="s">
        <v>66</v>
      </c>
      <c r="C2" s="1460"/>
      <c r="D2" s="1460"/>
      <c r="E2" s="1505"/>
      <c r="F2" s="1460"/>
      <c r="G2" s="1460"/>
      <c r="H2" s="1460"/>
      <c r="I2" s="1460"/>
      <c r="J2" s="1460"/>
      <c r="K2" s="1450"/>
      <c r="L2" s="1450"/>
      <c r="O2" s="99"/>
      <c r="P2" s="99"/>
      <c r="Q2" s="99"/>
      <c r="R2" s="99"/>
      <c r="S2" s="99"/>
      <c r="T2" s="99"/>
      <c r="U2" s="99"/>
      <c r="AC2" s="98"/>
      <c r="AD2" s="98"/>
      <c r="AE2" s="1457"/>
      <c r="AF2" s="1460"/>
      <c r="AG2" s="1460"/>
      <c r="AI2" s="78"/>
      <c r="AJ2" s="372"/>
      <c r="AK2" s="1442" t="s">
        <v>385</v>
      </c>
      <c r="AL2" s="1442"/>
      <c r="AM2" s="1442"/>
      <c r="AN2" s="101"/>
      <c r="AO2" s="100"/>
      <c r="AP2" s="100"/>
    </row>
    <row r="3" spans="1:46" ht="15.75" customHeight="1" x14ac:dyDescent="0.3">
      <c r="A3" s="96"/>
      <c r="B3" s="1444"/>
      <c r="C3" s="1444"/>
      <c r="D3" s="1444"/>
      <c r="E3" s="1444"/>
      <c r="F3" s="1444"/>
      <c r="G3" s="1444"/>
      <c r="H3" s="1444"/>
      <c r="I3" s="1444"/>
      <c r="J3" s="1444"/>
      <c r="K3" s="1444"/>
      <c r="L3" s="1444"/>
      <c r="O3" s="99"/>
      <c r="P3" s="99"/>
      <c r="Q3" s="99"/>
      <c r="R3" s="99"/>
      <c r="S3" s="99"/>
      <c r="T3" s="99"/>
      <c r="U3" s="99"/>
      <c r="AC3" s="98"/>
      <c r="AD3" s="98"/>
      <c r="AE3" s="1460"/>
      <c r="AF3" s="1460"/>
      <c r="AG3" s="1460"/>
      <c r="AI3" s="78"/>
      <c r="AJ3" s="372"/>
      <c r="AK3" s="103"/>
      <c r="AL3" s="104"/>
      <c r="AM3" s="104"/>
      <c r="AN3" s="104"/>
      <c r="AO3" s="103"/>
      <c r="AP3" s="103"/>
    </row>
    <row r="4" spans="1:46" ht="35.25" customHeight="1" x14ac:dyDescent="0.3">
      <c r="A4" s="90" t="s">
        <v>1</v>
      </c>
      <c r="B4" s="90" t="s">
        <v>245</v>
      </c>
      <c r="C4" s="106" t="s">
        <v>246</v>
      </c>
      <c r="D4" s="90" t="s">
        <v>235</v>
      </c>
      <c r="E4" s="107" t="s">
        <v>238</v>
      </c>
      <c r="F4" s="107" t="s">
        <v>247</v>
      </c>
      <c r="G4" s="90" t="s">
        <v>248</v>
      </c>
      <c r="H4" s="330" t="s">
        <v>339</v>
      </c>
      <c r="I4" s="90" t="s">
        <v>250</v>
      </c>
      <c r="J4" s="90" t="s">
        <v>251</v>
      </c>
      <c r="K4" s="90" t="s">
        <v>252</v>
      </c>
      <c r="L4" s="90" t="s">
        <v>253</v>
      </c>
      <c r="M4" s="370"/>
      <c r="N4" s="370"/>
      <c r="Q4" s="99"/>
      <c r="R4" s="99"/>
      <c r="S4" s="99"/>
      <c r="T4" s="99"/>
      <c r="U4" s="99"/>
      <c r="AC4" s="250"/>
      <c r="AD4" s="252"/>
      <c r="AE4" s="250"/>
      <c r="AF4" s="250"/>
      <c r="AG4" s="250"/>
      <c r="AI4" s="78"/>
      <c r="AJ4" s="109" t="s">
        <v>245</v>
      </c>
      <c r="AK4" s="110" t="s">
        <v>246</v>
      </c>
      <c r="AL4" s="109" t="s">
        <v>254</v>
      </c>
      <c r="AM4" s="109" t="s">
        <v>238</v>
      </c>
      <c r="AN4" s="109" t="s">
        <v>247</v>
      </c>
      <c r="AO4" s="109" t="s">
        <v>248</v>
      </c>
      <c r="AP4" s="111" t="s">
        <v>249</v>
      </c>
      <c r="AQ4" s="90" t="s">
        <v>250</v>
      </c>
      <c r="AR4" s="90" t="s">
        <v>251</v>
      </c>
      <c r="AS4" s="90" t="s">
        <v>252</v>
      </c>
      <c r="AT4" s="90" t="s">
        <v>253</v>
      </c>
    </row>
    <row r="5" spans="1:46" ht="14.25" customHeight="1" x14ac:dyDescent="0.3">
      <c r="A5" s="265" t="s">
        <v>225</v>
      </c>
      <c r="B5" s="308" t="s">
        <v>224</v>
      </c>
      <c r="C5" s="114" t="s">
        <v>14</v>
      </c>
      <c r="D5" s="120">
        <f>I51/10</f>
        <v>2311.5254237288136</v>
      </c>
      <c r="E5" s="84">
        <f>H52</f>
        <v>24.445271695601651</v>
      </c>
      <c r="F5" s="126">
        <v>1</v>
      </c>
      <c r="G5" s="248">
        <f t="shared" ref="G5:G25" si="0">D5*E5</f>
        <v>56505.86701434158</v>
      </c>
      <c r="H5" s="206">
        <f t="shared" ref="H5:H25" si="1">G5*F5</f>
        <v>56505.86701434158</v>
      </c>
      <c r="I5" s="80">
        <f>VLOOKUP(B5,All_Ingredients!$A$1:$F$149,6,FALSE())</f>
        <v>0.86</v>
      </c>
      <c r="J5" s="118">
        <f>VLOOKUP(B5,All_Ingredients!$A$1:$J$149,10,FALSE())</f>
        <v>17.100000000000001</v>
      </c>
      <c r="K5" s="121">
        <f t="shared" ref="K5" si="2">(H5/I5)/1000</f>
        <v>65.704496528304162</v>
      </c>
      <c r="L5" s="121">
        <f t="shared" ref="L5" si="3">K5*J5</f>
        <v>1123.5468906340013</v>
      </c>
      <c r="M5" s="130"/>
      <c r="N5" s="130"/>
      <c r="O5" s="99"/>
      <c r="P5" s="99"/>
      <c r="Q5" s="99"/>
      <c r="R5" s="99"/>
      <c r="S5" s="99"/>
      <c r="T5" s="99"/>
      <c r="U5" s="99"/>
      <c r="AC5" s="91"/>
      <c r="AD5" s="132"/>
      <c r="AE5" s="253"/>
      <c r="AF5" s="134"/>
      <c r="AG5" s="135"/>
      <c r="AI5" s="78"/>
      <c r="AJ5" s="66" t="s">
        <v>224</v>
      </c>
      <c r="AK5" s="123" t="s">
        <v>231</v>
      </c>
      <c r="AL5" s="115">
        <v>10</v>
      </c>
      <c r="AM5" s="196">
        <f t="shared" ref="AM5:AM19" si="4">$AO$1</f>
        <v>5.6505867014341584</v>
      </c>
      <c r="AN5" s="298">
        <v>1</v>
      </c>
      <c r="AO5" s="248">
        <f t="shared" ref="AO5:AO19" si="5">AL5*AM5</f>
        <v>56.505867014341582</v>
      </c>
      <c r="AP5" s="206">
        <f t="shared" ref="AP5:AP19" si="6">AO5*AN5</f>
        <v>56.505867014341582</v>
      </c>
      <c r="AQ5" s="294"/>
      <c r="AR5" s="1152"/>
      <c r="AS5" s="174"/>
      <c r="AT5" s="1153"/>
    </row>
    <row r="6" spans="1:46" ht="14.25" customHeight="1" x14ac:dyDescent="0.3">
      <c r="A6" s="127" t="s">
        <v>13</v>
      </c>
      <c r="B6" s="113" t="s">
        <v>12</v>
      </c>
      <c r="C6" s="114" t="s">
        <v>14</v>
      </c>
      <c r="D6" s="124">
        <v>200</v>
      </c>
      <c r="E6" s="196">
        <f t="shared" ref="E6:E25" si="7">$I$1</f>
        <v>24.947148090005243</v>
      </c>
      <c r="F6" s="298">
        <v>0.95</v>
      </c>
      <c r="G6" s="248">
        <f t="shared" si="0"/>
        <v>4989.4296180010488</v>
      </c>
      <c r="H6" s="206">
        <f t="shared" si="1"/>
        <v>4739.9581371009963</v>
      </c>
      <c r="I6" s="80">
        <f>VLOOKUP(B6,All_Ingredients!$A$1:$F$149,6,FALSE())</f>
        <v>0.9</v>
      </c>
      <c r="J6" s="118">
        <f>VLOOKUP(B6,All_Ingredients!$A$1:$J$149,10,FALSE())</f>
        <v>3</v>
      </c>
      <c r="K6" s="121">
        <f t="shared" ref="K6:K25" si="8">(H6/I6)/1000</f>
        <v>5.2666201523344398</v>
      </c>
      <c r="L6" s="121">
        <f t="shared" ref="L6:L25" si="9">K6*J6</f>
        <v>15.799860457003319</v>
      </c>
      <c r="M6" s="130"/>
      <c r="N6" s="130"/>
      <c r="AI6" s="78" t="s">
        <v>95</v>
      </c>
      <c r="AJ6" s="322" t="s">
        <v>106</v>
      </c>
      <c r="AK6" s="123" t="s">
        <v>14</v>
      </c>
      <c r="AL6" s="115">
        <v>20</v>
      </c>
      <c r="AM6" s="196">
        <f t="shared" si="4"/>
        <v>5.6505867014341584</v>
      </c>
      <c r="AN6" s="298">
        <v>1</v>
      </c>
      <c r="AO6" s="248">
        <f t="shared" si="5"/>
        <v>113.01173402868316</v>
      </c>
      <c r="AP6" s="206">
        <f t="shared" si="6"/>
        <v>113.01173402868316</v>
      </c>
      <c r="AQ6" s="1153">
        <f>VLOOKUP(AJ6,Marination_Ordering!$A:$J,6,FALSE)</f>
        <v>1</v>
      </c>
      <c r="AR6" s="1153">
        <f>VLOOKUP(AJ6,Marination_Ordering!$A:$J,10,FALSE)</f>
        <v>15</v>
      </c>
      <c r="AS6" s="174">
        <f>AP6/AQ6</f>
        <v>113.01173402868316</v>
      </c>
      <c r="AT6" s="1153">
        <f>AR6*(AS6/1000)</f>
        <v>1.6951760104302476</v>
      </c>
    </row>
    <row r="7" spans="1:46" ht="14.25" customHeight="1" x14ac:dyDescent="0.3">
      <c r="A7" s="127" t="s">
        <v>13</v>
      </c>
      <c r="B7" s="113" t="s">
        <v>17</v>
      </c>
      <c r="C7" s="114" t="s">
        <v>14</v>
      </c>
      <c r="D7" s="124">
        <v>450</v>
      </c>
      <c r="E7" s="196">
        <f t="shared" si="7"/>
        <v>24.947148090005243</v>
      </c>
      <c r="F7" s="298">
        <v>1</v>
      </c>
      <c r="G7" s="248">
        <f t="shared" si="0"/>
        <v>11226.21664050236</v>
      </c>
      <c r="H7" s="206">
        <f t="shared" si="1"/>
        <v>11226.21664050236</v>
      </c>
      <c r="I7" s="80">
        <f>VLOOKUP(B7,All_Ingredients!$A$1:$F$149,6,FALSE())</f>
        <v>0.98</v>
      </c>
      <c r="J7" s="118">
        <f>VLOOKUP(B7,All_Ingredients!$A$1:$J$149,10,FALSE())</f>
        <v>3.5</v>
      </c>
      <c r="K7" s="121">
        <f t="shared" si="8"/>
        <v>11.455323102553429</v>
      </c>
      <c r="L7" s="121">
        <f t="shared" si="9"/>
        <v>40.093630858937004</v>
      </c>
      <c r="M7" s="130"/>
      <c r="N7" s="130"/>
      <c r="AI7" s="78" t="s">
        <v>95</v>
      </c>
      <c r="AJ7" s="322" t="s">
        <v>108</v>
      </c>
      <c r="AK7" s="123" t="s">
        <v>14</v>
      </c>
      <c r="AL7" s="115">
        <v>10</v>
      </c>
      <c r="AM7" s="196">
        <f t="shared" si="4"/>
        <v>5.6505867014341584</v>
      </c>
      <c r="AN7" s="298">
        <v>1</v>
      </c>
      <c r="AO7" s="248">
        <f t="shared" si="5"/>
        <v>56.505867014341582</v>
      </c>
      <c r="AP7" s="206">
        <f t="shared" si="6"/>
        <v>56.505867014341582</v>
      </c>
      <c r="AQ7" s="1153">
        <f>VLOOKUP(AJ7,Marination_Ordering!$A:$J,6,FALSE)</f>
        <v>1</v>
      </c>
      <c r="AR7" s="1153">
        <f>VLOOKUP(AJ7,Marination_Ordering!$A:$J,10,FALSE)</f>
        <v>8</v>
      </c>
      <c r="AS7" s="174">
        <f t="shared" ref="AS7:AS8" si="10">AP7/AQ7</f>
        <v>56.505867014341582</v>
      </c>
      <c r="AT7" s="1153">
        <f t="shared" ref="AT7:AT8" si="11">AR7*(AS7/1000)</f>
        <v>0.45204693611473268</v>
      </c>
    </row>
    <row r="8" spans="1:46" ht="14.25" customHeight="1" x14ac:dyDescent="0.3">
      <c r="A8" s="127" t="s">
        <v>56</v>
      </c>
      <c r="B8" s="113" t="s">
        <v>55</v>
      </c>
      <c r="C8" s="114" t="s">
        <v>14</v>
      </c>
      <c r="D8" s="124">
        <v>20</v>
      </c>
      <c r="E8" s="196">
        <f t="shared" si="7"/>
        <v>24.947148090005243</v>
      </c>
      <c r="F8" s="298">
        <v>0.9</v>
      </c>
      <c r="G8" s="248">
        <f t="shared" si="0"/>
        <v>498.94296180010485</v>
      </c>
      <c r="H8" s="206">
        <f t="shared" si="1"/>
        <v>449.04866562009437</v>
      </c>
      <c r="I8" s="80">
        <f>VLOOKUP(B8,All_Ingredients!$A$1:$F$149,6,FALSE())</f>
        <v>0.87</v>
      </c>
      <c r="J8" s="118">
        <f>VLOOKUP(B8,All_Ingredients!$A$1:$J$149,10,FALSE())</f>
        <v>7</v>
      </c>
      <c r="K8" s="121">
        <f t="shared" si="8"/>
        <v>0.51614789151734985</v>
      </c>
      <c r="L8" s="121">
        <f t="shared" si="9"/>
        <v>3.613035240621449</v>
      </c>
      <c r="M8" s="130"/>
      <c r="N8" s="130"/>
      <c r="AI8" s="78" t="s">
        <v>154</v>
      </c>
      <c r="AJ8" s="373" t="s">
        <v>164</v>
      </c>
      <c r="AK8" s="123" t="s">
        <v>14</v>
      </c>
      <c r="AL8" s="222">
        <v>250</v>
      </c>
      <c r="AM8" s="196">
        <f t="shared" si="4"/>
        <v>5.6505867014341584</v>
      </c>
      <c r="AN8" s="298">
        <v>1</v>
      </c>
      <c r="AO8" s="248">
        <f t="shared" si="5"/>
        <v>1412.6466753585396</v>
      </c>
      <c r="AP8" s="206">
        <f t="shared" si="6"/>
        <v>1412.6466753585396</v>
      </c>
      <c r="AQ8" s="1153">
        <f>VLOOKUP(AJ8,Marination_Ordering!$A:$J,6,FALSE)</f>
        <v>1</v>
      </c>
      <c r="AR8" s="1153">
        <f>VLOOKUP(AJ8,Marination_Ordering!$A:$J,10,FALSE)</f>
        <v>6.6959999999999997</v>
      </c>
      <c r="AS8" s="174">
        <f t="shared" si="10"/>
        <v>1412.6466753585396</v>
      </c>
      <c r="AT8" s="1153">
        <f t="shared" si="11"/>
        <v>9.459082138200781</v>
      </c>
    </row>
    <row r="9" spans="1:46" ht="14.25" customHeight="1" x14ac:dyDescent="0.3">
      <c r="A9" s="127" t="s">
        <v>13</v>
      </c>
      <c r="B9" s="113" t="s">
        <v>762</v>
      </c>
      <c r="C9" s="114" t="s">
        <v>14</v>
      </c>
      <c r="D9" s="124">
        <v>20</v>
      </c>
      <c r="E9" s="196">
        <f t="shared" si="7"/>
        <v>24.947148090005243</v>
      </c>
      <c r="F9" s="298">
        <v>0.9</v>
      </c>
      <c r="G9" s="248">
        <f t="shared" si="0"/>
        <v>498.94296180010485</v>
      </c>
      <c r="H9" s="206">
        <f t="shared" si="1"/>
        <v>449.04866562009437</v>
      </c>
      <c r="I9" s="80">
        <f>VLOOKUP(B9,All_Ingredients!$A$1:$F$149,6,FALSE())</f>
        <v>1</v>
      </c>
      <c r="J9" s="118">
        <f>VLOOKUP(B9,All_Ingredients!$A$1:$J$149,10,FALSE())</f>
        <v>10.5</v>
      </c>
      <c r="K9" s="121">
        <f t="shared" si="8"/>
        <v>0.44904866562009438</v>
      </c>
      <c r="L9" s="121">
        <f t="shared" si="9"/>
        <v>4.7150109890109908</v>
      </c>
      <c r="M9" s="130"/>
      <c r="N9" s="130"/>
      <c r="AI9" s="78" t="s">
        <v>95</v>
      </c>
      <c r="AJ9" s="373" t="s">
        <v>114</v>
      </c>
      <c r="AK9" s="123" t="s">
        <v>14</v>
      </c>
      <c r="AL9" s="115">
        <v>7</v>
      </c>
      <c r="AM9" s="196">
        <f t="shared" si="4"/>
        <v>5.6505867014341584</v>
      </c>
      <c r="AN9" s="298">
        <v>1</v>
      </c>
      <c r="AO9" s="248">
        <f t="shared" si="5"/>
        <v>39.55410691003911</v>
      </c>
      <c r="AP9" s="206">
        <f t="shared" si="6"/>
        <v>39.55410691003911</v>
      </c>
      <c r="AQ9" s="1153">
        <f>VLOOKUP(AJ9,Marination_Ordering!$A:$J,6,FALSE)</f>
        <v>1</v>
      </c>
      <c r="AR9" s="1153">
        <f>VLOOKUP(AJ9,Marination_Ordering!$A:$J,10,FALSE)</f>
        <v>20</v>
      </c>
      <c r="AS9" s="174">
        <f t="shared" ref="AS9:AS19" si="12">AP9/AQ9</f>
        <v>39.55410691003911</v>
      </c>
      <c r="AT9" s="1153">
        <f t="shared" ref="AT9:AT19" si="13">AR9*(AS9/1000)</f>
        <v>0.79108213820078221</v>
      </c>
    </row>
    <row r="10" spans="1:46" ht="14.25" customHeight="1" x14ac:dyDescent="0.3">
      <c r="A10" s="127" t="s">
        <v>13</v>
      </c>
      <c r="B10" s="113" t="s">
        <v>34</v>
      </c>
      <c r="C10" s="114" t="s">
        <v>14</v>
      </c>
      <c r="D10" s="124">
        <v>10</v>
      </c>
      <c r="E10" s="196">
        <f t="shared" si="7"/>
        <v>24.947148090005243</v>
      </c>
      <c r="F10" s="298">
        <v>0.75</v>
      </c>
      <c r="G10" s="248">
        <f t="shared" si="0"/>
        <v>249.47148090005243</v>
      </c>
      <c r="H10" s="206">
        <f t="shared" si="1"/>
        <v>187.10361067503931</v>
      </c>
      <c r="I10" s="80">
        <f>VLOOKUP(B10,All_Ingredients!$A$1:$F$149,6,FALSE())</f>
        <v>0.86</v>
      </c>
      <c r="J10" s="118">
        <f>VLOOKUP(B10,All_Ingredients!$A$1:$J$149,10,FALSE())</f>
        <v>14</v>
      </c>
      <c r="K10" s="121">
        <f t="shared" si="8"/>
        <v>0.21756233799423177</v>
      </c>
      <c r="L10" s="121">
        <f t="shared" si="9"/>
        <v>3.0458727319192449</v>
      </c>
      <c r="M10" s="130"/>
      <c r="N10" s="130"/>
      <c r="AI10" s="78" t="s">
        <v>95</v>
      </c>
      <c r="AJ10" s="373" t="s">
        <v>119</v>
      </c>
      <c r="AK10" s="123" t="s">
        <v>14</v>
      </c>
      <c r="AL10" s="115">
        <v>20</v>
      </c>
      <c r="AM10" s="196">
        <f t="shared" si="4"/>
        <v>5.6505867014341584</v>
      </c>
      <c r="AN10" s="298">
        <v>1</v>
      </c>
      <c r="AO10" s="248">
        <f t="shared" si="5"/>
        <v>113.01173402868316</v>
      </c>
      <c r="AP10" s="206">
        <f t="shared" si="6"/>
        <v>113.01173402868316</v>
      </c>
      <c r="AQ10" s="1153">
        <f>VLOOKUP(AJ10,Marination_Ordering!$A:$J,6,FALSE)</f>
        <v>1</v>
      </c>
      <c r="AR10" s="1153">
        <f>VLOOKUP(AJ10,Marination_Ordering!$A:$J,10,FALSE)</f>
        <v>15</v>
      </c>
      <c r="AS10" s="174">
        <f t="shared" si="12"/>
        <v>113.01173402868316</v>
      </c>
      <c r="AT10" s="1153">
        <f t="shared" si="13"/>
        <v>1.6951760104302476</v>
      </c>
    </row>
    <row r="11" spans="1:46" ht="14.25" customHeight="1" x14ac:dyDescent="0.3">
      <c r="A11" s="127" t="s">
        <v>179</v>
      </c>
      <c r="B11" s="113" t="s">
        <v>180</v>
      </c>
      <c r="C11" s="114" t="s">
        <v>14</v>
      </c>
      <c r="D11" s="124">
        <v>25</v>
      </c>
      <c r="E11" s="196">
        <f t="shared" si="7"/>
        <v>24.947148090005243</v>
      </c>
      <c r="F11" s="298">
        <v>1</v>
      </c>
      <c r="G11" s="248">
        <f t="shared" si="0"/>
        <v>623.6787022501311</v>
      </c>
      <c r="H11" s="206">
        <f t="shared" si="1"/>
        <v>623.6787022501311</v>
      </c>
      <c r="I11" s="80">
        <f>VLOOKUP(B11,All_Ingredients!$A$1:$F$149,6,FALSE())</f>
        <v>1</v>
      </c>
      <c r="J11" s="118">
        <f>VLOOKUP(B11,All_Ingredients!$A$1:$J$149,10,FALSE())</f>
        <v>40</v>
      </c>
      <c r="K11" s="121">
        <f t="shared" si="8"/>
        <v>0.62367870225013111</v>
      </c>
      <c r="L11" s="121">
        <f t="shared" si="9"/>
        <v>24.947148090005243</v>
      </c>
      <c r="M11" s="130"/>
      <c r="N11" s="130"/>
      <c r="AI11" s="78" t="s">
        <v>95</v>
      </c>
      <c r="AJ11" s="373" t="s">
        <v>759</v>
      </c>
      <c r="AK11" s="123" t="s">
        <v>14</v>
      </c>
      <c r="AL11" s="115">
        <v>10</v>
      </c>
      <c r="AM11" s="196">
        <f t="shared" si="4"/>
        <v>5.6505867014341584</v>
      </c>
      <c r="AN11" s="298">
        <v>1</v>
      </c>
      <c r="AO11" s="248">
        <f t="shared" si="5"/>
        <v>56.505867014341582</v>
      </c>
      <c r="AP11" s="206">
        <f t="shared" si="6"/>
        <v>56.505867014341582</v>
      </c>
      <c r="AQ11" s="1153">
        <f>VLOOKUP(AJ11,Marination_Ordering!$A:$J,6,FALSE)</f>
        <v>1</v>
      </c>
      <c r="AR11" s="1153">
        <f>VLOOKUP(AJ11,Marination_Ordering!$A:$J,10,FALSE)</f>
        <v>52</v>
      </c>
      <c r="AS11" s="174">
        <f t="shared" si="12"/>
        <v>56.505867014341582</v>
      </c>
      <c r="AT11" s="1153">
        <f t="shared" si="13"/>
        <v>2.9383050847457626</v>
      </c>
    </row>
    <row r="12" spans="1:46" ht="14.25" customHeight="1" x14ac:dyDescent="0.3">
      <c r="A12" s="127" t="s">
        <v>95</v>
      </c>
      <c r="B12" s="113" t="s">
        <v>114</v>
      </c>
      <c r="C12" s="114" t="s">
        <v>14</v>
      </c>
      <c r="D12" s="124">
        <v>3</v>
      </c>
      <c r="E12" s="196">
        <f t="shared" si="7"/>
        <v>24.947148090005243</v>
      </c>
      <c r="F12" s="298">
        <v>0.9</v>
      </c>
      <c r="G12" s="248">
        <f t="shared" si="0"/>
        <v>74.841444270015728</v>
      </c>
      <c r="H12" s="206">
        <f t="shared" si="1"/>
        <v>67.357299843014161</v>
      </c>
      <c r="I12" s="80">
        <f>VLOOKUP(B12,All_Ingredients!$A$1:$F$149,6,FALSE())</f>
        <v>1</v>
      </c>
      <c r="J12" s="118">
        <f>VLOOKUP(B12,All_Ingredients!$A$1:$J$149,10,FALSE())</f>
        <v>20</v>
      </c>
      <c r="K12" s="121">
        <f t="shared" si="8"/>
        <v>6.7357299843014168E-2</v>
      </c>
      <c r="L12" s="121">
        <f t="shared" si="9"/>
        <v>1.3471459968602835</v>
      </c>
      <c r="M12" s="130"/>
      <c r="N12" s="130"/>
      <c r="AI12" s="78" t="s">
        <v>95</v>
      </c>
      <c r="AJ12" s="373" t="s">
        <v>94</v>
      </c>
      <c r="AK12" s="123" t="s">
        <v>14</v>
      </c>
      <c r="AL12" s="124">
        <v>5</v>
      </c>
      <c r="AM12" s="196">
        <f t="shared" si="4"/>
        <v>5.6505867014341584</v>
      </c>
      <c r="AN12" s="298">
        <v>1</v>
      </c>
      <c r="AO12" s="248">
        <f t="shared" si="5"/>
        <v>28.252933507170791</v>
      </c>
      <c r="AP12" s="206">
        <f t="shared" si="6"/>
        <v>28.252933507170791</v>
      </c>
      <c r="AQ12" s="1153">
        <f>VLOOKUP(AJ12,Marination_Ordering!$A:$J,6,FALSE)</f>
        <v>1</v>
      </c>
      <c r="AR12" s="1153">
        <f>VLOOKUP(AJ12,Marination_Ordering!$A:$J,10,FALSE)</f>
        <v>0.74</v>
      </c>
      <c r="AS12" s="174">
        <f t="shared" si="12"/>
        <v>28.252933507170791</v>
      </c>
      <c r="AT12" s="1153">
        <f t="shared" si="13"/>
        <v>2.0907170795306386E-2</v>
      </c>
    </row>
    <row r="13" spans="1:46" ht="14.25" customHeight="1" x14ac:dyDescent="0.3">
      <c r="A13" s="127" t="s">
        <v>154</v>
      </c>
      <c r="B13" s="113" t="s">
        <v>164</v>
      </c>
      <c r="C13" s="114" t="s">
        <v>14</v>
      </c>
      <c r="D13" s="124">
        <v>300</v>
      </c>
      <c r="E13" s="196">
        <f t="shared" si="7"/>
        <v>24.947148090005243</v>
      </c>
      <c r="F13" s="298">
        <v>0.75</v>
      </c>
      <c r="G13" s="248">
        <f t="shared" si="0"/>
        <v>7484.1444270015727</v>
      </c>
      <c r="H13" s="206">
        <f t="shared" si="1"/>
        <v>5613.10832025118</v>
      </c>
      <c r="I13" s="80">
        <f>VLOOKUP(B13,All_Ingredients!$A$1:$F$149,6,FALSE())</f>
        <v>1</v>
      </c>
      <c r="J13" s="118">
        <f>VLOOKUP(B13,All_Ingredients!$A$1:$J$149,10,FALSE())</f>
        <v>6.6959999999999997</v>
      </c>
      <c r="K13" s="121">
        <f t="shared" si="8"/>
        <v>5.6131083202511798</v>
      </c>
      <c r="L13" s="121">
        <f t="shared" si="9"/>
        <v>37.585373312401899</v>
      </c>
      <c r="M13" s="130"/>
      <c r="N13" s="130"/>
      <c r="AI13" s="78" t="s">
        <v>215</v>
      </c>
      <c r="AJ13" s="373" t="s">
        <v>216</v>
      </c>
      <c r="AK13" s="123" t="s">
        <v>14</v>
      </c>
      <c r="AL13" s="115">
        <v>2</v>
      </c>
      <c r="AM13" s="196">
        <f t="shared" si="4"/>
        <v>5.6505867014341584</v>
      </c>
      <c r="AN13" s="298">
        <v>1</v>
      </c>
      <c r="AO13" s="248">
        <f t="shared" si="5"/>
        <v>11.301173402868317</v>
      </c>
      <c r="AP13" s="206">
        <f t="shared" si="6"/>
        <v>11.301173402868317</v>
      </c>
      <c r="AQ13" s="1153">
        <f>VLOOKUP(AJ13,Marination_Ordering!$A:$J,6,FALSE)</f>
        <v>1</v>
      </c>
      <c r="AR13" s="1153">
        <f>VLOOKUP(AJ13,Marination_Ordering!$A:$J,10,FALSE)</f>
        <v>35</v>
      </c>
      <c r="AS13" s="174">
        <f t="shared" si="12"/>
        <v>11.301173402868317</v>
      </c>
      <c r="AT13" s="1153">
        <f t="shared" si="13"/>
        <v>0.39554106910039105</v>
      </c>
    </row>
    <row r="14" spans="1:46" ht="14.25" customHeight="1" x14ac:dyDescent="0.3">
      <c r="A14" s="127" t="s">
        <v>95</v>
      </c>
      <c r="B14" s="113" t="s">
        <v>109</v>
      </c>
      <c r="C14" s="114" t="s">
        <v>14</v>
      </c>
      <c r="D14" s="124">
        <v>10</v>
      </c>
      <c r="E14" s="196">
        <f t="shared" si="7"/>
        <v>24.947148090005243</v>
      </c>
      <c r="F14" s="298">
        <v>0.75</v>
      </c>
      <c r="G14" s="248">
        <f t="shared" si="0"/>
        <v>249.47148090005243</v>
      </c>
      <c r="H14" s="206">
        <f t="shared" si="1"/>
        <v>187.10361067503931</v>
      </c>
      <c r="I14" s="80">
        <f>VLOOKUP(B14,All_Ingredients!$A$1:$F$149,6,FALSE())</f>
        <v>1</v>
      </c>
      <c r="J14" s="118">
        <f>VLOOKUP(B14,All_Ingredients!$A$1:$J$149,10,FALSE())</f>
        <v>26.5</v>
      </c>
      <c r="K14" s="121">
        <f t="shared" si="8"/>
        <v>0.18710361067503931</v>
      </c>
      <c r="L14" s="121">
        <f t="shared" si="9"/>
        <v>4.9582456828885419</v>
      </c>
      <c r="M14" s="130"/>
      <c r="N14" s="130"/>
      <c r="AI14" s="78" t="s">
        <v>95</v>
      </c>
      <c r="AJ14" s="373" t="s">
        <v>127</v>
      </c>
      <c r="AK14" s="123" t="s">
        <v>14</v>
      </c>
      <c r="AL14" s="115">
        <v>10</v>
      </c>
      <c r="AM14" s="196">
        <f t="shared" si="4"/>
        <v>5.6505867014341584</v>
      </c>
      <c r="AN14" s="298">
        <v>1</v>
      </c>
      <c r="AO14" s="248">
        <f t="shared" si="5"/>
        <v>56.505867014341582</v>
      </c>
      <c r="AP14" s="206">
        <f t="shared" si="6"/>
        <v>56.505867014341582</v>
      </c>
      <c r="AQ14" s="1153">
        <f>VLOOKUP(AJ14,Marination_Ordering!$A:$J,6,FALSE)</f>
        <v>1</v>
      </c>
      <c r="AR14" s="1153">
        <f>VLOOKUP(AJ14,Marination_Ordering!$A:$J,10,FALSE)</f>
        <v>125</v>
      </c>
      <c r="AS14" s="174">
        <f t="shared" si="12"/>
        <v>56.505867014341582</v>
      </c>
      <c r="AT14" s="1153">
        <f t="shared" si="13"/>
        <v>7.0632333767926978</v>
      </c>
    </row>
    <row r="15" spans="1:46" ht="14.25" customHeight="1" x14ac:dyDescent="0.3">
      <c r="A15" s="127" t="s">
        <v>95</v>
      </c>
      <c r="B15" s="113" t="s">
        <v>106</v>
      </c>
      <c r="C15" s="114" t="s">
        <v>14</v>
      </c>
      <c r="D15" s="124">
        <v>10</v>
      </c>
      <c r="E15" s="196">
        <f t="shared" si="7"/>
        <v>24.947148090005243</v>
      </c>
      <c r="F15" s="298">
        <v>0.75</v>
      </c>
      <c r="G15" s="248">
        <f t="shared" si="0"/>
        <v>249.47148090005243</v>
      </c>
      <c r="H15" s="206">
        <f t="shared" si="1"/>
        <v>187.10361067503931</v>
      </c>
      <c r="I15" s="80">
        <f>VLOOKUP(B15,All_Ingredients!$A$1:$F$149,6,FALSE())</f>
        <v>1</v>
      </c>
      <c r="J15" s="118">
        <f>VLOOKUP(B15,All_Ingredients!$A$1:$J$149,10,FALSE())</f>
        <v>15</v>
      </c>
      <c r="K15" s="121">
        <f t="shared" si="8"/>
        <v>0.18710361067503931</v>
      </c>
      <c r="L15" s="121">
        <f t="shared" si="9"/>
        <v>2.8065541601255894</v>
      </c>
      <c r="M15" s="130"/>
      <c r="N15" s="130"/>
      <c r="AI15" s="78" t="s">
        <v>95</v>
      </c>
      <c r="AJ15" s="373" t="s">
        <v>123</v>
      </c>
      <c r="AK15" s="123" t="s">
        <v>14</v>
      </c>
      <c r="AL15" s="115">
        <v>5</v>
      </c>
      <c r="AM15" s="196">
        <f t="shared" si="4"/>
        <v>5.6505867014341584</v>
      </c>
      <c r="AN15" s="298">
        <v>1</v>
      </c>
      <c r="AO15" s="248">
        <f t="shared" si="5"/>
        <v>28.252933507170791</v>
      </c>
      <c r="AP15" s="206">
        <f t="shared" si="6"/>
        <v>28.252933507170791</v>
      </c>
      <c r="AQ15" s="1153">
        <f>VLOOKUP(AJ15,Marination_Ordering!$A:$J,6,FALSE)</f>
        <v>1</v>
      </c>
      <c r="AR15" s="1153">
        <f>VLOOKUP(AJ15,Marination_Ordering!$A:$J,10,FALSE)</f>
        <v>14</v>
      </c>
      <c r="AS15" s="174">
        <f t="shared" si="12"/>
        <v>28.252933507170791</v>
      </c>
      <c r="AT15" s="1153">
        <f t="shared" si="13"/>
        <v>0.39554106910039111</v>
      </c>
    </row>
    <row r="16" spans="1:46" ht="14.25" customHeight="1" x14ac:dyDescent="0.3">
      <c r="A16" s="127" t="s">
        <v>95</v>
      </c>
      <c r="B16" s="113" t="s">
        <v>108</v>
      </c>
      <c r="C16" s="114" t="s">
        <v>14</v>
      </c>
      <c r="D16" s="124">
        <v>10</v>
      </c>
      <c r="E16" s="196">
        <f t="shared" si="7"/>
        <v>24.947148090005243</v>
      </c>
      <c r="F16" s="298">
        <v>0.75</v>
      </c>
      <c r="G16" s="248">
        <f t="shared" si="0"/>
        <v>249.47148090005243</v>
      </c>
      <c r="H16" s="206">
        <f t="shared" si="1"/>
        <v>187.10361067503931</v>
      </c>
      <c r="I16" s="80">
        <f>VLOOKUP(B16,All_Ingredients!$A$1:$F$149,6,FALSE())</f>
        <v>1</v>
      </c>
      <c r="J16" s="118">
        <f>VLOOKUP(B16,All_Ingredients!$A$1:$J$149,10,FALSE())</f>
        <v>8</v>
      </c>
      <c r="K16" s="121">
        <f t="shared" si="8"/>
        <v>0.18710361067503931</v>
      </c>
      <c r="L16" s="121">
        <f t="shared" si="9"/>
        <v>1.4968288854003144</v>
      </c>
      <c r="M16" s="130"/>
      <c r="N16" s="130"/>
      <c r="AI16" s="78" t="s">
        <v>56</v>
      </c>
      <c r="AJ16" s="373" t="s">
        <v>55</v>
      </c>
      <c r="AK16" s="123" t="s">
        <v>14</v>
      </c>
      <c r="AL16" s="124">
        <v>100</v>
      </c>
      <c r="AM16" s="196">
        <f t="shared" si="4"/>
        <v>5.6505867014341584</v>
      </c>
      <c r="AN16" s="298">
        <v>1</v>
      </c>
      <c r="AO16" s="248">
        <f t="shared" si="5"/>
        <v>565.05867014341584</v>
      </c>
      <c r="AP16" s="206">
        <f t="shared" si="6"/>
        <v>565.05867014341584</v>
      </c>
      <c r="AQ16" s="1153">
        <f>VLOOKUP(AJ16,Marination_Ordering!$A:$J,6,FALSE)</f>
        <v>0.87</v>
      </c>
      <c r="AR16" s="1153">
        <f>VLOOKUP(AJ16,Marination_Ordering!$A:$J,10,FALSE)</f>
        <v>3.2</v>
      </c>
      <c r="AS16" s="174">
        <f t="shared" si="12"/>
        <v>649.49272430277688</v>
      </c>
      <c r="AT16" s="1153">
        <f t="shared" si="13"/>
        <v>2.0783767177688861</v>
      </c>
    </row>
    <row r="17" spans="1:46" ht="14.25" customHeight="1" x14ac:dyDescent="0.3">
      <c r="A17" s="127" t="s">
        <v>62</v>
      </c>
      <c r="B17" s="113" t="s">
        <v>61</v>
      </c>
      <c r="C17" s="114" t="s">
        <v>14</v>
      </c>
      <c r="D17" s="124">
        <v>5</v>
      </c>
      <c r="E17" s="196">
        <f t="shared" si="7"/>
        <v>24.947148090005243</v>
      </c>
      <c r="F17" s="298">
        <v>1</v>
      </c>
      <c r="G17" s="248">
        <f t="shared" si="0"/>
        <v>124.73574045002621</v>
      </c>
      <c r="H17" s="206">
        <f t="shared" si="1"/>
        <v>124.73574045002621</v>
      </c>
      <c r="I17" s="80">
        <f>VLOOKUP(B17,All_Ingredients!$A$1:$F$149,6,FALSE())</f>
        <v>0.94</v>
      </c>
      <c r="J17" s="118">
        <f>VLOOKUP(B17,All_Ingredients!$A$1:$J$149,10,FALSE())</f>
        <v>3.6363636363636367</v>
      </c>
      <c r="K17" s="121">
        <f t="shared" si="8"/>
        <v>0.13269759622343216</v>
      </c>
      <c r="L17" s="121">
        <f t="shared" si="9"/>
        <v>0.48253671353975336</v>
      </c>
      <c r="M17" s="130"/>
      <c r="N17" s="130"/>
      <c r="AI17" s="78" t="s">
        <v>13</v>
      </c>
      <c r="AJ17" s="373" t="s">
        <v>762</v>
      </c>
      <c r="AK17" s="123" t="s">
        <v>14</v>
      </c>
      <c r="AL17" s="115">
        <v>150</v>
      </c>
      <c r="AM17" s="196">
        <f t="shared" si="4"/>
        <v>5.6505867014341584</v>
      </c>
      <c r="AN17" s="298">
        <v>1</v>
      </c>
      <c r="AO17" s="248">
        <f t="shared" si="5"/>
        <v>847.58800521512376</v>
      </c>
      <c r="AP17" s="206">
        <f t="shared" si="6"/>
        <v>847.58800521512376</v>
      </c>
      <c r="AQ17" s="1153">
        <f>VLOOKUP(AJ17,Marination_Ordering!$A:$J,6,FALSE)</f>
        <v>1</v>
      </c>
      <c r="AR17" s="1153">
        <f>VLOOKUP(AJ17,Marination_Ordering!$A:$J,10,FALSE)</f>
        <v>10.5</v>
      </c>
      <c r="AS17" s="174">
        <f t="shared" si="12"/>
        <v>847.58800521512376</v>
      </c>
      <c r="AT17" s="1153">
        <f t="shared" si="13"/>
        <v>8.8996740547587994</v>
      </c>
    </row>
    <row r="18" spans="1:46" ht="14.25" customHeight="1" x14ac:dyDescent="0.3">
      <c r="A18" s="127" t="s">
        <v>215</v>
      </c>
      <c r="B18" s="285" t="s">
        <v>877</v>
      </c>
      <c r="C18" s="114" t="s">
        <v>14</v>
      </c>
      <c r="D18" s="124">
        <v>2</v>
      </c>
      <c r="E18" s="196">
        <f t="shared" si="7"/>
        <v>24.947148090005243</v>
      </c>
      <c r="F18" s="298">
        <v>0.9</v>
      </c>
      <c r="G18" s="248">
        <f t="shared" si="0"/>
        <v>49.894296180010485</v>
      </c>
      <c r="H18" s="206">
        <f t="shared" si="1"/>
        <v>44.904866562009438</v>
      </c>
      <c r="I18" s="80">
        <f>VLOOKUP(B18,All_Ingredients!$A$1:$F$149,6,FALSE())</f>
        <v>1</v>
      </c>
      <c r="J18" s="118">
        <f>VLOOKUP(B18,All_Ingredients!$A$1:$J$149,10,FALSE())</f>
        <v>22.5</v>
      </c>
      <c r="K18" s="121">
        <f t="shared" si="8"/>
        <v>4.4904866562009441E-2</v>
      </c>
      <c r="L18" s="121">
        <f t="shared" si="9"/>
        <v>1.0103594976452124</v>
      </c>
      <c r="M18" s="130"/>
      <c r="N18" s="130"/>
      <c r="AI18" s="78" t="s">
        <v>206</v>
      </c>
      <c r="AJ18" s="373" t="s">
        <v>214</v>
      </c>
      <c r="AK18" s="123" t="s">
        <v>161</v>
      </c>
      <c r="AL18" s="115">
        <v>300</v>
      </c>
      <c r="AM18" s="196">
        <f t="shared" si="4"/>
        <v>5.6505867014341584</v>
      </c>
      <c r="AN18" s="298">
        <v>1</v>
      </c>
      <c r="AO18" s="248">
        <f t="shared" si="5"/>
        <v>1695.1760104302475</v>
      </c>
      <c r="AP18" s="206">
        <f t="shared" si="6"/>
        <v>1695.1760104302475</v>
      </c>
      <c r="AQ18" s="1153">
        <f>VLOOKUP(AJ18,Marination_Ordering!$A:$J,6,FALSE)</f>
        <v>1</v>
      </c>
      <c r="AR18" s="1153">
        <f>VLOOKUP(AJ18,Marination_Ordering!$A:$J,10,FALSE)</f>
        <v>5</v>
      </c>
      <c r="AS18" s="174">
        <f t="shared" si="12"/>
        <v>1695.1760104302475</v>
      </c>
      <c r="AT18" s="1153">
        <f t="shared" si="13"/>
        <v>8.4758800521512381</v>
      </c>
    </row>
    <row r="19" spans="1:46" ht="14.25" customHeight="1" x14ac:dyDescent="0.3">
      <c r="A19" s="127" t="s">
        <v>215</v>
      </c>
      <c r="B19" s="113" t="s">
        <v>216</v>
      </c>
      <c r="C19" s="114" t="s">
        <v>14</v>
      </c>
      <c r="D19" s="124">
        <v>1</v>
      </c>
      <c r="E19" s="196">
        <f t="shared" si="7"/>
        <v>24.947148090005243</v>
      </c>
      <c r="F19" s="298">
        <v>1</v>
      </c>
      <c r="G19" s="248">
        <f t="shared" si="0"/>
        <v>24.947148090005243</v>
      </c>
      <c r="H19" s="206">
        <f t="shared" si="1"/>
        <v>24.947148090005243</v>
      </c>
      <c r="I19" s="80">
        <f>VLOOKUP(B19,All_Ingredients!$A$1:$F$149,6,FALSE())</f>
        <v>1</v>
      </c>
      <c r="J19" s="118">
        <f>VLOOKUP(B19,All_Ingredients!$A$1:$J$149,10,FALSE())</f>
        <v>35</v>
      </c>
      <c r="K19" s="121">
        <f t="shared" si="8"/>
        <v>2.4947148090005242E-2</v>
      </c>
      <c r="L19" s="121">
        <f t="shared" si="9"/>
        <v>0.87315018315018345</v>
      </c>
      <c r="M19" s="130"/>
      <c r="N19" s="130"/>
      <c r="AI19" s="78" t="s">
        <v>206</v>
      </c>
      <c r="AJ19" s="322" t="s">
        <v>210</v>
      </c>
      <c r="AK19" s="123" t="s">
        <v>161</v>
      </c>
      <c r="AL19" s="115">
        <v>50</v>
      </c>
      <c r="AM19" s="196">
        <f t="shared" si="4"/>
        <v>5.6505867014341584</v>
      </c>
      <c r="AN19" s="298">
        <v>1</v>
      </c>
      <c r="AO19" s="248">
        <f t="shared" si="5"/>
        <v>282.52933507170792</v>
      </c>
      <c r="AP19" s="206">
        <f t="shared" si="6"/>
        <v>282.52933507170792</v>
      </c>
      <c r="AQ19" s="1153">
        <f>VLOOKUP(AJ19,Marination_Ordering!$A:$J,6,FALSE)</f>
        <v>1</v>
      </c>
      <c r="AR19" s="1153">
        <f>VLOOKUP(AJ19,Marination_Ordering!$A:$J,10,FALSE)</f>
        <v>2.1621621621621623</v>
      </c>
      <c r="AS19" s="174">
        <f t="shared" si="12"/>
        <v>282.52933507170792</v>
      </c>
      <c r="AT19" s="1153">
        <f t="shared" si="13"/>
        <v>0.61087423799288199</v>
      </c>
    </row>
    <row r="20" spans="1:46" ht="14.25" customHeight="1" x14ac:dyDescent="0.3">
      <c r="A20" s="127" t="s">
        <v>215</v>
      </c>
      <c r="B20" s="113" t="s">
        <v>219</v>
      </c>
      <c r="C20" s="114" t="s">
        <v>14</v>
      </c>
      <c r="D20" s="124">
        <v>10</v>
      </c>
      <c r="E20" s="196">
        <f t="shared" si="7"/>
        <v>24.947148090005243</v>
      </c>
      <c r="F20" s="298">
        <v>0.5</v>
      </c>
      <c r="G20" s="248">
        <f t="shared" si="0"/>
        <v>249.47148090005243</v>
      </c>
      <c r="H20" s="206">
        <f t="shared" si="1"/>
        <v>124.73574045002621</v>
      </c>
      <c r="I20" s="80">
        <f>VLOOKUP(B20,All_Ingredients!$A$1:$F$149,6,FALSE())</f>
        <v>1</v>
      </c>
      <c r="J20" s="118">
        <f>VLOOKUP(B20,All_Ingredients!$A$1:$J$149,10,FALSE())</f>
        <v>3</v>
      </c>
      <c r="K20" s="121">
        <f t="shared" si="8"/>
        <v>0.12473574045002621</v>
      </c>
      <c r="L20" s="121">
        <f t="shared" si="9"/>
        <v>0.37420722135007861</v>
      </c>
      <c r="M20" s="130"/>
      <c r="N20" s="130"/>
    </row>
    <row r="21" spans="1:46" ht="14.25" customHeight="1" x14ac:dyDescent="0.3">
      <c r="A21" s="127" t="s">
        <v>95</v>
      </c>
      <c r="B21" s="113" t="s">
        <v>94</v>
      </c>
      <c r="C21" s="114" t="s">
        <v>14</v>
      </c>
      <c r="D21" s="124">
        <v>11</v>
      </c>
      <c r="E21" s="196">
        <f t="shared" si="7"/>
        <v>24.947148090005243</v>
      </c>
      <c r="F21" s="298">
        <v>0.75</v>
      </c>
      <c r="G21" s="248">
        <f t="shared" si="0"/>
        <v>274.41862899005764</v>
      </c>
      <c r="H21" s="206">
        <f t="shared" si="1"/>
        <v>205.81397174254323</v>
      </c>
      <c r="I21" s="80">
        <f>VLOOKUP(B21,All_Ingredients!$A$1:$F$149,6,FALSE())</f>
        <v>1</v>
      </c>
      <c r="J21" s="118">
        <f>VLOOKUP(B21,All_Ingredients!$A$1:$J$149,10,FALSE())</f>
        <v>0.74</v>
      </c>
      <c r="K21" s="121">
        <f t="shared" si="8"/>
        <v>0.20581397174254323</v>
      </c>
      <c r="L21" s="121">
        <f t="shared" si="9"/>
        <v>0.15230233908948199</v>
      </c>
      <c r="M21" s="130"/>
      <c r="N21" s="130"/>
    </row>
    <row r="22" spans="1:46" ht="14.25" customHeight="1" x14ac:dyDescent="0.3">
      <c r="A22" s="127" t="s">
        <v>154</v>
      </c>
      <c r="B22" s="113" t="s">
        <v>153</v>
      </c>
      <c r="C22" s="114" t="s">
        <v>14</v>
      </c>
      <c r="D22" s="124">
        <v>40</v>
      </c>
      <c r="E22" s="196">
        <f t="shared" si="7"/>
        <v>24.947148090005243</v>
      </c>
      <c r="F22" s="298">
        <v>0.9</v>
      </c>
      <c r="G22" s="248">
        <f t="shared" si="0"/>
        <v>997.88592360020971</v>
      </c>
      <c r="H22" s="206">
        <f t="shared" si="1"/>
        <v>898.09733124018874</v>
      </c>
      <c r="I22" s="80">
        <f>VLOOKUP(B22,All_Ingredients!$A$1:$F$149,6,FALSE())</f>
        <v>1</v>
      </c>
      <c r="J22" s="118">
        <f>VLOOKUP(B22,All_Ingredients!$A$1:$J$149,10,FALSE())</f>
        <v>30</v>
      </c>
      <c r="K22" s="121">
        <f t="shared" si="8"/>
        <v>0.89809733124018876</v>
      </c>
      <c r="L22" s="121">
        <f t="shared" si="9"/>
        <v>26.942919937205662</v>
      </c>
      <c r="M22" s="130"/>
      <c r="N22" s="130"/>
    </row>
    <row r="23" spans="1:46" ht="14.25" customHeight="1" x14ac:dyDescent="0.3">
      <c r="A23" s="127" t="s">
        <v>154</v>
      </c>
      <c r="B23" s="113" t="s">
        <v>167</v>
      </c>
      <c r="C23" s="114" t="s">
        <v>161</v>
      </c>
      <c r="D23" s="124">
        <v>250</v>
      </c>
      <c r="E23" s="196">
        <f t="shared" si="7"/>
        <v>24.947148090005243</v>
      </c>
      <c r="F23" s="298">
        <v>1</v>
      </c>
      <c r="G23" s="248">
        <f t="shared" si="0"/>
        <v>6236.7870225013103</v>
      </c>
      <c r="H23" s="206">
        <f t="shared" si="1"/>
        <v>6236.7870225013103</v>
      </c>
      <c r="I23" s="80">
        <f>VLOOKUP(B23,All_Ingredients!$A$1:$F$149,6,FALSE())</f>
        <v>1</v>
      </c>
      <c r="J23" s="118">
        <f>VLOOKUP(B23,All_Ingredients!$A$1:$J$149,10,FALSE())</f>
        <v>12.666666666666666</v>
      </c>
      <c r="K23" s="121">
        <f t="shared" si="8"/>
        <v>6.2367870225013107</v>
      </c>
      <c r="L23" s="121">
        <f t="shared" si="9"/>
        <v>78.999302285016597</v>
      </c>
      <c r="M23" s="130"/>
      <c r="N23" s="130"/>
    </row>
    <row r="24" spans="1:46" ht="14.25" customHeight="1" x14ac:dyDescent="0.3">
      <c r="A24" s="127" t="s">
        <v>95</v>
      </c>
      <c r="B24" s="113" t="s">
        <v>759</v>
      </c>
      <c r="C24" s="114" t="s">
        <v>14</v>
      </c>
      <c r="D24" s="124">
        <v>2</v>
      </c>
      <c r="E24" s="196">
        <f t="shared" si="7"/>
        <v>24.947148090005243</v>
      </c>
      <c r="F24" s="298">
        <v>1</v>
      </c>
      <c r="G24" s="248">
        <f t="shared" si="0"/>
        <v>49.894296180010485</v>
      </c>
      <c r="H24" s="206">
        <f t="shared" si="1"/>
        <v>49.894296180010485</v>
      </c>
      <c r="I24" s="80">
        <f>VLOOKUP(B24,All_Ingredients!$A$1:$F$149,6,FALSE())</f>
        <v>1</v>
      </c>
      <c r="J24" s="118">
        <f>VLOOKUP(B24,All_Ingredients!$A$1:$J$149,10,FALSE())</f>
        <v>52</v>
      </c>
      <c r="K24" s="121">
        <f t="shared" si="8"/>
        <v>4.9894296180010483E-2</v>
      </c>
      <c r="L24" s="121">
        <f t="shared" si="9"/>
        <v>2.5945034013605452</v>
      </c>
      <c r="M24" s="130"/>
      <c r="N24" s="130"/>
      <c r="R24"/>
      <c r="Z24" s="1208"/>
    </row>
    <row r="25" spans="1:46" ht="14.25" customHeight="1" x14ac:dyDescent="0.3">
      <c r="B25" s="221" t="s">
        <v>189</v>
      </c>
      <c r="C25" s="123" t="s">
        <v>14</v>
      </c>
      <c r="D25" s="124">
        <v>20</v>
      </c>
      <c r="E25" s="222">
        <f t="shared" si="7"/>
        <v>24.947148090005243</v>
      </c>
      <c r="F25" s="126">
        <v>0.75</v>
      </c>
      <c r="G25" s="118">
        <f t="shared" si="0"/>
        <v>498.94296180010485</v>
      </c>
      <c r="H25" s="119">
        <f t="shared" si="1"/>
        <v>374.20722135007861</v>
      </c>
      <c r="I25" s="80">
        <f>VLOOKUP(B25,All_Ingredients!$A$1:$F$149,6,FALSE())</f>
        <v>0.9</v>
      </c>
      <c r="J25" s="118">
        <f>VLOOKUP(B25,All_Ingredients!$A$1:$J$149,10,FALSE())</f>
        <v>2.3199999999999998</v>
      </c>
      <c r="K25" s="121">
        <f t="shared" si="8"/>
        <v>0.41578580150008737</v>
      </c>
      <c r="L25" s="121">
        <f t="shared" si="9"/>
        <v>0.96462305948020266</v>
      </c>
      <c r="R25" s="1507" t="s">
        <v>385</v>
      </c>
      <c r="S25" s="1444"/>
      <c r="T25" s="1444"/>
      <c r="U25" s="1444"/>
      <c r="V25" s="1132"/>
      <c r="Z25" s="140" t="s">
        <v>256</v>
      </c>
      <c r="AA25" s="141">
        <v>1</v>
      </c>
      <c r="AB25" s="140" t="s">
        <v>253</v>
      </c>
      <c r="AC25" s="142">
        <f>(AA25*(4/3))*AF30+(AA30*(AB28/R1))</f>
        <v>3.3046856822429992E-2</v>
      </c>
    </row>
    <row r="26" spans="1:46" ht="14.25" customHeight="1" x14ac:dyDescent="0.3">
      <c r="L26" s="296"/>
      <c r="R26" s="1506" t="s">
        <v>257</v>
      </c>
      <c r="S26" s="1444"/>
      <c r="T26" s="1444"/>
      <c r="U26" s="1444"/>
      <c r="V26" s="1132"/>
    </row>
    <row r="27" spans="1:46" ht="14.25" customHeight="1" thickBot="1" x14ac:dyDescent="0.35">
      <c r="R27" s="426" t="s">
        <v>258</v>
      </c>
      <c r="S27" s="427" t="s">
        <v>259</v>
      </c>
      <c r="T27" s="427" t="s">
        <v>260</v>
      </c>
      <c r="U27" s="427" t="s">
        <v>261</v>
      </c>
      <c r="V27" s="145" t="s">
        <v>808</v>
      </c>
      <c r="W27" s="145" t="s">
        <v>817</v>
      </c>
      <c r="Z27" s="140" t="s">
        <v>262</v>
      </c>
      <c r="AA27" s="1166" t="s">
        <v>316</v>
      </c>
      <c r="AB27" s="146" t="s">
        <v>263</v>
      </c>
      <c r="AC27" s="146" t="s">
        <v>264</v>
      </c>
      <c r="AD27" s="146" t="s">
        <v>265</v>
      </c>
      <c r="AE27" s="1167" t="s">
        <v>817</v>
      </c>
      <c r="AF27" s="146" t="s">
        <v>266</v>
      </c>
    </row>
    <row r="28" spans="1:46" ht="14.25" customHeight="1" thickBot="1" x14ac:dyDescent="0.35">
      <c r="R28" s="428" t="s">
        <v>267</v>
      </c>
      <c r="S28" s="1322">
        <f>U28*S40</f>
        <v>33338.461538461532</v>
      </c>
      <c r="T28" s="1322">
        <f>U28*U40</f>
        <v>10001.538461538472</v>
      </c>
      <c r="U28" s="1339">
        <f>$Z$1</f>
        <v>43340</v>
      </c>
      <c r="V28" s="148">
        <f>SUM(AP5:AP13)</f>
        <v>1887.2959582790088</v>
      </c>
      <c r="W28" s="148">
        <f>SUM(H37:H38)</f>
        <v>610</v>
      </c>
      <c r="Z28" s="150"/>
      <c r="AA28" s="1169"/>
      <c r="AB28" s="151">
        <f>AA25*$S$40</f>
        <v>0.76923076923076905</v>
      </c>
      <c r="AC28" s="151">
        <f>AA25-AB28</f>
        <v>0.23076923076923095</v>
      </c>
      <c r="AD28" s="152">
        <f>AA25*(1/3)</f>
        <v>0.33333333333333331</v>
      </c>
      <c r="AE28" s="1169"/>
      <c r="AF28" s="153">
        <f>SUM(AB28:AD28)</f>
        <v>1.3333333333333333</v>
      </c>
    </row>
    <row r="29" spans="1:46" ht="14.25" customHeight="1" thickBot="1" x14ac:dyDescent="0.35">
      <c r="R29" s="428" t="s">
        <v>268</v>
      </c>
      <c r="S29" s="1219"/>
      <c r="T29" s="1218">
        <f>U28*(1/3)</f>
        <v>14446.666666666666</v>
      </c>
      <c r="U29" s="1322">
        <f>T29</f>
        <v>14446.666666666666</v>
      </c>
      <c r="V29" s="148"/>
      <c r="W29" s="148"/>
      <c r="Z29" s="150"/>
      <c r="AA29" s="1173"/>
      <c r="AB29" s="155">
        <f>AB28/$AF$28</f>
        <v>0.57692307692307687</v>
      </c>
      <c r="AC29" s="155">
        <f>AC28/$AF$28</f>
        <v>0.17307692307692321</v>
      </c>
      <c r="AD29" s="155">
        <f>AD28/$AF$28</f>
        <v>0.25</v>
      </c>
      <c r="AE29" s="1173"/>
      <c r="AF29" s="155">
        <f>AF28/$AF$28</f>
        <v>1</v>
      </c>
    </row>
    <row r="30" spans="1:46" ht="14.25" customHeight="1" thickBot="1" x14ac:dyDescent="0.35">
      <c r="R30" s="428" t="s">
        <v>269</v>
      </c>
      <c r="S30" s="1337">
        <f>U30*S40</f>
        <v>0</v>
      </c>
      <c r="T30" s="148">
        <f>(U30*U40)+(U30*(1/3))</f>
        <v>0</v>
      </c>
      <c r="U30" s="1336">
        <f>$AB$1</f>
        <v>0</v>
      </c>
      <c r="V30" s="1124"/>
      <c r="W30" s="1124"/>
      <c r="Z30" s="140" t="s">
        <v>270</v>
      </c>
      <c r="AA30" s="1177">
        <f>V35/(S32/R1)</f>
        <v>7.9586242000621323E-4</v>
      </c>
      <c r="AB30" s="156">
        <f>S35/(S32)</f>
        <v>3.3701221915648408E-2</v>
      </c>
      <c r="AC30" s="157">
        <f>T35/T32</f>
        <v>1.030087839425863E-2</v>
      </c>
      <c r="AD30" s="157">
        <f>T35/T32</f>
        <v>1.030087839425863E-2</v>
      </c>
      <c r="AE30" s="1180">
        <f>W35/U32</f>
        <v>2.0584333179510841E-4</v>
      </c>
      <c r="AF30" s="1182">
        <f>SUMPRODUCT(AB30:AD30,AB29:AD29)+AE30</f>
        <v>2.4006919911470918E-2</v>
      </c>
    </row>
    <row r="31" spans="1:46" ht="14.25" customHeight="1" thickBot="1" x14ac:dyDescent="0.35">
      <c r="R31" s="428" t="s">
        <v>271</v>
      </c>
      <c r="S31" s="1219"/>
      <c r="T31" s="1218"/>
      <c r="U31" s="1218"/>
      <c r="V31" s="148"/>
      <c r="W31" s="148"/>
    </row>
    <row r="32" spans="1:46" ht="14.25" customHeight="1" thickBot="1" x14ac:dyDescent="0.35">
      <c r="R32" s="429" t="s">
        <v>261</v>
      </c>
      <c r="S32" s="1218">
        <f>S28+S30</f>
        <v>33338.461538461532</v>
      </c>
      <c r="T32" s="1218">
        <f>SUM(T28:T30)</f>
        <v>24448.20512820514</v>
      </c>
      <c r="U32" s="1221">
        <f>S32+T32</f>
        <v>57786.666666666672</v>
      </c>
      <c r="V32" s="148"/>
      <c r="W32" s="148">
        <f>SUM(W28:W30)</f>
        <v>610</v>
      </c>
    </row>
    <row r="33" spans="2:25" ht="14.25" customHeight="1" thickBot="1" x14ac:dyDescent="0.35">
      <c r="R33" s="430" t="s">
        <v>272</v>
      </c>
      <c r="S33" s="1219"/>
      <c r="T33" s="1219"/>
      <c r="U33" s="1219"/>
      <c r="V33" s="154"/>
      <c r="W33" s="154"/>
    </row>
    <row r="34" spans="2:25" ht="14.25" customHeight="1" thickBot="1" x14ac:dyDescent="0.35">
      <c r="R34" s="425" t="s">
        <v>273</v>
      </c>
      <c r="S34" s="1219"/>
      <c r="T34" s="1218"/>
      <c r="U34" s="1219"/>
      <c r="V34" s="154"/>
      <c r="W34" s="154"/>
    </row>
    <row r="35" spans="2:25" ht="14.25" customHeight="1" thickBot="1" x14ac:dyDescent="0.35">
      <c r="B35" s="1484" t="s">
        <v>663</v>
      </c>
      <c r="C35" s="1484"/>
      <c r="D35" s="1484"/>
      <c r="E35" s="1484"/>
      <c r="F35" s="1484"/>
      <c r="G35" s="870"/>
      <c r="H35" s="870"/>
      <c r="I35" s="877"/>
      <c r="J35" s="877"/>
      <c r="K35" s="877"/>
      <c r="L35" s="877"/>
      <c r="R35" s="162" t="s">
        <v>253</v>
      </c>
      <c r="S35" s="1125">
        <f>$L$5</f>
        <v>1123.5468906340013</v>
      </c>
      <c r="T35" s="1125">
        <f>SUM(L6:L24)</f>
        <v>251.83798798353138</v>
      </c>
      <c r="U35" s="1184">
        <f>S35+T35+V35+W35</f>
        <v>1432.2507746841159</v>
      </c>
      <c r="V35" s="1125">
        <f>SUM(AT6:AT19)</f>
        <v>44.970896066583151</v>
      </c>
      <c r="W35" s="1125" cm="1">
        <f t="array" ref="W35:W36">L37:L38</f>
        <v>11.895</v>
      </c>
    </row>
    <row r="36" spans="2:25" ht="31" x14ac:dyDescent="0.3">
      <c r="B36" s="848" t="s">
        <v>245</v>
      </c>
      <c r="C36" s="848" t="s">
        <v>321</v>
      </c>
      <c r="D36" s="850" t="s">
        <v>645</v>
      </c>
      <c r="E36" s="847" t="s">
        <v>646</v>
      </c>
      <c r="F36" s="850" t="s">
        <v>647</v>
      </c>
      <c r="G36" s="870"/>
      <c r="H36" s="850" t="s">
        <v>647</v>
      </c>
      <c r="I36" s="850" t="s">
        <v>250</v>
      </c>
      <c r="J36" s="850" t="s">
        <v>251</v>
      </c>
      <c r="K36" s="850" t="s">
        <v>252</v>
      </c>
      <c r="L36" s="850" t="s">
        <v>253</v>
      </c>
      <c r="W36" s="14">
        <v>0.94404761904761914</v>
      </c>
    </row>
    <row r="37" spans="2:25" x14ac:dyDescent="0.3">
      <c r="B37" s="843" t="s">
        <v>178</v>
      </c>
      <c r="C37" s="844" t="s">
        <v>14</v>
      </c>
      <c r="D37" s="845">
        <v>1</v>
      </c>
      <c r="E37" s="843">
        <f>$AD$1</f>
        <v>305</v>
      </c>
      <c r="F37" s="843">
        <f>D37*E37</f>
        <v>305</v>
      </c>
      <c r="H37" s="843">
        <f>F37</f>
        <v>305</v>
      </c>
      <c r="I37" s="843">
        <f>VLOOKUP(B37,All_Ingredients!$A$1:$F$149,6,FALSE())</f>
        <v>1</v>
      </c>
      <c r="J37" s="843">
        <f>VLOOKUP(B37,All_Ingredients!$A$1:$J$149,10,FALSE())</f>
        <v>39</v>
      </c>
      <c r="K37" s="843">
        <f>(H37/I37)/1000</f>
        <v>0.30499999999999999</v>
      </c>
      <c r="L37" s="843">
        <f t="shared" ref="L37" si="14">K37*J37</f>
        <v>11.895</v>
      </c>
    </row>
    <row r="38" spans="2:25" x14ac:dyDescent="0.3">
      <c r="B38" s="843" t="s">
        <v>19</v>
      </c>
      <c r="C38" s="844" t="s">
        <v>14</v>
      </c>
      <c r="D38" s="845">
        <v>1</v>
      </c>
      <c r="E38" s="843">
        <f>$AD$1</f>
        <v>305</v>
      </c>
      <c r="F38" s="843">
        <f>D38*E38</f>
        <v>305</v>
      </c>
      <c r="H38" s="843">
        <f>F38</f>
        <v>305</v>
      </c>
      <c r="I38" s="843">
        <f>VLOOKUP(B38,All_Ingredients!$A$1:$F$149,6,FALSE())</f>
        <v>0.84</v>
      </c>
      <c r="J38" s="843">
        <f>VLOOKUP(B38,All_Ingredients!$A$1:$J$149,10,FALSE())</f>
        <v>2.6</v>
      </c>
      <c r="K38" s="843">
        <f>(H38/I38)/1000</f>
        <v>0.36309523809523814</v>
      </c>
      <c r="L38" s="843">
        <f t="shared" ref="L38" si="15">K38*J38</f>
        <v>0.94404761904761914</v>
      </c>
    </row>
    <row r="40" spans="2:25" ht="15.75" customHeight="1" x14ac:dyDescent="0.3">
      <c r="R40" s="164" t="s">
        <v>274</v>
      </c>
      <c r="S40" s="165">
        <v>0.76923076923076905</v>
      </c>
      <c r="T40" s="164" t="s">
        <v>275</v>
      </c>
      <c r="U40" s="166">
        <v>0.230769230769231</v>
      </c>
      <c r="V40" s="167">
        <f>S40+U40</f>
        <v>1</v>
      </c>
    </row>
    <row r="41" spans="2:25" ht="14.25" customHeight="1" x14ac:dyDescent="0.3">
      <c r="U41" s="168"/>
    </row>
    <row r="43" spans="2:25" ht="14.25" customHeight="1" x14ac:dyDescent="0.3">
      <c r="Q43" s="169" t="s">
        <v>276</v>
      </c>
      <c r="R43" s="169" t="s">
        <v>277</v>
      </c>
      <c r="S43" s="169" t="s">
        <v>278</v>
      </c>
      <c r="T43" s="169" t="s">
        <v>279</v>
      </c>
      <c r="U43" s="169" t="s">
        <v>280</v>
      </c>
      <c r="V43" s="169" t="s">
        <v>281</v>
      </c>
      <c r="W43" s="257" t="s">
        <v>282</v>
      </c>
      <c r="X43" s="320"/>
      <c r="Y43" s="320"/>
    </row>
    <row r="44" spans="2:25" ht="14.25" customHeight="1" x14ac:dyDescent="0.3">
      <c r="Q44" s="171">
        <v>17728</v>
      </c>
      <c r="R44" s="172">
        <f>D51</f>
        <v>10000</v>
      </c>
      <c r="S44" s="173">
        <v>0.40899999999999997</v>
      </c>
      <c r="T44" s="173">
        <v>0.59099999999999997</v>
      </c>
      <c r="U44" s="241">
        <f>R44*S44</f>
        <v>4089.9999999999995</v>
      </c>
      <c r="V44" s="175">
        <f>R44*T44</f>
        <v>5910</v>
      </c>
      <c r="W44" s="259">
        <f>Q44-U44</f>
        <v>13638</v>
      </c>
      <c r="X44" s="297"/>
    </row>
    <row r="45" spans="2:25" x14ac:dyDescent="0.3">
      <c r="B45" s="14" t="s">
        <v>314</v>
      </c>
    </row>
    <row r="49" spans="1:10" ht="14.25" customHeight="1" x14ac:dyDescent="0.3"/>
    <row r="50" spans="1:10" ht="14.25" customHeight="1" x14ac:dyDescent="0.3">
      <c r="B50" s="144"/>
      <c r="C50" s="144" t="s">
        <v>237</v>
      </c>
      <c r="D50" s="144" t="s">
        <v>283</v>
      </c>
      <c r="E50" s="431"/>
      <c r="F50" s="99"/>
      <c r="G50" s="144" t="s">
        <v>284</v>
      </c>
      <c r="H50" s="144" t="s">
        <v>237</v>
      </c>
      <c r="I50" s="144" t="s">
        <v>285</v>
      </c>
      <c r="J50" s="144" t="s">
        <v>286</v>
      </c>
    </row>
    <row r="51" spans="1:10" ht="14.25" customHeight="1" x14ac:dyDescent="0.3">
      <c r="B51" s="179" t="s">
        <v>287</v>
      </c>
      <c r="C51" s="180">
        <f>10/$K$1</f>
        <v>10.204081632653061</v>
      </c>
      <c r="D51" s="181">
        <f>$C$1*10</f>
        <v>10000</v>
      </c>
      <c r="E51" s="182"/>
      <c r="F51" s="99"/>
      <c r="G51" s="179" t="s">
        <v>287</v>
      </c>
      <c r="H51" s="276">
        <f>I51/$D$5</f>
        <v>10</v>
      </c>
      <c r="I51" s="180">
        <f>J51/$R$1</f>
        <v>23115.254237288136</v>
      </c>
      <c r="J51" s="180">
        <f>$W$44</f>
        <v>13638</v>
      </c>
    </row>
    <row r="52" spans="1:10" ht="14.25" customHeight="1" x14ac:dyDescent="0.3">
      <c r="B52" s="230" t="s">
        <v>266</v>
      </c>
      <c r="C52" s="231">
        <f>$I$1</f>
        <v>24.947148090005243</v>
      </c>
      <c r="D52" s="232">
        <f>$E$1</f>
        <v>24448.20512820514</v>
      </c>
      <c r="E52" s="99"/>
      <c r="F52" s="99"/>
      <c r="G52" s="147" t="s">
        <v>266</v>
      </c>
      <c r="H52" s="209">
        <f>I52/$D$5</f>
        <v>24.445271695601651</v>
      </c>
      <c r="I52" s="175">
        <f>J52/$R$1</f>
        <v>56505.86701434158</v>
      </c>
      <c r="J52" s="183">
        <f>$S$32</f>
        <v>33338.461538461532</v>
      </c>
    </row>
    <row r="53" spans="1:10" ht="14.25" customHeight="1" x14ac:dyDescent="0.3">
      <c r="B53" s="230" t="s">
        <v>288</v>
      </c>
      <c r="C53" s="233">
        <f>MIN(C52, C51)</f>
        <v>10.204081632653061</v>
      </c>
      <c r="D53" s="232">
        <f>(C53*$K$1)*$C$1</f>
        <v>10000</v>
      </c>
      <c r="E53" s="99"/>
      <c r="F53" s="99"/>
      <c r="G53" s="147" t="s">
        <v>288</v>
      </c>
      <c r="H53" s="186">
        <f>MIN(H52,H51)</f>
        <v>10</v>
      </c>
      <c r="I53" s="175">
        <f>J53/$R$1</f>
        <v>23115.254237288136</v>
      </c>
      <c r="J53" s="175">
        <f>MIN(J52,J51)</f>
        <v>13638</v>
      </c>
    </row>
    <row r="54" spans="1:10" ht="14.25" customHeight="1" x14ac:dyDescent="0.3">
      <c r="B54" s="230" t="s">
        <v>289</v>
      </c>
      <c r="C54" s="233">
        <f>MIN(MAX(C52-C53,0),C51)</f>
        <v>10.204081632653061</v>
      </c>
      <c r="D54" s="232">
        <f>(C54*$K$1)*$C$1</f>
        <v>10000</v>
      </c>
      <c r="E54" s="99"/>
      <c r="F54" s="99"/>
      <c r="G54" s="147" t="s">
        <v>289</v>
      </c>
      <c r="H54" s="186">
        <f>MIN(MAX(H52-H53),H51)</f>
        <v>10</v>
      </c>
      <c r="I54" s="175">
        <f>J54/$R$1</f>
        <v>23115.254237288136</v>
      </c>
      <c r="J54" s="175">
        <f>MIN(MAX(J52-J53),J51)</f>
        <v>13638</v>
      </c>
    </row>
    <row r="55" spans="1:10" x14ac:dyDescent="0.3">
      <c r="B55" s="230" t="s">
        <v>290</v>
      </c>
      <c r="C55" s="233">
        <f>MIN(MAX(C52-C53-C54,0),C51)</f>
        <v>4.5389848246991207</v>
      </c>
      <c r="D55" s="232">
        <f>(C55*$K$1)*$C$1</f>
        <v>4448.205128205138</v>
      </c>
      <c r="E55" s="99"/>
      <c r="F55" s="99"/>
      <c r="G55" s="144" t="s">
        <v>290</v>
      </c>
      <c r="H55" s="561">
        <f>MIN(MAX(H52-H53-H54),H51)</f>
        <v>4.4452716956016509</v>
      </c>
      <c r="I55" s="175">
        <f>J55/$R$1</f>
        <v>10275.358539765308</v>
      </c>
      <c r="J55" s="175">
        <f>MIN(MAX(J52-J53-J54),J51)</f>
        <v>6062.4615384615317</v>
      </c>
    </row>
    <row r="62" spans="1:10" ht="17.75" customHeight="1" x14ac:dyDescent="0.3">
      <c r="A62" s="922"/>
      <c r="B62" s="1438" t="str">
        <f>" دجاج تشانجيزي 1 / " &amp; COUNTIF($C$53:$C$55, "&gt;0")</f>
        <v xml:space="preserve"> دجاج تشانجيزي 1 / 3</v>
      </c>
      <c r="C62" s="1439"/>
      <c r="D62" s="1439"/>
      <c r="E62" s="1439"/>
      <c r="F62" s="1439"/>
      <c r="G62" s="1439"/>
      <c r="H62" s="1439"/>
    </row>
    <row r="63" spans="1:10" ht="17.75" customHeight="1" x14ac:dyDescent="0.3">
      <c r="A63" s="922"/>
      <c r="B63" s="1436" t="str">
        <f>" Changezi Chicken 1 / " &amp; COUNTIF($C$53:$C$55, "&gt;0")</f>
        <v xml:space="preserve"> Changezi Chicken 1 / 3</v>
      </c>
      <c r="C63" s="1437"/>
      <c r="D63" s="1437"/>
      <c r="E63" s="1437"/>
      <c r="F63" s="1437"/>
      <c r="G63" s="1437"/>
      <c r="H63" s="1437"/>
    </row>
    <row r="64" spans="1:10" ht="36.75" customHeight="1" x14ac:dyDescent="0.25">
      <c r="A64" s="90"/>
      <c r="B64" s="242" t="s">
        <v>245</v>
      </c>
      <c r="C64" s="243" t="s">
        <v>246</v>
      </c>
      <c r="D64" s="244" t="s">
        <v>235</v>
      </c>
      <c r="E64" s="217" t="s">
        <v>238</v>
      </c>
      <c r="F64" s="217" t="s">
        <v>247</v>
      </c>
      <c r="G64" s="244" t="s">
        <v>248</v>
      </c>
      <c r="H64" s="217" t="s">
        <v>249</v>
      </c>
    </row>
    <row r="65" spans="1:8" ht="14.25" customHeight="1" x14ac:dyDescent="0.3">
      <c r="A65" s="127" t="s">
        <v>225</v>
      </c>
      <c r="B65" s="122" t="str">
        <f t="shared" ref="B65:D83" si="16">B5</f>
        <v>Chicken - دجاج</v>
      </c>
      <c r="C65" s="122" t="str">
        <f t="shared" si="16"/>
        <v>gm</v>
      </c>
      <c r="D65" s="262">
        <f t="shared" si="16"/>
        <v>2311.5254237288136</v>
      </c>
      <c r="E65" s="432">
        <f>H53</f>
        <v>10</v>
      </c>
      <c r="F65" s="298">
        <f t="shared" ref="F65:F85" si="17">F5</f>
        <v>1</v>
      </c>
      <c r="G65" s="118">
        <f t="shared" ref="G65:G83" si="18">D65*E65</f>
        <v>23115.254237288136</v>
      </c>
      <c r="H65" s="206">
        <f t="shared" ref="H65:H83" si="19">G65*F65</f>
        <v>23115.254237288136</v>
      </c>
    </row>
    <row r="66" spans="1:8" ht="14.25" customHeight="1" x14ac:dyDescent="0.3">
      <c r="A66" s="127" t="s">
        <v>13</v>
      </c>
      <c r="B66" s="122" t="str">
        <f t="shared" si="16"/>
        <v>Onion - بصل</v>
      </c>
      <c r="C66" s="122" t="str">
        <f t="shared" si="16"/>
        <v>gm</v>
      </c>
      <c r="D66" s="122">
        <f t="shared" si="16"/>
        <v>200</v>
      </c>
      <c r="E66" s="432">
        <f t="shared" ref="E66:E85" si="20">$C$53</f>
        <v>10.204081632653061</v>
      </c>
      <c r="F66" s="298">
        <f t="shared" si="17"/>
        <v>0.95</v>
      </c>
      <c r="G66" s="118">
        <f t="shared" si="18"/>
        <v>2040.8163265306123</v>
      </c>
      <c r="H66" s="206">
        <f t="shared" si="19"/>
        <v>1938.7755102040817</v>
      </c>
    </row>
    <row r="67" spans="1:8" ht="14.25" customHeight="1" x14ac:dyDescent="0.3">
      <c r="A67" s="127" t="s">
        <v>13</v>
      </c>
      <c r="B67" s="122" t="str">
        <f t="shared" si="16"/>
        <v>Tomato - طماطم</v>
      </c>
      <c r="C67" s="122" t="str">
        <f t="shared" si="16"/>
        <v>gm</v>
      </c>
      <c r="D67" s="122">
        <f t="shared" si="16"/>
        <v>450</v>
      </c>
      <c r="E67" s="432">
        <f t="shared" si="20"/>
        <v>10.204081632653061</v>
      </c>
      <c r="F67" s="298">
        <f t="shared" si="17"/>
        <v>1</v>
      </c>
      <c r="G67" s="118">
        <f t="shared" si="18"/>
        <v>4591.8367346938776</v>
      </c>
      <c r="H67" s="206">
        <f t="shared" si="19"/>
        <v>4591.8367346938776</v>
      </c>
    </row>
    <row r="68" spans="1:8" ht="14.25" customHeight="1" x14ac:dyDescent="0.3">
      <c r="A68" s="127" t="s">
        <v>56</v>
      </c>
      <c r="B68" s="122" t="str">
        <f t="shared" si="16"/>
        <v>Ginger - زنجبيل</v>
      </c>
      <c r="C68" s="122" t="str">
        <f t="shared" si="16"/>
        <v>gm</v>
      </c>
      <c r="D68" s="122">
        <f t="shared" si="16"/>
        <v>20</v>
      </c>
      <c r="E68" s="432">
        <f t="shared" si="20"/>
        <v>10.204081632653061</v>
      </c>
      <c r="F68" s="298">
        <f t="shared" si="17"/>
        <v>0.9</v>
      </c>
      <c r="G68" s="118">
        <f t="shared" si="18"/>
        <v>204.08163265306121</v>
      </c>
      <c r="H68" s="206">
        <f t="shared" si="19"/>
        <v>183.67346938775509</v>
      </c>
    </row>
    <row r="69" spans="1:8" ht="14.25" customHeight="1" x14ac:dyDescent="0.3">
      <c r="A69" s="127" t="s">
        <v>13</v>
      </c>
      <c r="B69" s="122" t="str">
        <f t="shared" si="16"/>
        <v>Garlic - ثوم مقشر</v>
      </c>
      <c r="C69" s="122" t="str">
        <f t="shared" si="16"/>
        <v>gm</v>
      </c>
      <c r="D69" s="122">
        <f t="shared" si="16"/>
        <v>20</v>
      </c>
      <c r="E69" s="432">
        <f t="shared" si="20"/>
        <v>10.204081632653061</v>
      </c>
      <c r="F69" s="298">
        <f t="shared" si="17"/>
        <v>0.9</v>
      </c>
      <c r="G69" s="118">
        <f t="shared" si="18"/>
        <v>204.08163265306121</v>
      </c>
      <c r="H69" s="206">
        <f t="shared" si="19"/>
        <v>183.67346938775509</v>
      </c>
    </row>
    <row r="70" spans="1:8" ht="14.25" customHeight="1" x14ac:dyDescent="0.3">
      <c r="A70" s="127" t="s">
        <v>13</v>
      </c>
      <c r="B70" s="122" t="str">
        <f t="shared" si="16"/>
        <v>Green Chilli Pepper - فلفل أخضر حار</v>
      </c>
      <c r="C70" s="122" t="str">
        <f t="shared" si="16"/>
        <v>gm</v>
      </c>
      <c r="D70" s="122">
        <f t="shared" si="16"/>
        <v>10</v>
      </c>
      <c r="E70" s="432">
        <f t="shared" si="20"/>
        <v>10.204081632653061</v>
      </c>
      <c r="F70" s="298">
        <f t="shared" si="17"/>
        <v>0.75</v>
      </c>
      <c r="G70" s="118">
        <f t="shared" si="18"/>
        <v>102.0408163265306</v>
      </c>
      <c r="H70" s="206">
        <f t="shared" si="19"/>
        <v>76.530612244897952</v>
      </c>
    </row>
    <row r="71" spans="1:8" ht="14.25" customHeight="1" x14ac:dyDescent="0.3">
      <c r="A71" s="127" t="s">
        <v>179</v>
      </c>
      <c r="B71" s="122" t="str">
        <f t="shared" si="16"/>
        <v>Cashew Nut - كاجو</v>
      </c>
      <c r="C71" s="122" t="str">
        <f t="shared" si="16"/>
        <v>gm</v>
      </c>
      <c r="D71" s="122">
        <f t="shared" si="16"/>
        <v>25</v>
      </c>
      <c r="E71" s="432">
        <f t="shared" si="20"/>
        <v>10.204081632653061</v>
      </c>
      <c r="F71" s="298">
        <f t="shared" si="17"/>
        <v>1</v>
      </c>
      <c r="G71" s="118">
        <f t="shared" si="18"/>
        <v>255.10204081632654</v>
      </c>
      <c r="H71" s="206">
        <f t="shared" si="19"/>
        <v>255.10204081632654</v>
      </c>
    </row>
    <row r="72" spans="1:8" ht="14.25" customHeight="1" x14ac:dyDescent="0.3">
      <c r="A72" s="127" t="s">
        <v>95</v>
      </c>
      <c r="B72" s="122" t="str">
        <f t="shared" si="16"/>
        <v>Red Chilli Powder - شطة حمراء مطحونة</v>
      </c>
      <c r="C72" s="122" t="str">
        <f t="shared" si="16"/>
        <v>gm</v>
      </c>
      <c r="D72" s="122">
        <f t="shared" si="16"/>
        <v>3</v>
      </c>
      <c r="E72" s="432">
        <f t="shared" si="20"/>
        <v>10.204081632653061</v>
      </c>
      <c r="F72" s="298">
        <f t="shared" si="17"/>
        <v>0.9</v>
      </c>
      <c r="G72" s="118">
        <f t="shared" si="18"/>
        <v>30.612244897959183</v>
      </c>
      <c r="H72" s="206">
        <f t="shared" si="19"/>
        <v>27.551020408163264</v>
      </c>
    </row>
    <row r="73" spans="1:8" ht="14.25" customHeight="1" x14ac:dyDescent="0.3">
      <c r="A73" s="127" t="s">
        <v>154</v>
      </c>
      <c r="B73" s="122" t="str">
        <f t="shared" si="16"/>
        <v>Yogurt - زبادي</v>
      </c>
      <c r="C73" s="122" t="str">
        <f t="shared" si="16"/>
        <v>gm</v>
      </c>
      <c r="D73" s="122">
        <f t="shared" si="16"/>
        <v>300</v>
      </c>
      <c r="E73" s="432">
        <f t="shared" si="20"/>
        <v>10.204081632653061</v>
      </c>
      <c r="F73" s="298">
        <f t="shared" si="17"/>
        <v>0.75</v>
      </c>
      <c r="G73" s="118">
        <f t="shared" si="18"/>
        <v>3061.2244897959181</v>
      </c>
      <c r="H73" s="206">
        <f t="shared" si="19"/>
        <v>2295.9183673469388</v>
      </c>
    </row>
    <row r="74" spans="1:8" ht="14.25" customHeight="1" x14ac:dyDescent="0.3">
      <c r="A74" s="127" t="s">
        <v>95</v>
      </c>
      <c r="B74" s="122" t="str">
        <f t="shared" si="16"/>
        <v>Curry Powder - كاري بودرة</v>
      </c>
      <c r="C74" s="122" t="str">
        <f t="shared" si="16"/>
        <v>gm</v>
      </c>
      <c r="D74" s="122">
        <f t="shared" si="16"/>
        <v>10</v>
      </c>
      <c r="E74" s="432">
        <f t="shared" si="20"/>
        <v>10.204081632653061</v>
      </c>
      <c r="F74" s="298">
        <f t="shared" si="17"/>
        <v>0.75</v>
      </c>
      <c r="G74" s="118">
        <f t="shared" si="18"/>
        <v>102.0408163265306</v>
      </c>
      <c r="H74" s="206">
        <f t="shared" si="19"/>
        <v>76.530612244897952</v>
      </c>
    </row>
    <row r="75" spans="1:8" ht="14.25" customHeight="1" x14ac:dyDescent="0.3">
      <c r="A75" s="127" t="s">
        <v>95</v>
      </c>
      <c r="B75" s="122" t="str">
        <f t="shared" si="16"/>
        <v>Cumin Powder - كمون مطحون</v>
      </c>
      <c r="C75" s="122" t="str">
        <f t="shared" si="16"/>
        <v>gm</v>
      </c>
      <c r="D75" s="122">
        <f t="shared" si="16"/>
        <v>10</v>
      </c>
      <c r="E75" s="432">
        <f t="shared" si="20"/>
        <v>10.204081632653061</v>
      </c>
      <c r="F75" s="298">
        <f t="shared" si="17"/>
        <v>0.75</v>
      </c>
      <c r="G75" s="118">
        <f t="shared" si="18"/>
        <v>102.0408163265306</v>
      </c>
      <c r="H75" s="206">
        <f t="shared" si="19"/>
        <v>76.530612244897952</v>
      </c>
    </row>
    <row r="76" spans="1:8" ht="14.25" customHeight="1" x14ac:dyDescent="0.3">
      <c r="A76" s="127" t="s">
        <v>95</v>
      </c>
      <c r="B76" s="122" t="str">
        <f t="shared" si="16"/>
        <v>Coriander Powder - كزبرة مطحونة</v>
      </c>
      <c r="C76" s="122" t="str">
        <f t="shared" si="16"/>
        <v>gm</v>
      </c>
      <c r="D76" s="122">
        <f t="shared" si="16"/>
        <v>10</v>
      </c>
      <c r="E76" s="432">
        <f t="shared" si="20"/>
        <v>10.204081632653061</v>
      </c>
      <c r="F76" s="298">
        <f t="shared" si="17"/>
        <v>0.75</v>
      </c>
      <c r="G76" s="118">
        <f t="shared" si="18"/>
        <v>102.0408163265306</v>
      </c>
      <c r="H76" s="206">
        <f t="shared" si="19"/>
        <v>76.530612244897952</v>
      </c>
    </row>
    <row r="77" spans="1:8" ht="14.25" customHeight="1" x14ac:dyDescent="0.3">
      <c r="A77" s="127" t="s">
        <v>62</v>
      </c>
      <c r="B77" s="122" t="str">
        <f t="shared" si="16"/>
        <v>Coriander Leaves - كزبرة خضراء</v>
      </c>
      <c r="C77" s="122" t="str">
        <f t="shared" si="16"/>
        <v>gm</v>
      </c>
      <c r="D77" s="122">
        <f t="shared" si="16"/>
        <v>5</v>
      </c>
      <c r="E77" s="432">
        <f t="shared" si="20"/>
        <v>10.204081632653061</v>
      </c>
      <c r="F77" s="298">
        <f t="shared" si="17"/>
        <v>1</v>
      </c>
      <c r="G77" s="118">
        <f t="shared" si="18"/>
        <v>51.020408163265301</v>
      </c>
      <c r="H77" s="206">
        <f t="shared" si="19"/>
        <v>51.020408163265301</v>
      </c>
    </row>
    <row r="78" spans="1:8" ht="14.25" customHeight="1" x14ac:dyDescent="0.3">
      <c r="A78" s="127" t="s">
        <v>215</v>
      </c>
      <c r="B78" s="122" t="str">
        <f t="shared" si="16"/>
        <v>Saffron yellow color powder - لون صفار زعفران بودر</v>
      </c>
      <c r="C78" s="122" t="str">
        <f t="shared" si="16"/>
        <v>gm</v>
      </c>
      <c r="D78" s="122">
        <f t="shared" si="16"/>
        <v>2</v>
      </c>
      <c r="E78" s="432">
        <f t="shared" si="20"/>
        <v>10.204081632653061</v>
      </c>
      <c r="F78" s="298">
        <f t="shared" si="17"/>
        <v>0.9</v>
      </c>
      <c r="G78" s="118">
        <f t="shared" si="18"/>
        <v>20.408163265306122</v>
      </c>
      <c r="H78" s="206">
        <f t="shared" si="19"/>
        <v>18.367346938775512</v>
      </c>
    </row>
    <row r="79" spans="1:8" ht="14.25" customHeight="1" x14ac:dyDescent="0.3">
      <c r="A79" s="127" t="s">
        <v>215</v>
      </c>
      <c r="B79" s="122" t="str">
        <f t="shared" si="16"/>
        <v>Orange Color - لون برتقالي</v>
      </c>
      <c r="C79" s="122" t="str">
        <f t="shared" si="16"/>
        <v>gm</v>
      </c>
      <c r="D79" s="122">
        <f t="shared" si="16"/>
        <v>1</v>
      </c>
      <c r="E79" s="432">
        <f t="shared" si="20"/>
        <v>10.204081632653061</v>
      </c>
      <c r="F79" s="298">
        <f t="shared" si="17"/>
        <v>1</v>
      </c>
      <c r="G79" s="118">
        <f t="shared" si="18"/>
        <v>10.204081632653061</v>
      </c>
      <c r="H79" s="206">
        <f t="shared" si="19"/>
        <v>10.204081632653061</v>
      </c>
    </row>
    <row r="80" spans="1:8" ht="14.25" customHeight="1" x14ac:dyDescent="0.3">
      <c r="A80" s="127" t="s">
        <v>215</v>
      </c>
      <c r="B80" s="122" t="str">
        <f t="shared" si="16"/>
        <v>Charcoal - فحم</v>
      </c>
      <c r="C80" s="122" t="str">
        <f t="shared" si="16"/>
        <v>gm</v>
      </c>
      <c r="D80" s="122">
        <f t="shared" si="16"/>
        <v>10</v>
      </c>
      <c r="E80" s="432">
        <f t="shared" si="20"/>
        <v>10.204081632653061</v>
      </c>
      <c r="F80" s="298">
        <f t="shared" si="17"/>
        <v>0.5</v>
      </c>
      <c r="G80" s="118">
        <f t="shared" si="18"/>
        <v>102.0408163265306</v>
      </c>
      <c r="H80" s="206">
        <f t="shared" si="19"/>
        <v>51.020408163265301</v>
      </c>
    </row>
    <row r="81" spans="1:8" ht="14.25" customHeight="1" x14ac:dyDescent="0.3">
      <c r="A81" s="127" t="s">
        <v>95</v>
      </c>
      <c r="B81" s="122" t="str">
        <f t="shared" si="16"/>
        <v>Salt - ملح</v>
      </c>
      <c r="C81" s="122" t="str">
        <f t="shared" si="16"/>
        <v>gm</v>
      </c>
      <c r="D81" s="122">
        <f t="shared" si="16"/>
        <v>11</v>
      </c>
      <c r="E81" s="432">
        <f t="shared" si="20"/>
        <v>10.204081632653061</v>
      </c>
      <c r="F81" s="298">
        <f t="shared" si="17"/>
        <v>0.75</v>
      </c>
      <c r="G81" s="118">
        <f t="shared" si="18"/>
        <v>112.24489795918367</v>
      </c>
      <c r="H81" s="206">
        <f t="shared" si="19"/>
        <v>84.183673469387756</v>
      </c>
    </row>
    <row r="82" spans="1:8" ht="14.25" customHeight="1" x14ac:dyDescent="0.3">
      <c r="A82" s="127" t="s">
        <v>154</v>
      </c>
      <c r="B82" s="122" t="str">
        <f t="shared" si="16"/>
        <v>Butter - زبدة</v>
      </c>
      <c r="C82" s="122" t="str">
        <f t="shared" si="16"/>
        <v>gm</v>
      </c>
      <c r="D82" s="122">
        <f t="shared" si="16"/>
        <v>40</v>
      </c>
      <c r="E82" s="432">
        <f t="shared" si="20"/>
        <v>10.204081632653061</v>
      </c>
      <c r="F82" s="298">
        <f t="shared" si="17"/>
        <v>0.9</v>
      </c>
      <c r="G82" s="118">
        <f t="shared" si="18"/>
        <v>408.16326530612241</v>
      </c>
      <c r="H82" s="206">
        <f t="shared" si="19"/>
        <v>367.34693877551018</v>
      </c>
    </row>
    <row r="83" spans="1:8" ht="14.25" customHeight="1" x14ac:dyDescent="0.3">
      <c r="A83" s="127" t="s">
        <v>154</v>
      </c>
      <c r="B83" s="122" t="str">
        <f t="shared" si="16"/>
        <v>Cooking Cream - كريمة طبخ</v>
      </c>
      <c r="C83" s="122" t="str">
        <f t="shared" si="16"/>
        <v>ml</v>
      </c>
      <c r="D83" s="122">
        <f t="shared" si="16"/>
        <v>250</v>
      </c>
      <c r="E83" s="432">
        <f t="shared" si="20"/>
        <v>10.204081632653061</v>
      </c>
      <c r="F83" s="298">
        <f t="shared" si="17"/>
        <v>1</v>
      </c>
      <c r="G83" s="118">
        <f t="shared" si="18"/>
        <v>2551.0204081632651</v>
      </c>
      <c r="H83" s="206">
        <f t="shared" si="19"/>
        <v>2551.0204081632651</v>
      </c>
    </row>
    <row r="84" spans="1:8" ht="14.25" customHeight="1" x14ac:dyDescent="0.3">
      <c r="A84" s="127"/>
      <c r="B84" s="122" t="str">
        <f t="shared" ref="B84:D84" si="21">B24</f>
        <v>Kasuri Methi - ورق حلبة مجففة</v>
      </c>
      <c r="C84" s="122" t="str">
        <f t="shared" si="21"/>
        <v>gm</v>
      </c>
      <c r="D84" s="122">
        <f t="shared" si="21"/>
        <v>2</v>
      </c>
      <c r="E84" s="432">
        <f t="shared" si="20"/>
        <v>10.204081632653061</v>
      </c>
      <c r="F84" s="298">
        <f t="shared" si="17"/>
        <v>1</v>
      </c>
      <c r="G84" s="118">
        <f t="shared" ref="G84:G85" si="22">D84*E84</f>
        <v>20.408163265306122</v>
      </c>
      <c r="H84" s="206">
        <f t="shared" ref="H84:H85" si="23">G84*F84</f>
        <v>20.408163265306122</v>
      </c>
    </row>
    <row r="85" spans="1:8" ht="20.25" customHeight="1" x14ac:dyDescent="0.3">
      <c r="A85" s="127" t="s">
        <v>95</v>
      </c>
      <c r="B85" s="122" t="str">
        <f t="shared" ref="B85:D85" si="24">B25</f>
        <v>Corn Starch - نشا ذرة</v>
      </c>
      <c r="C85" s="122" t="str">
        <f t="shared" si="24"/>
        <v>gm</v>
      </c>
      <c r="D85" s="122">
        <f t="shared" si="24"/>
        <v>20</v>
      </c>
      <c r="E85" s="432">
        <f t="shared" si="20"/>
        <v>10.204081632653061</v>
      </c>
      <c r="F85" s="298">
        <f t="shared" si="17"/>
        <v>0.75</v>
      </c>
      <c r="G85" s="118">
        <f t="shared" si="22"/>
        <v>204.08163265306121</v>
      </c>
      <c r="H85" s="206">
        <f t="shared" si="23"/>
        <v>153.0612244897959</v>
      </c>
    </row>
    <row r="86" spans="1:8" ht="19.25" customHeight="1" x14ac:dyDescent="0.3">
      <c r="A86" s="210"/>
      <c r="B86" s="197" t="s">
        <v>291</v>
      </c>
      <c r="C86" s="199" t="s">
        <v>277</v>
      </c>
      <c r="E86" s="199" t="s">
        <v>292</v>
      </c>
      <c r="G86" s="878" t="s">
        <v>268</v>
      </c>
      <c r="H86" s="878" t="s">
        <v>703</v>
      </c>
    </row>
    <row r="87" spans="1:8" ht="14.25" customHeight="1" x14ac:dyDescent="0.4">
      <c r="A87" s="210"/>
      <c r="B87" s="198">
        <f>$J$53</f>
        <v>13638</v>
      </c>
      <c r="C87" s="198">
        <f>E87+G87</f>
        <v>10000</v>
      </c>
      <c r="D87" s="915"/>
      <c r="E87" s="198">
        <f>$D$53*$S$44</f>
        <v>4089.9999999999995</v>
      </c>
      <c r="F87" s="919"/>
      <c r="G87" s="198">
        <f>$D$53*$T$44</f>
        <v>5910</v>
      </c>
      <c r="H87" s="198">
        <f>B87+E87</f>
        <v>17728</v>
      </c>
    </row>
    <row r="88" spans="1:8" ht="17.75" customHeight="1" x14ac:dyDescent="0.3">
      <c r="B88" s="99"/>
      <c r="E88" s="91"/>
      <c r="F88" s="99"/>
    </row>
    <row r="89" spans="1:8" ht="17.75" customHeight="1" x14ac:dyDescent="0.3">
      <c r="A89" s="922"/>
      <c r="B89" s="1438" t="str">
        <f>" دجاج تشانجيزي 2 / " &amp; COUNTIF($C$53:$C$55, "&gt;0")</f>
        <v xml:space="preserve"> دجاج تشانجيزي 2 / 3</v>
      </c>
      <c r="C89" s="1439"/>
      <c r="D89" s="1439"/>
      <c r="E89" s="1439"/>
      <c r="F89" s="1439"/>
      <c r="G89" s="1439"/>
      <c r="H89" s="1439"/>
    </row>
    <row r="90" spans="1:8" ht="36.75" customHeight="1" x14ac:dyDescent="0.3">
      <c r="A90" s="922"/>
      <c r="B90" s="1436" t="str">
        <f>" Changezi Chicken 2 / " &amp; COUNTIF($C$53:$C$55, "&gt;0")</f>
        <v xml:space="preserve"> Changezi Chicken 2 / 3</v>
      </c>
      <c r="C90" s="1437"/>
      <c r="D90" s="1437"/>
      <c r="E90" s="1437"/>
      <c r="F90" s="1437"/>
      <c r="G90" s="1437"/>
      <c r="H90" s="1437"/>
    </row>
    <row r="91" spans="1:8" ht="14.25" customHeight="1" x14ac:dyDescent="0.25">
      <c r="A91" s="90"/>
      <c r="B91" s="242" t="s">
        <v>245</v>
      </c>
      <c r="C91" s="243" t="s">
        <v>246</v>
      </c>
      <c r="D91" s="244" t="s">
        <v>235</v>
      </c>
      <c r="E91" s="217" t="s">
        <v>238</v>
      </c>
      <c r="F91" s="217" t="s">
        <v>247</v>
      </c>
      <c r="G91" s="244" t="s">
        <v>248</v>
      </c>
      <c r="H91" s="217" t="s">
        <v>249</v>
      </c>
    </row>
    <row r="92" spans="1:8" ht="14.25" customHeight="1" x14ac:dyDescent="0.3">
      <c r="A92" s="127" t="s">
        <v>225</v>
      </c>
      <c r="B92" s="122" t="str">
        <f t="shared" ref="B92:D112" si="25">B5</f>
        <v>Chicken - دجاج</v>
      </c>
      <c r="C92" s="122" t="str">
        <f t="shared" si="25"/>
        <v>gm</v>
      </c>
      <c r="D92" s="262">
        <f t="shared" si="25"/>
        <v>2311.5254237288136</v>
      </c>
      <c r="E92" s="196">
        <f>$H$54</f>
        <v>10</v>
      </c>
      <c r="F92" s="298">
        <f t="shared" ref="F92:F112" si="26">F5</f>
        <v>1</v>
      </c>
      <c r="G92" s="118">
        <f t="shared" ref="G92:G110" si="27">D92*E92</f>
        <v>23115.254237288136</v>
      </c>
      <c r="H92" s="206">
        <f t="shared" ref="H92:H110" si="28">G92*F92</f>
        <v>23115.254237288136</v>
      </c>
    </row>
    <row r="93" spans="1:8" ht="14.25" customHeight="1" x14ac:dyDescent="0.3">
      <c r="A93" s="127" t="s">
        <v>13</v>
      </c>
      <c r="B93" s="122" t="str">
        <f t="shared" si="25"/>
        <v>Onion - بصل</v>
      </c>
      <c r="C93" s="122" t="str">
        <f t="shared" si="25"/>
        <v>gm</v>
      </c>
      <c r="D93" s="122">
        <f t="shared" si="25"/>
        <v>200</v>
      </c>
      <c r="E93" s="196">
        <f t="shared" ref="E93:E112" si="29">$C$54</f>
        <v>10.204081632653061</v>
      </c>
      <c r="F93" s="298">
        <f t="shared" si="26"/>
        <v>0.95</v>
      </c>
      <c r="G93" s="118">
        <f t="shared" si="27"/>
        <v>2040.8163265306123</v>
      </c>
      <c r="H93" s="206">
        <f t="shared" si="28"/>
        <v>1938.7755102040817</v>
      </c>
    </row>
    <row r="94" spans="1:8" ht="14.25" customHeight="1" x14ac:dyDescent="0.3">
      <c r="A94" s="127" t="s">
        <v>13</v>
      </c>
      <c r="B94" s="122" t="str">
        <f t="shared" si="25"/>
        <v>Tomato - طماطم</v>
      </c>
      <c r="C94" s="122" t="str">
        <f t="shared" si="25"/>
        <v>gm</v>
      </c>
      <c r="D94" s="122">
        <f t="shared" si="25"/>
        <v>450</v>
      </c>
      <c r="E94" s="196">
        <f t="shared" si="29"/>
        <v>10.204081632653061</v>
      </c>
      <c r="F94" s="298">
        <f t="shared" si="26"/>
        <v>1</v>
      </c>
      <c r="G94" s="118">
        <f t="shared" si="27"/>
        <v>4591.8367346938776</v>
      </c>
      <c r="H94" s="206">
        <f t="shared" si="28"/>
        <v>4591.8367346938776</v>
      </c>
    </row>
    <row r="95" spans="1:8" ht="14.25" customHeight="1" x14ac:dyDescent="0.3">
      <c r="A95" s="127" t="s">
        <v>56</v>
      </c>
      <c r="B95" s="122" t="str">
        <f t="shared" si="25"/>
        <v>Ginger - زنجبيل</v>
      </c>
      <c r="C95" s="122" t="str">
        <f t="shared" si="25"/>
        <v>gm</v>
      </c>
      <c r="D95" s="122">
        <f t="shared" si="25"/>
        <v>20</v>
      </c>
      <c r="E95" s="196">
        <f t="shared" si="29"/>
        <v>10.204081632653061</v>
      </c>
      <c r="F95" s="298">
        <f t="shared" si="26"/>
        <v>0.9</v>
      </c>
      <c r="G95" s="118">
        <f t="shared" si="27"/>
        <v>204.08163265306121</v>
      </c>
      <c r="H95" s="206">
        <f t="shared" si="28"/>
        <v>183.67346938775509</v>
      </c>
    </row>
    <row r="96" spans="1:8" ht="14.25" customHeight="1" x14ac:dyDescent="0.3">
      <c r="A96" s="127" t="s">
        <v>13</v>
      </c>
      <c r="B96" s="122" t="str">
        <f t="shared" si="25"/>
        <v>Garlic - ثوم مقشر</v>
      </c>
      <c r="C96" s="122" t="str">
        <f t="shared" si="25"/>
        <v>gm</v>
      </c>
      <c r="D96" s="122">
        <f t="shared" si="25"/>
        <v>20</v>
      </c>
      <c r="E96" s="196">
        <f t="shared" si="29"/>
        <v>10.204081632653061</v>
      </c>
      <c r="F96" s="298">
        <f t="shared" si="26"/>
        <v>0.9</v>
      </c>
      <c r="G96" s="118">
        <f t="shared" si="27"/>
        <v>204.08163265306121</v>
      </c>
      <c r="H96" s="206">
        <f t="shared" si="28"/>
        <v>183.67346938775509</v>
      </c>
    </row>
    <row r="97" spans="1:8" ht="14.25" customHeight="1" x14ac:dyDescent="0.3">
      <c r="A97" s="127" t="s">
        <v>13</v>
      </c>
      <c r="B97" s="122" t="str">
        <f t="shared" si="25"/>
        <v>Green Chilli Pepper - فلفل أخضر حار</v>
      </c>
      <c r="C97" s="122" t="str">
        <f t="shared" si="25"/>
        <v>gm</v>
      </c>
      <c r="D97" s="122">
        <f t="shared" si="25"/>
        <v>10</v>
      </c>
      <c r="E97" s="196">
        <f t="shared" si="29"/>
        <v>10.204081632653061</v>
      </c>
      <c r="F97" s="298">
        <f t="shared" si="26"/>
        <v>0.75</v>
      </c>
      <c r="G97" s="118">
        <f t="shared" si="27"/>
        <v>102.0408163265306</v>
      </c>
      <c r="H97" s="206">
        <f t="shared" si="28"/>
        <v>76.530612244897952</v>
      </c>
    </row>
    <row r="98" spans="1:8" ht="14.25" customHeight="1" x14ac:dyDescent="0.3">
      <c r="A98" s="127" t="s">
        <v>179</v>
      </c>
      <c r="B98" s="122" t="str">
        <f t="shared" si="25"/>
        <v>Cashew Nut - كاجو</v>
      </c>
      <c r="C98" s="122" t="str">
        <f t="shared" si="25"/>
        <v>gm</v>
      </c>
      <c r="D98" s="122">
        <f t="shared" si="25"/>
        <v>25</v>
      </c>
      <c r="E98" s="196">
        <f t="shared" si="29"/>
        <v>10.204081632653061</v>
      </c>
      <c r="F98" s="298">
        <f t="shared" si="26"/>
        <v>1</v>
      </c>
      <c r="G98" s="118">
        <f t="shared" si="27"/>
        <v>255.10204081632654</v>
      </c>
      <c r="H98" s="206">
        <f t="shared" si="28"/>
        <v>255.10204081632654</v>
      </c>
    </row>
    <row r="99" spans="1:8" ht="14.25" customHeight="1" x14ac:dyDescent="0.3">
      <c r="A99" s="127" t="s">
        <v>95</v>
      </c>
      <c r="B99" s="122" t="str">
        <f t="shared" si="25"/>
        <v>Red Chilli Powder - شطة حمراء مطحونة</v>
      </c>
      <c r="C99" s="122" t="str">
        <f t="shared" si="25"/>
        <v>gm</v>
      </c>
      <c r="D99" s="122">
        <f t="shared" si="25"/>
        <v>3</v>
      </c>
      <c r="E99" s="196">
        <f t="shared" si="29"/>
        <v>10.204081632653061</v>
      </c>
      <c r="F99" s="298">
        <f t="shared" si="26"/>
        <v>0.9</v>
      </c>
      <c r="G99" s="118">
        <f t="shared" si="27"/>
        <v>30.612244897959183</v>
      </c>
      <c r="H99" s="206">
        <f t="shared" si="28"/>
        <v>27.551020408163264</v>
      </c>
    </row>
    <row r="100" spans="1:8" ht="14.25" customHeight="1" x14ac:dyDescent="0.3">
      <c r="A100" s="127" t="s">
        <v>154</v>
      </c>
      <c r="B100" s="122" t="str">
        <f t="shared" si="25"/>
        <v>Yogurt - زبادي</v>
      </c>
      <c r="C100" s="122" t="str">
        <f t="shared" si="25"/>
        <v>gm</v>
      </c>
      <c r="D100" s="122">
        <f t="shared" si="25"/>
        <v>300</v>
      </c>
      <c r="E100" s="196">
        <f t="shared" si="29"/>
        <v>10.204081632653061</v>
      </c>
      <c r="F100" s="298">
        <f t="shared" si="26"/>
        <v>0.75</v>
      </c>
      <c r="G100" s="118">
        <f t="shared" si="27"/>
        <v>3061.2244897959181</v>
      </c>
      <c r="H100" s="206">
        <f t="shared" si="28"/>
        <v>2295.9183673469388</v>
      </c>
    </row>
    <row r="101" spans="1:8" ht="14.25" customHeight="1" x14ac:dyDescent="0.3">
      <c r="A101" s="127" t="s">
        <v>95</v>
      </c>
      <c r="B101" s="122" t="str">
        <f t="shared" si="25"/>
        <v>Curry Powder - كاري بودرة</v>
      </c>
      <c r="C101" s="122" t="str">
        <f t="shared" si="25"/>
        <v>gm</v>
      </c>
      <c r="D101" s="122">
        <f t="shared" si="25"/>
        <v>10</v>
      </c>
      <c r="E101" s="196">
        <f t="shared" si="29"/>
        <v>10.204081632653061</v>
      </c>
      <c r="F101" s="298">
        <f t="shared" si="26"/>
        <v>0.75</v>
      </c>
      <c r="G101" s="118">
        <f t="shared" si="27"/>
        <v>102.0408163265306</v>
      </c>
      <c r="H101" s="206">
        <f t="shared" si="28"/>
        <v>76.530612244897952</v>
      </c>
    </row>
    <row r="102" spans="1:8" ht="14.25" customHeight="1" x14ac:dyDescent="0.3">
      <c r="A102" s="127" t="s">
        <v>95</v>
      </c>
      <c r="B102" s="122" t="str">
        <f t="shared" si="25"/>
        <v>Cumin Powder - كمون مطحون</v>
      </c>
      <c r="C102" s="122" t="str">
        <f t="shared" si="25"/>
        <v>gm</v>
      </c>
      <c r="D102" s="122">
        <f t="shared" si="25"/>
        <v>10</v>
      </c>
      <c r="E102" s="196">
        <f t="shared" si="29"/>
        <v>10.204081632653061</v>
      </c>
      <c r="F102" s="298">
        <f t="shared" si="26"/>
        <v>0.75</v>
      </c>
      <c r="G102" s="118">
        <f t="shared" si="27"/>
        <v>102.0408163265306</v>
      </c>
      <c r="H102" s="206">
        <f t="shared" si="28"/>
        <v>76.530612244897952</v>
      </c>
    </row>
    <row r="103" spans="1:8" ht="14.25" customHeight="1" x14ac:dyDescent="0.3">
      <c r="A103" s="127" t="s">
        <v>95</v>
      </c>
      <c r="B103" s="122" t="str">
        <f t="shared" si="25"/>
        <v>Coriander Powder - كزبرة مطحونة</v>
      </c>
      <c r="C103" s="122" t="str">
        <f t="shared" si="25"/>
        <v>gm</v>
      </c>
      <c r="D103" s="122">
        <f t="shared" si="25"/>
        <v>10</v>
      </c>
      <c r="E103" s="196">
        <f t="shared" si="29"/>
        <v>10.204081632653061</v>
      </c>
      <c r="F103" s="298">
        <f t="shared" si="26"/>
        <v>0.75</v>
      </c>
      <c r="G103" s="118">
        <f t="shared" si="27"/>
        <v>102.0408163265306</v>
      </c>
      <c r="H103" s="206">
        <f t="shared" si="28"/>
        <v>76.530612244897952</v>
      </c>
    </row>
    <row r="104" spans="1:8" ht="14.25" customHeight="1" x14ac:dyDescent="0.3">
      <c r="A104" s="127" t="s">
        <v>62</v>
      </c>
      <c r="B104" s="122" t="str">
        <f t="shared" si="25"/>
        <v>Coriander Leaves - كزبرة خضراء</v>
      </c>
      <c r="C104" s="122" t="str">
        <f t="shared" si="25"/>
        <v>gm</v>
      </c>
      <c r="D104" s="122">
        <f t="shared" si="25"/>
        <v>5</v>
      </c>
      <c r="E104" s="196">
        <f t="shared" si="29"/>
        <v>10.204081632653061</v>
      </c>
      <c r="F104" s="298">
        <f t="shared" si="26"/>
        <v>1</v>
      </c>
      <c r="G104" s="118">
        <f t="shared" si="27"/>
        <v>51.020408163265301</v>
      </c>
      <c r="H104" s="206">
        <f t="shared" si="28"/>
        <v>51.020408163265301</v>
      </c>
    </row>
    <row r="105" spans="1:8" ht="14.25" customHeight="1" x14ac:dyDescent="0.3">
      <c r="A105" s="127" t="s">
        <v>215</v>
      </c>
      <c r="B105" s="122" t="str">
        <f t="shared" si="25"/>
        <v>Saffron yellow color powder - لون صفار زعفران بودر</v>
      </c>
      <c r="C105" s="122" t="str">
        <f t="shared" si="25"/>
        <v>gm</v>
      </c>
      <c r="D105" s="122">
        <f t="shared" si="25"/>
        <v>2</v>
      </c>
      <c r="E105" s="196">
        <f t="shared" si="29"/>
        <v>10.204081632653061</v>
      </c>
      <c r="F105" s="298">
        <f t="shared" si="26"/>
        <v>0.9</v>
      </c>
      <c r="G105" s="118">
        <f t="shared" si="27"/>
        <v>20.408163265306122</v>
      </c>
      <c r="H105" s="206">
        <f t="shared" si="28"/>
        <v>18.367346938775512</v>
      </c>
    </row>
    <row r="106" spans="1:8" ht="14.25" customHeight="1" x14ac:dyDescent="0.3">
      <c r="A106" s="127" t="s">
        <v>215</v>
      </c>
      <c r="B106" s="122" t="str">
        <f t="shared" si="25"/>
        <v>Orange Color - لون برتقالي</v>
      </c>
      <c r="C106" s="122" t="str">
        <f t="shared" si="25"/>
        <v>gm</v>
      </c>
      <c r="D106" s="122">
        <f t="shared" si="25"/>
        <v>1</v>
      </c>
      <c r="E106" s="196">
        <f t="shared" si="29"/>
        <v>10.204081632653061</v>
      </c>
      <c r="F106" s="298">
        <f t="shared" si="26"/>
        <v>1</v>
      </c>
      <c r="G106" s="118">
        <f t="shared" si="27"/>
        <v>10.204081632653061</v>
      </c>
      <c r="H106" s="206">
        <f t="shared" si="28"/>
        <v>10.204081632653061</v>
      </c>
    </row>
    <row r="107" spans="1:8" ht="14.25" customHeight="1" x14ac:dyDescent="0.3">
      <c r="A107" s="127" t="s">
        <v>215</v>
      </c>
      <c r="B107" s="122" t="str">
        <f t="shared" si="25"/>
        <v>Charcoal - فحم</v>
      </c>
      <c r="C107" s="122" t="str">
        <f t="shared" si="25"/>
        <v>gm</v>
      </c>
      <c r="D107" s="122">
        <f t="shared" si="25"/>
        <v>10</v>
      </c>
      <c r="E107" s="196">
        <f t="shared" si="29"/>
        <v>10.204081632653061</v>
      </c>
      <c r="F107" s="298">
        <f t="shared" si="26"/>
        <v>0.5</v>
      </c>
      <c r="G107" s="118">
        <f t="shared" si="27"/>
        <v>102.0408163265306</v>
      </c>
      <c r="H107" s="206">
        <f t="shared" si="28"/>
        <v>51.020408163265301</v>
      </c>
    </row>
    <row r="108" spans="1:8" ht="14.25" customHeight="1" x14ac:dyDescent="0.3">
      <c r="A108" s="127" t="s">
        <v>95</v>
      </c>
      <c r="B108" s="122" t="str">
        <f t="shared" si="25"/>
        <v>Salt - ملح</v>
      </c>
      <c r="C108" s="122" t="str">
        <f t="shared" si="25"/>
        <v>gm</v>
      </c>
      <c r="D108" s="122">
        <f t="shared" si="25"/>
        <v>11</v>
      </c>
      <c r="E108" s="196">
        <f t="shared" si="29"/>
        <v>10.204081632653061</v>
      </c>
      <c r="F108" s="298">
        <f t="shared" si="26"/>
        <v>0.75</v>
      </c>
      <c r="G108" s="118">
        <f t="shared" si="27"/>
        <v>112.24489795918367</v>
      </c>
      <c r="H108" s="206">
        <f t="shared" si="28"/>
        <v>84.183673469387756</v>
      </c>
    </row>
    <row r="109" spans="1:8" ht="14.25" customHeight="1" x14ac:dyDescent="0.3">
      <c r="A109" s="127" t="s">
        <v>154</v>
      </c>
      <c r="B109" s="122" t="str">
        <f t="shared" si="25"/>
        <v>Butter - زبدة</v>
      </c>
      <c r="C109" s="122" t="str">
        <f t="shared" si="25"/>
        <v>gm</v>
      </c>
      <c r="D109" s="122">
        <f t="shared" si="25"/>
        <v>40</v>
      </c>
      <c r="E109" s="196">
        <f t="shared" si="29"/>
        <v>10.204081632653061</v>
      </c>
      <c r="F109" s="298">
        <f t="shared" si="26"/>
        <v>0.9</v>
      </c>
      <c r="G109" s="118">
        <f t="shared" si="27"/>
        <v>408.16326530612241</v>
      </c>
      <c r="H109" s="206">
        <f t="shared" si="28"/>
        <v>367.34693877551018</v>
      </c>
    </row>
    <row r="110" spans="1:8" ht="14.25" customHeight="1" x14ac:dyDescent="0.3">
      <c r="A110" s="127" t="s">
        <v>154</v>
      </c>
      <c r="B110" s="122" t="str">
        <f t="shared" si="25"/>
        <v>Cooking Cream - كريمة طبخ</v>
      </c>
      <c r="C110" s="122" t="str">
        <f t="shared" si="25"/>
        <v>ml</v>
      </c>
      <c r="D110" s="122">
        <f t="shared" si="25"/>
        <v>250</v>
      </c>
      <c r="E110" s="196">
        <f t="shared" si="29"/>
        <v>10.204081632653061</v>
      </c>
      <c r="F110" s="298">
        <f t="shared" si="26"/>
        <v>1</v>
      </c>
      <c r="G110" s="118">
        <f t="shared" si="27"/>
        <v>2551.0204081632651</v>
      </c>
      <c r="H110" s="206">
        <f t="shared" si="28"/>
        <v>2551.0204081632651</v>
      </c>
    </row>
    <row r="111" spans="1:8" ht="20.25" customHeight="1" x14ac:dyDescent="0.3">
      <c r="A111" s="127"/>
      <c r="B111" s="122" t="str">
        <f t="shared" si="25"/>
        <v>Kasuri Methi - ورق حلبة مجففة</v>
      </c>
      <c r="C111" s="122" t="str">
        <f t="shared" si="25"/>
        <v>gm</v>
      </c>
      <c r="D111" s="122">
        <f t="shared" si="25"/>
        <v>2</v>
      </c>
      <c r="E111" s="196">
        <f t="shared" si="29"/>
        <v>10.204081632653061</v>
      </c>
      <c r="F111" s="298">
        <f t="shared" si="26"/>
        <v>1</v>
      </c>
      <c r="G111" s="118">
        <f t="shared" ref="G111:G112" si="30">D111*E111</f>
        <v>20.408163265306122</v>
      </c>
      <c r="H111" s="206">
        <f t="shared" ref="H111:H112" si="31">G111*F111</f>
        <v>20.408163265306122</v>
      </c>
    </row>
    <row r="112" spans="1:8" x14ac:dyDescent="0.3">
      <c r="A112" s="127" t="s">
        <v>95</v>
      </c>
      <c r="B112" s="122" t="str">
        <f t="shared" si="25"/>
        <v>Corn Starch - نشا ذرة</v>
      </c>
      <c r="C112" s="122" t="str">
        <f t="shared" si="25"/>
        <v>gm</v>
      </c>
      <c r="D112" s="122">
        <f t="shared" si="25"/>
        <v>20</v>
      </c>
      <c r="E112" s="196">
        <f t="shared" si="29"/>
        <v>10.204081632653061</v>
      </c>
      <c r="F112" s="298">
        <f t="shared" si="26"/>
        <v>0.75</v>
      </c>
      <c r="G112" s="118">
        <f t="shared" si="30"/>
        <v>204.08163265306121</v>
      </c>
      <c r="H112" s="206">
        <f t="shared" si="31"/>
        <v>153.0612244897959</v>
      </c>
    </row>
    <row r="113" spans="1:8" ht="18" x14ac:dyDescent="0.3">
      <c r="A113" s="210"/>
      <c r="B113" s="197" t="s">
        <v>291</v>
      </c>
      <c r="C113" s="199" t="s">
        <v>277</v>
      </c>
      <c r="E113" s="199" t="s">
        <v>292</v>
      </c>
      <c r="G113" s="878" t="s">
        <v>268</v>
      </c>
      <c r="H113" s="878" t="s">
        <v>703</v>
      </c>
    </row>
    <row r="114" spans="1:8" ht="20" x14ac:dyDescent="0.4">
      <c r="A114" s="210"/>
      <c r="B114" s="198">
        <f>$J$54</f>
        <v>13638</v>
      </c>
      <c r="C114" s="198">
        <f>E114+G114</f>
        <v>10000</v>
      </c>
      <c r="D114" s="915"/>
      <c r="E114" s="198">
        <f>$D$54*$S$44</f>
        <v>4089.9999999999995</v>
      </c>
      <c r="F114" s="919"/>
      <c r="G114" s="198">
        <f>$D$54*$T$44</f>
        <v>5910</v>
      </c>
      <c r="H114" s="198">
        <f>B114+E114</f>
        <v>17728</v>
      </c>
    </row>
    <row r="117" spans="1:8" x14ac:dyDescent="0.3">
      <c r="A117" s="922"/>
      <c r="B117" s="1438" t="str">
        <f>" دجاج تشانجيزي 3 / " &amp; COUNTIF($C$53:$C$55, "&gt;0")</f>
        <v xml:space="preserve"> دجاج تشانجيزي 3 / 3</v>
      </c>
      <c r="C117" s="1439"/>
      <c r="D117" s="1439"/>
      <c r="E117" s="1439"/>
      <c r="F117" s="1439"/>
      <c r="G117" s="1439"/>
      <c r="H117" s="1439"/>
    </row>
    <row r="118" spans="1:8" x14ac:dyDescent="0.3">
      <c r="A118" s="922"/>
      <c r="B118" s="1436" t="str">
        <f>" Changezi Chicken 3 / " &amp; COUNTIF($C$53:$C$55, "&gt;0")</f>
        <v xml:space="preserve"> Changezi Chicken 3 / 3</v>
      </c>
      <c r="C118" s="1437"/>
      <c r="D118" s="1437"/>
      <c r="E118" s="1437"/>
      <c r="F118" s="1437"/>
      <c r="G118" s="1437"/>
      <c r="H118" s="1437"/>
    </row>
    <row r="119" spans="1:8" ht="39" x14ac:dyDescent="0.25">
      <c r="A119" s="90"/>
      <c r="B119" s="242" t="s">
        <v>245</v>
      </c>
      <c r="C119" s="243" t="s">
        <v>246</v>
      </c>
      <c r="D119" s="244" t="s">
        <v>235</v>
      </c>
      <c r="E119" s="217" t="s">
        <v>238</v>
      </c>
      <c r="F119" s="217" t="s">
        <v>247</v>
      </c>
      <c r="G119" s="244" t="s">
        <v>248</v>
      </c>
      <c r="H119" s="217" t="s">
        <v>249</v>
      </c>
    </row>
    <row r="120" spans="1:8" x14ac:dyDescent="0.3">
      <c r="A120" s="127" t="s">
        <v>225</v>
      </c>
      <c r="B120" s="122" t="str">
        <f>B5</f>
        <v>Chicken - دجاج</v>
      </c>
      <c r="C120" s="122" t="str">
        <f>C5</f>
        <v>gm</v>
      </c>
      <c r="D120" s="122">
        <f>D5</f>
        <v>2311.5254237288136</v>
      </c>
      <c r="E120" s="196">
        <f>$H$55</f>
        <v>4.4452716956016509</v>
      </c>
      <c r="F120" s="298">
        <f>F5</f>
        <v>1</v>
      </c>
      <c r="G120" s="120">
        <f t="shared" ref="G120:G138" si="32">D120*E120</f>
        <v>10275.358539765308</v>
      </c>
      <c r="H120" s="205">
        <f t="shared" ref="H120:H138" si="33">G120*F120</f>
        <v>10275.358539765308</v>
      </c>
    </row>
    <row r="121" spans="1:8" x14ac:dyDescent="0.3">
      <c r="A121" s="127" t="s">
        <v>13</v>
      </c>
      <c r="B121" s="122" t="str">
        <f t="shared" ref="B121:D121" si="34">B6</f>
        <v>Onion - بصل</v>
      </c>
      <c r="C121" s="122" t="str">
        <f t="shared" si="34"/>
        <v>gm</v>
      </c>
      <c r="D121" s="122">
        <f t="shared" si="34"/>
        <v>200</v>
      </c>
      <c r="E121" s="196">
        <f>$C$55</f>
        <v>4.5389848246991207</v>
      </c>
      <c r="F121" s="298">
        <f t="shared" ref="F121:F140" si="35">F6</f>
        <v>0.95</v>
      </c>
      <c r="G121" s="120">
        <f t="shared" si="32"/>
        <v>907.79696493982419</v>
      </c>
      <c r="H121" s="205">
        <f t="shared" si="33"/>
        <v>862.40711669283291</v>
      </c>
    </row>
    <row r="122" spans="1:8" x14ac:dyDescent="0.3">
      <c r="A122" s="127" t="s">
        <v>13</v>
      </c>
      <c r="B122" s="122" t="str">
        <f t="shared" ref="B122:D122" si="36">B7</f>
        <v>Tomato - طماطم</v>
      </c>
      <c r="C122" s="122" t="str">
        <f t="shared" si="36"/>
        <v>gm</v>
      </c>
      <c r="D122" s="122">
        <f t="shared" si="36"/>
        <v>450</v>
      </c>
      <c r="E122" s="196">
        <f t="shared" ref="E122:E140" si="37">$C$55</f>
        <v>4.5389848246991207</v>
      </c>
      <c r="F122" s="298">
        <f t="shared" si="35"/>
        <v>1</v>
      </c>
      <c r="G122" s="120">
        <f t="shared" si="32"/>
        <v>2042.5431711146043</v>
      </c>
      <c r="H122" s="205">
        <f t="shared" si="33"/>
        <v>2042.5431711146043</v>
      </c>
    </row>
    <row r="123" spans="1:8" x14ac:dyDescent="0.3">
      <c r="A123" s="127" t="s">
        <v>56</v>
      </c>
      <c r="B123" s="122" t="str">
        <f t="shared" ref="B123:D123" si="38">B8</f>
        <v>Ginger - زنجبيل</v>
      </c>
      <c r="C123" s="122" t="str">
        <f t="shared" si="38"/>
        <v>gm</v>
      </c>
      <c r="D123" s="122">
        <f t="shared" si="38"/>
        <v>20</v>
      </c>
      <c r="E123" s="196">
        <f t="shared" si="37"/>
        <v>4.5389848246991207</v>
      </c>
      <c r="F123" s="298">
        <f t="shared" si="35"/>
        <v>0.9</v>
      </c>
      <c r="G123" s="120">
        <f t="shared" si="32"/>
        <v>90.779696493982414</v>
      </c>
      <c r="H123" s="205">
        <f t="shared" si="33"/>
        <v>81.701726844584172</v>
      </c>
    </row>
    <row r="124" spans="1:8" x14ac:dyDescent="0.3">
      <c r="A124" s="127" t="s">
        <v>13</v>
      </c>
      <c r="B124" s="122" t="str">
        <f t="shared" ref="B124:D124" si="39">B9</f>
        <v>Garlic - ثوم مقشر</v>
      </c>
      <c r="C124" s="122" t="str">
        <f t="shared" si="39"/>
        <v>gm</v>
      </c>
      <c r="D124" s="122">
        <f t="shared" si="39"/>
        <v>20</v>
      </c>
      <c r="E124" s="196">
        <f t="shared" si="37"/>
        <v>4.5389848246991207</v>
      </c>
      <c r="F124" s="298">
        <f t="shared" si="35"/>
        <v>0.9</v>
      </c>
      <c r="G124" s="120">
        <f t="shared" si="32"/>
        <v>90.779696493982414</v>
      </c>
      <c r="H124" s="205">
        <f t="shared" si="33"/>
        <v>81.701726844584172</v>
      </c>
    </row>
    <row r="125" spans="1:8" x14ac:dyDescent="0.3">
      <c r="A125" s="127" t="s">
        <v>13</v>
      </c>
      <c r="B125" s="122" t="str">
        <f t="shared" ref="B125:D125" si="40">B10</f>
        <v>Green Chilli Pepper - فلفل أخضر حار</v>
      </c>
      <c r="C125" s="122" t="str">
        <f t="shared" si="40"/>
        <v>gm</v>
      </c>
      <c r="D125" s="122">
        <f t="shared" si="40"/>
        <v>10</v>
      </c>
      <c r="E125" s="196">
        <f t="shared" si="37"/>
        <v>4.5389848246991207</v>
      </c>
      <c r="F125" s="298">
        <f t="shared" si="35"/>
        <v>0.75</v>
      </c>
      <c r="G125" s="120">
        <f t="shared" si="32"/>
        <v>45.389848246991207</v>
      </c>
      <c r="H125" s="205">
        <f t="shared" si="33"/>
        <v>34.042386185243402</v>
      </c>
    </row>
    <row r="126" spans="1:8" x14ac:dyDescent="0.3">
      <c r="A126" s="127" t="s">
        <v>179</v>
      </c>
      <c r="B126" s="122" t="str">
        <f t="shared" ref="B126:D126" si="41">B11</f>
        <v>Cashew Nut - كاجو</v>
      </c>
      <c r="C126" s="122" t="str">
        <f t="shared" si="41"/>
        <v>gm</v>
      </c>
      <c r="D126" s="122">
        <f t="shared" si="41"/>
        <v>25</v>
      </c>
      <c r="E126" s="196">
        <f t="shared" si="37"/>
        <v>4.5389848246991207</v>
      </c>
      <c r="F126" s="298">
        <f t="shared" si="35"/>
        <v>1</v>
      </c>
      <c r="G126" s="120">
        <f t="shared" si="32"/>
        <v>113.47462061747802</v>
      </c>
      <c r="H126" s="205">
        <f t="shared" si="33"/>
        <v>113.47462061747802</v>
      </c>
    </row>
    <row r="127" spans="1:8" x14ac:dyDescent="0.3">
      <c r="A127" s="127" t="s">
        <v>95</v>
      </c>
      <c r="B127" s="122" t="str">
        <f t="shared" ref="B127:D127" si="42">B12</f>
        <v>Red Chilli Powder - شطة حمراء مطحونة</v>
      </c>
      <c r="C127" s="122" t="str">
        <f t="shared" si="42"/>
        <v>gm</v>
      </c>
      <c r="D127" s="122">
        <f t="shared" si="42"/>
        <v>3</v>
      </c>
      <c r="E127" s="196">
        <f t="shared" si="37"/>
        <v>4.5389848246991207</v>
      </c>
      <c r="F127" s="298">
        <f t="shared" si="35"/>
        <v>0.9</v>
      </c>
      <c r="G127" s="120">
        <f t="shared" si="32"/>
        <v>13.616954474097362</v>
      </c>
      <c r="H127" s="205">
        <f t="shared" si="33"/>
        <v>12.255259026687627</v>
      </c>
    </row>
    <row r="128" spans="1:8" x14ac:dyDescent="0.3">
      <c r="A128" s="127" t="s">
        <v>154</v>
      </c>
      <c r="B128" s="122" t="str">
        <f t="shared" ref="B128:D128" si="43">B13</f>
        <v>Yogurt - زبادي</v>
      </c>
      <c r="C128" s="122" t="str">
        <f t="shared" si="43"/>
        <v>gm</v>
      </c>
      <c r="D128" s="122">
        <f t="shared" si="43"/>
        <v>300</v>
      </c>
      <c r="E128" s="196">
        <f t="shared" si="37"/>
        <v>4.5389848246991207</v>
      </c>
      <c r="F128" s="298">
        <f t="shared" si="35"/>
        <v>0.75</v>
      </c>
      <c r="G128" s="120">
        <f t="shared" si="32"/>
        <v>1361.6954474097363</v>
      </c>
      <c r="H128" s="205">
        <f t="shared" si="33"/>
        <v>1021.2715855573022</v>
      </c>
    </row>
    <row r="129" spans="1:8" x14ac:dyDescent="0.3">
      <c r="A129" s="127" t="s">
        <v>95</v>
      </c>
      <c r="B129" s="122" t="str">
        <f t="shared" ref="B129:D129" si="44">B14</f>
        <v>Curry Powder - كاري بودرة</v>
      </c>
      <c r="C129" s="122" t="str">
        <f t="shared" si="44"/>
        <v>gm</v>
      </c>
      <c r="D129" s="122">
        <f t="shared" si="44"/>
        <v>10</v>
      </c>
      <c r="E129" s="196">
        <f t="shared" si="37"/>
        <v>4.5389848246991207</v>
      </c>
      <c r="F129" s="298">
        <f t="shared" si="35"/>
        <v>0.75</v>
      </c>
      <c r="G129" s="120">
        <f t="shared" si="32"/>
        <v>45.389848246991207</v>
      </c>
      <c r="H129" s="205">
        <f t="shared" si="33"/>
        <v>34.042386185243402</v>
      </c>
    </row>
    <row r="130" spans="1:8" x14ac:dyDescent="0.3">
      <c r="A130" s="127" t="s">
        <v>95</v>
      </c>
      <c r="B130" s="122" t="str">
        <f t="shared" ref="B130:D130" si="45">B15</f>
        <v>Cumin Powder - كمون مطحون</v>
      </c>
      <c r="C130" s="122" t="str">
        <f t="shared" si="45"/>
        <v>gm</v>
      </c>
      <c r="D130" s="122">
        <f t="shared" si="45"/>
        <v>10</v>
      </c>
      <c r="E130" s="196">
        <f t="shared" si="37"/>
        <v>4.5389848246991207</v>
      </c>
      <c r="F130" s="298">
        <f t="shared" si="35"/>
        <v>0.75</v>
      </c>
      <c r="G130" s="120">
        <f t="shared" si="32"/>
        <v>45.389848246991207</v>
      </c>
      <c r="H130" s="205">
        <f t="shared" si="33"/>
        <v>34.042386185243402</v>
      </c>
    </row>
    <row r="131" spans="1:8" x14ac:dyDescent="0.3">
      <c r="A131" s="127" t="s">
        <v>95</v>
      </c>
      <c r="B131" s="122" t="str">
        <f t="shared" ref="B131:D131" si="46">B16</f>
        <v>Coriander Powder - كزبرة مطحونة</v>
      </c>
      <c r="C131" s="122" t="str">
        <f t="shared" si="46"/>
        <v>gm</v>
      </c>
      <c r="D131" s="122">
        <f t="shared" si="46"/>
        <v>10</v>
      </c>
      <c r="E131" s="196">
        <f t="shared" si="37"/>
        <v>4.5389848246991207</v>
      </c>
      <c r="F131" s="298">
        <f t="shared" si="35"/>
        <v>0.75</v>
      </c>
      <c r="G131" s="120">
        <f t="shared" si="32"/>
        <v>45.389848246991207</v>
      </c>
      <c r="H131" s="205">
        <f t="shared" si="33"/>
        <v>34.042386185243402</v>
      </c>
    </row>
    <row r="132" spans="1:8" x14ac:dyDescent="0.3">
      <c r="A132" s="127" t="s">
        <v>62</v>
      </c>
      <c r="B132" s="122" t="str">
        <f t="shared" ref="B132:D132" si="47">B17</f>
        <v>Coriander Leaves - كزبرة خضراء</v>
      </c>
      <c r="C132" s="122" t="str">
        <f t="shared" si="47"/>
        <v>gm</v>
      </c>
      <c r="D132" s="122">
        <f t="shared" si="47"/>
        <v>5</v>
      </c>
      <c r="E132" s="196">
        <f t="shared" si="37"/>
        <v>4.5389848246991207</v>
      </c>
      <c r="F132" s="298">
        <f t="shared" si="35"/>
        <v>1</v>
      </c>
      <c r="G132" s="120">
        <f t="shared" si="32"/>
        <v>22.694924123495603</v>
      </c>
      <c r="H132" s="205">
        <f t="shared" si="33"/>
        <v>22.694924123495603</v>
      </c>
    </row>
    <row r="133" spans="1:8" x14ac:dyDescent="0.3">
      <c r="A133" s="127" t="s">
        <v>215</v>
      </c>
      <c r="B133" s="122" t="str">
        <f t="shared" ref="B133:D133" si="48">B18</f>
        <v>Saffron yellow color powder - لون صفار زعفران بودر</v>
      </c>
      <c r="C133" s="122" t="str">
        <f t="shared" si="48"/>
        <v>gm</v>
      </c>
      <c r="D133" s="122">
        <f t="shared" si="48"/>
        <v>2</v>
      </c>
      <c r="E133" s="196">
        <f t="shared" si="37"/>
        <v>4.5389848246991207</v>
      </c>
      <c r="F133" s="298">
        <f t="shared" si="35"/>
        <v>0.9</v>
      </c>
      <c r="G133" s="120">
        <f t="shared" si="32"/>
        <v>9.0779696493982414</v>
      </c>
      <c r="H133" s="205">
        <f t="shared" si="33"/>
        <v>8.1701726844584179</v>
      </c>
    </row>
    <row r="134" spans="1:8" x14ac:dyDescent="0.3">
      <c r="A134" s="127" t="s">
        <v>215</v>
      </c>
      <c r="B134" s="122" t="str">
        <f t="shared" ref="B134:D134" si="49">B19</f>
        <v>Orange Color - لون برتقالي</v>
      </c>
      <c r="C134" s="122" t="str">
        <f t="shared" si="49"/>
        <v>gm</v>
      </c>
      <c r="D134" s="122">
        <f t="shared" si="49"/>
        <v>1</v>
      </c>
      <c r="E134" s="196">
        <f t="shared" si="37"/>
        <v>4.5389848246991207</v>
      </c>
      <c r="F134" s="298">
        <f t="shared" si="35"/>
        <v>1</v>
      </c>
      <c r="G134" s="120">
        <f t="shared" si="32"/>
        <v>4.5389848246991207</v>
      </c>
      <c r="H134" s="205">
        <f t="shared" si="33"/>
        <v>4.5389848246991207</v>
      </c>
    </row>
    <row r="135" spans="1:8" x14ac:dyDescent="0.3">
      <c r="A135" s="127" t="s">
        <v>215</v>
      </c>
      <c r="B135" s="122" t="str">
        <f t="shared" ref="B135:D135" si="50">B20</f>
        <v>Charcoal - فحم</v>
      </c>
      <c r="C135" s="122" t="str">
        <f t="shared" si="50"/>
        <v>gm</v>
      </c>
      <c r="D135" s="122">
        <f t="shared" si="50"/>
        <v>10</v>
      </c>
      <c r="E135" s="196">
        <f t="shared" si="37"/>
        <v>4.5389848246991207</v>
      </c>
      <c r="F135" s="298">
        <f t="shared" si="35"/>
        <v>0.5</v>
      </c>
      <c r="G135" s="120">
        <f t="shared" si="32"/>
        <v>45.389848246991207</v>
      </c>
      <c r="H135" s="205">
        <f t="shared" si="33"/>
        <v>22.694924123495603</v>
      </c>
    </row>
    <row r="136" spans="1:8" x14ac:dyDescent="0.3">
      <c r="A136" s="127" t="s">
        <v>95</v>
      </c>
      <c r="B136" s="122" t="str">
        <f t="shared" ref="B136:D136" si="51">B21</f>
        <v>Salt - ملح</v>
      </c>
      <c r="C136" s="122" t="str">
        <f t="shared" si="51"/>
        <v>gm</v>
      </c>
      <c r="D136" s="122">
        <f t="shared" si="51"/>
        <v>11</v>
      </c>
      <c r="E136" s="196">
        <f t="shared" si="37"/>
        <v>4.5389848246991207</v>
      </c>
      <c r="F136" s="298">
        <f t="shared" si="35"/>
        <v>0.75</v>
      </c>
      <c r="G136" s="120">
        <f t="shared" si="32"/>
        <v>49.928833071690327</v>
      </c>
      <c r="H136" s="205">
        <f t="shared" si="33"/>
        <v>37.446624803767747</v>
      </c>
    </row>
    <row r="137" spans="1:8" x14ac:dyDescent="0.3">
      <c r="A137" s="127" t="s">
        <v>154</v>
      </c>
      <c r="B137" s="122" t="str">
        <f t="shared" ref="B137:D137" si="52">B22</f>
        <v>Butter - زبدة</v>
      </c>
      <c r="C137" s="122" t="str">
        <f t="shared" si="52"/>
        <v>gm</v>
      </c>
      <c r="D137" s="122">
        <f t="shared" si="52"/>
        <v>40</v>
      </c>
      <c r="E137" s="196">
        <f t="shared" si="37"/>
        <v>4.5389848246991207</v>
      </c>
      <c r="F137" s="298">
        <f t="shared" si="35"/>
        <v>0.9</v>
      </c>
      <c r="G137" s="120">
        <f t="shared" si="32"/>
        <v>181.55939298796483</v>
      </c>
      <c r="H137" s="205">
        <f t="shared" si="33"/>
        <v>163.40345368916834</v>
      </c>
    </row>
    <row r="138" spans="1:8" x14ac:dyDescent="0.3">
      <c r="A138" s="127" t="s">
        <v>154</v>
      </c>
      <c r="B138" s="122" t="str">
        <f t="shared" ref="B138:D138" si="53">B23</f>
        <v>Cooking Cream - كريمة طبخ</v>
      </c>
      <c r="C138" s="122" t="str">
        <f t="shared" si="53"/>
        <v>ml</v>
      </c>
      <c r="D138" s="122">
        <f t="shared" si="53"/>
        <v>250</v>
      </c>
      <c r="E138" s="196">
        <f t="shared" si="37"/>
        <v>4.5389848246991207</v>
      </c>
      <c r="F138" s="298">
        <f t="shared" si="35"/>
        <v>1</v>
      </c>
      <c r="G138" s="120">
        <f t="shared" si="32"/>
        <v>1134.7462061747801</v>
      </c>
      <c r="H138" s="205">
        <f t="shared" si="33"/>
        <v>1134.7462061747801</v>
      </c>
    </row>
    <row r="139" spans="1:8" x14ac:dyDescent="0.3">
      <c r="A139" s="127"/>
      <c r="B139" s="122" t="str">
        <f t="shared" ref="B139:D139" si="54">B24</f>
        <v>Kasuri Methi - ورق حلبة مجففة</v>
      </c>
      <c r="C139" s="122" t="str">
        <f t="shared" si="54"/>
        <v>gm</v>
      </c>
      <c r="D139" s="122">
        <f t="shared" si="54"/>
        <v>2</v>
      </c>
      <c r="E139" s="196">
        <f t="shared" si="37"/>
        <v>4.5389848246991207</v>
      </c>
      <c r="F139" s="298">
        <f t="shared" si="35"/>
        <v>1</v>
      </c>
      <c r="G139" s="120">
        <f t="shared" ref="G139:G140" si="55">D139*E139</f>
        <v>9.0779696493982414</v>
      </c>
      <c r="H139" s="205">
        <f t="shared" ref="H139:H140" si="56">G139*F139</f>
        <v>9.0779696493982414</v>
      </c>
    </row>
    <row r="140" spans="1:8" x14ac:dyDescent="0.3">
      <c r="A140" s="127" t="s">
        <v>95</v>
      </c>
      <c r="B140" s="122" t="str">
        <f t="shared" ref="B140:D140" si="57">B25</f>
        <v>Corn Starch - نشا ذرة</v>
      </c>
      <c r="C140" s="122" t="str">
        <f t="shared" si="57"/>
        <v>gm</v>
      </c>
      <c r="D140" s="122">
        <f t="shared" si="57"/>
        <v>20</v>
      </c>
      <c r="E140" s="196">
        <f t="shared" si="37"/>
        <v>4.5389848246991207</v>
      </c>
      <c r="F140" s="298">
        <f t="shared" si="35"/>
        <v>0.75</v>
      </c>
      <c r="G140" s="120">
        <f t="shared" si="55"/>
        <v>90.779696493982414</v>
      </c>
      <c r="H140" s="205">
        <f t="shared" si="56"/>
        <v>68.084772370486803</v>
      </c>
    </row>
    <row r="141" spans="1:8" ht="18" x14ac:dyDescent="0.3">
      <c r="A141" s="210"/>
      <c r="B141" s="197" t="s">
        <v>291</v>
      </c>
      <c r="C141" s="199" t="s">
        <v>277</v>
      </c>
      <c r="E141" s="199" t="s">
        <v>292</v>
      </c>
      <c r="G141" s="878" t="s">
        <v>268</v>
      </c>
      <c r="H141" s="878" t="s">
        <v>703</v>
      </c>
    </row>
    <row r="142" spans="1:8" ht="20" x14ac:dyDescent="0.4">
      <c r="A142" s="210"/>
      <c r="B142" s="198">
        <f>$J$55</f>
        <v>6062.4615384615317</v>
      </c>
      <c r="C142" s="198">
        <f>E142+G142</f>
        <v>4448.205128205138</v>
      </c>
      <c r="D142" s="915"/>
      <c r="E142" s="198">
        <f>$D$55*$S$44</f>
        <v>1819.3158974359012</v>
      </c>
      <c r="F142" s="919"/>
      <c r="G142" s="198">
        <f>$D$55*$T$44</f>
        <v>2628.8892307692363</v>
      </c>
      <c r="H142" s="198">
        <f>B142+E142</f>
        <v>7881.777435897433</v>
      </c>
    </row>
  </sheetData>
  <mergeCells count="14">
    <mergeCell ref="B117:H117"/>
    <mergeCell ref="B118:H118"/>
    <mergeCell ref="AK2:AM2"/>
    <mergeCell ref="B90:H90"/>
    <mergeCell ref="L2:L3"/>
    <mergeCell ref="B2:J3"/>
    <mergeCell ref="AE2:AG3"/>
    <mergeCell ref="B89:H89"/>
    <mergeCell ref="R26:U26"/>
    <mergeCell ref="R25:U25"/>
    <mergeCell ref="B62:H62"/>
    <mergeCell ref="B63:H63"/>
    <mergeCell ref="K2:K3"/>
    <mergeCell ref="B35:F35"/>
  </mergeCells>
  <printOptions horizontalCentered="1"/>
  <pageMargins left="0.4" right="0.4" top="1" bottom="0.5" header="0.3" footer="0.511811023622047"/>
  <pageSetup paperSize="9" scale="36" orientation="landscape" r:id="rId1"/>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rgb="FFBF9000"/>
    <pageSetUpPr fitToPage="1"/>
  </sheetPr>
  <dimension ref="A1:AT126"/>
  <sheetViews>
    <sheetView topLeftCell="C11" zoomScale="44" zoomScaleNormal="44" workbookViewId="0">
      <selection activeCell="R52" sqref="Q52:R53"/>
    </sheetView>
  </sheetViews>
  <sheetFormatPr defaultColWidth="12.5" defaultRowHeight="14" x14ac:dyDescent="0.3"/>
  <cols>
    <col min="1" max="1" width="12.5" style="1" customWidth="1"/>
    <col min="2" max="2" width="37" customWidth="1"/>
    <col min="3" max="3" width="15.4140625" customWidth="1"/>
    <col min="4" max="4" width="19" style="3" customWidth="1"/>
    <col min="5" max="5" width="16.1640625" customWidth="1"/>
    <col min="6" max="6" width="23.08203125" customWidth="1"/>
    <col min="7" max="7" width="25.1640625" customWidth="1"/>
    <col min="8" max="8" width="36.1640625" customWidth="1"/>
    <col min="9" max="9" width="15.6640625" customWidth="1"/>
    <col min="10" max="10" width="16.9140625" customWidth="1"/>
    <col min="12" max="12" width="8.33203125" customWidth="1"/>
    <col min="13" max="13" width="31.83203125" customWidth="1"/>
    <col min="18" max="18" width="32.83203125" customWidth="1"/>
    <col min="28" max="28" width="11.9140625" bestFit="1" customWidth="1"/>
    <col min="29" max="29" width="13.33203125" bestFit="1" customWidth="1"/>
    <col min="30" max="30" width="9.83203125" bestFit="1" customWidth="1"/>
    <col min="31" max="31" width="11" bestFit="1" customWidth="1"/>
    <col min="32" max="34" width="5.6640625" customWidth="1"/>
    <col min="36" max="36" width="33.5" customWidth="1"/>
  </cols>
  <sheetData>
    <row r="1" spans="1:46" ht="35.25" customHeight="1" x14ac:dyDescent="0.3">
      <c r="B1" s="79" t="s">
        <v>235</v>
      </c>
      <c r="C1" s="80">
        <v>1000</v>
      </c>
      <c r="D1" s="81" t="s">
        <v>236</v>
      </c>
      <c r="E1" s="116">
        <f>T32</f>
        <v>22575.23076923078</v>
      </c>
      <c r="F1" s="79" t="s">
        <v>237</v>
      </c>
      <c r="G1" s="120">
        <f>E1/C1</f>
        <v>22.575230769230782</v>
      </c>
      <c r="H1" s="79" t="s">
        <v>238</v>
      </c>
      <c r="I1" s="281">
        <f>(G1/K1)</f>
        <v>23.280706730769243</v>
      </c>
      <c r="J1" s="85" t="s">
        <v>239</v>
      </c>
      <c r="K1" s="433">
        <f>0.96/0.99</f>
        <v>0.96969696969696972</v>
      </c>
      <c r="L1" s="99"/>
      <c r="M1" s="88"/>
      <c r="N1" s="89"/>
      <c r="O1" s="90" t="s">
        <v>240</v>
      </c>
      <c r="P1" s="91" t="s">
        <v>303</v>
      </c>
      <c r="Q1" s="92" t="s">
        <v>242</v>
      </c>
      <c r="R1" s="91">
        <v>0.57999999999999996</v>
      </c>
      <c r="Y1" s="90" t="s">
        <v>463</v>
      </c>
      <c r="Z1" s="835">
        <v>35290</v>
      </c>
      <c r="AA1" s="90" t="s">
        <v>578</v>
      </c>
      <c r="AB1" s="1223">
        <v>500</v>
      </c>
      <c r="AC1" s="90" t="s">
        <v>567</v>
      </c>
      <c r="AD1" s="835">
        <v>229</v>
      </c>
      <c r="AE1" s="249"/>
      <c r="AF1" s="251"/>
      <c r="AG1" s="91"/>
      <c r="AI1" s="1"/>
      <c r="AJ1" s="109" t="s">
        <v>254</v>
      </c>
      <c r="AK1" s="93">
        <v>10000</v>
      </c>
      <c r="AL1" s="623" t="s">
        <v>505</v>
      </c>
      <c r="AM1" s="624">
        <f>$S$32</f>
        <v>27530.769230769223</v>
      </c>
      <c r="AN1" s="93" t="s">
        <v>243</v>
      </c>
      <c r="AO1" s="95">
        <f>($S$32/$R$1)/$AK$1</f>
        <v>4.7466843501326252</v>
      </c>
      <c r="AP1" s="94"/>
    </row>
    <row r="2" spans="1:46" ht="12.75" customHeight="1" x14ac:dyDescent="0.3">
      <c r="A2" s="264"/>
      <c r="B2" s="1450" t="s">
        <v>386</v>
      </c>
      <c r="C2" s="1458"/>
      <c r="D2" s="1433"/>
      <c r="E2" s="1458"/>
      <c r="F2" s="1458"/>
      <c r="G2" s="1458"/>
      <c r="H2" s="1458"/>
      <c r="I2" s="1458"/>
      <c r="J2" s="1458"/>
      <c r="K2" s="1458"/>
      <c r="L2" s="292"/>
      <c r="M2" s="99"/>
      <c r="N2" s="99"/>
      <c r="O2" s="99"/>
      <c r="P2" s="99"/>
      <c r="Q2" s="99"/>
      <c r="R2" s="99"/>
      <c r="AC2" s="98"/>
      <c r="AD2" s="98"/>
      <c r="AE2" s="1457"/>
      <c r="AF2" s="1458"/>
      <c r="AG2" s="1458"/>
      <c r="AI2" s="1"/>
      <c r="AJ2" s="100"/>
      <c r="AK2" s="1442" t="s">
        <v>386</v>
      </c>
      <c r="AL2" s="1442"/>
      <c r="AM2" s="1442"/>
      <c r="AN2" s="101"/>
      <c r="AO2" s="100"/>
      <c r="AP2" s="100"/>
    </row>
    <row r="3" spans="1:46" ht="12.75" customHeight="1" x14ac:dyDescent="0.3">
      <c r="A3" s="434"/>
      <c r="B3" s="1444"/>
      <c r="C3" s="1444"/>
      <c r="D3" s="1444"/>
      <c r="E3" s="1444"/>
      <c r="F3" s="1444"/>
      <c r="G3" s="1444"/>
      <c r="H3" s="1444"/>
      <c r="I3" s="1444"/>
      <c r="J3" s="1444"/>
      <c r="K3" s="1444"/>
      <c r="L3" s="292"/>
      <c r="M3" s="99"/>
      <c r="N3" s="99"/>
      <c r="O3" s="99"/>
      <c r="P3" s="99"/>
      <c r="Q3" s="99"/>
      <c r="R3" s="99"/>
      <c r="AC3" s="98"/>
      <c r="AD3" s="98"/>
      <c r="AE3" s="1458"/>
      <c r="AF3" s="1458"/>
      <c r="AG3" s="1458"/>
      <c r="AI3" s="1"/>
      <c r="AJ3" s="372"/>
      <c r="AK3" s="103"/>
      <c r="AL3" s="104"/>
      <c r="AM3" s="104"/>
      <c r="AN3" s="104"/>
      <c r="AO3" s="103"/>
      <c r="AP3" s="103"/>
    </row>
    <row r="4" spans="1:46" ht="69" customHeight="1" x14ac:dyDescent="0.3">
      <c r="A4" s="90" t="s">
        <v>1</v>
      </c>
      <c r="B4" s="415" t="s">
        <v>245</v>
      </c>
      <c r="C4" s="106" t="s">
        <v>246</v>
      </c>
      <c r="D4" s="90" t="s">
        <v>235</v>
      </c>
      <c r="E4" s="217" t="s">
        <v>238</v>
      </c>
      <c r="F4" s="107" t="s">
        <v>247</v>
      </c>
      <c r="G4" s="90" t="s">
        <v>248</v>
      </c>
      <c r="H4" s="106" t="s">
        <v>339</v>
      </c>
      <c r="I4" s="90" t="s">
        <v>250</v>
      </c>
      <c r="J4" s="90" t="s">
        <v>251</v>
      </c>
      <c r="K4" s="90" t="s">
        <v>252</v>
      </c>
      <c r="L4" s="90" t="s">
        <v>253</v>
      </c>
      <c r="M4" s="99"/>
      <c r="N4" s="99"/>
      <c r="O4" s="99"/>
      <c r="P4" s="99"/>
      <c r="AA4" s="250"/>
      <c r="AB4" s="252"/>
      <c r="AC4" s="250"/>
      <c r="AD4" s="250"/>
      <c r="AE4" s="250"/>
      <c r="AI4" s="1"/>
      <c r="AJ4" s="109" t="s">
        <v>245</v>
      </c>
      <c r="AK4" s="110" t="s">
        <v>246</v>
      </c>
      <c r="AL4" s="109" t="s">
        <v>254</v>
      </c>
      <c r="AM4" s="109" t="s">
        <v>238</v>
      </c>
      <c r="AN4" s="109" t="s">
        <v>247</v>
      </c>
      <c r="AO4" s="109" t="s">
        <v>248</v>
      </c>
      <c r="AP4" s="111" t="s">
        <v>249</v>
      </c>
      <c r="AQ4" s="90" t="s">
        <v>250</v>
      </c>
      <c r="AR4" s="90" t="s">
        <v>251</v>
      </c>
      <c r="AS4" s="90" t="s">
        <v>252</v>
      </c>
      <c r="AT4" s="90" t="s">
        <v>253</v>
      </c>
    </row>
    <row r="5" spans="1:46" ht="15.75" customHeight="1" x14ac:dyDescent="0.3">
      <c r="A5" s="265" t="s">
        <v>225</v>
      </c>
      <c r="B5" s="266" t="s">
        <v>230</v>
      </c>
      <c r="C5" s="114" t="s">
        <v>14</v>
      </c>
      <c r="D5" s="120">
        <f>I51/10</f>
        <v>2095.5172413793107</v>
      </c>
      <c r="E5" s="116">
        <f>H52</f>
        <v>22.651612004911321</v>
      </c>
      <c r="F5" s="126">
        <v>1</v>
      </c>
      <c r="G5" s="118">
        <f t="shared" ref="G5:G19" si="0">D5*E5</f>
        <v>47466.84350132625</v>
      </c>
      <c r="H5" s="119">
        <f t="shared" ref="H5:H19" si="1">G5*F5</f>
        <v>47466.84350132625</v>
      </c>
      <c r="I5" s="80">
        <f>VLOOKUP(B5,All_Ingredients!$A$1:$F$149,6,FALSE())</f>
        <v>0.99</v>
      </c>
      <c r="J5" s="118">
        <f>VLOOKUP(B5,All_Ingredients!$A$1:$J$149,10,FALSE())</f>
        <v>11.75</v>
      </c>
      <c r="K5" s="121">
        <f t="shared" ref="K5" si="2">(H5/I5)/1000</f>
        <v>47.946306566996206</v>
      </c>
      <c r="L5" s="121">
        <f t="shared" ref="L5" si="3">K5*J5</f>
        <v>563.36910216220542</v>
      </c>
      <c r="M5" s="99"/>
      <c r="N5" s="99"/>
      <c r="O5" s="99"/>
      <c r="P5" s="99"/>
      <c r="AA5" s="91"/>
      <c r="AB5" s="132"/>
      <c r="AC5" s="253"/>
      <c r="AD5" s="134"/>
      <c r="AE5" s="135"/>
      <c r="AI5" s="1"/>
      <c r="AJ5" s="266" t="s">
        <v>230</v>
      </c>
      <c r="AK5" s="123" t="s">
        <v>231</v>
      </c>
      <c r="AL5" s="124">
        <v>10</v>
      </c>
      <c r="AM5" s="222">
        <f t="shared" ref="AM5:AM13" si="4">$AO$1</f>
        <v>4.7466843501326252</v>
      </c>
      <c r="AN5" s="126">
        <v>1</v>
      </c>
      <c r="AO5" s="118">
        <f t="shared" ref="AO5:AO13" si="5">AL5*AM5</f>
        <v>47.466843501326252</v>
      </c>
      <c r="AP5" s="119">
        <f t="shared" ref="AP5:AP13" si="6">AO5*AN5</f>
        <v>47.466843501326252</v>
      </c>
      <c r="AQ5" s="294"/>
      <c r="AR5" s="1152"/>
      <c r="AS5" s="174"/>
      <c r="AT5" s="1153"/>
    </row>
    <row r="6" spans="1:46" ht="14.25" customHeight="1" x14ac:dyDescent="0.3">
      <c r="A6" s="269" t="s">
        <v>13</v>
      </c>
      <c r="B6" s="221" t="s">
        <v>12</v>
      </c>
      <c r="C6" s="123" t="s">
        <v>14</v>
      </c>
      <c r="D6" s="124">
        <v>200</v>
      </c>
      <c r="E6" s="222">
        <f t="shared" ref="E6:E19" si="7">$I$1</f>
        <v>23.280706730769243</v>
      </c>
      <c r="F6" s="126">
        <v>1</v>
      </c>
      <c r="G6" s="118">
        <f t="shared" si="0"/>
        <v>4656.1413461538486</v>
      </c>
      <c r="H6" s="119">
        <f t="shared" si="1"/>
        <v>4656.1413461538486</v>
      </c>
      <c r="I6" s="80">
        <f>VLOOKUP(B6,All_Ingredients!$A$1:$F$149,6,FALSE())</f>
        <v>0.9</v>
      </c>
      <c r="J6" s="118">
        <f>VLOOKUP(B6,All_Ingredients!$A$1:$J$149,10,FALSE())</f>
        <v>3</v>
      </c>
      <c r="K6" s="121">
        <f t="shared" ref="K6:K19" si="8">(H6/I6)/1000</f>
        <v>5.1734903846153877</v>
      </c>
      <c r="L6" s="121">
        <f t="shared" ref="L6:L19" si="9">K6*J6</f>
        <v>15.520471153846163</v>
      </c>
      <c r="AI6" s="1" t="s">
        <v>95</v>
      </c>
      <c r="AJ6" s="293" t="s">
        <v>145</v>
      </c>
      <c r="AK6" s="123" t="s">
        <v>14</v>
      </c>
      <c r="AL6" s="124">
        <v>50</v>
      </c>
      <c r="AM6" s="222">
        <f t="shared" si="4"/>
        <v>4.7466843501326252</v>
      </c>
      <c r="AN6" s="126">
        <v>1</v>
      </c>
      <c r="AO6" s="118">
        <f t="shared" si="5"/>
        <v>237.33421750663126</v>
      </c>
      <c r="AP6" s="119">
        <f t="shared" si="6"/>
        <v>237.33421750663126</v>
      </c>
      <c r="AQ6" s="1153">
        <f>VLOOKUP(AJ6,Marination_Ordering!$A:$J,6,FALSE)</f>
        <v>1</v>
      </c>
      <c r="AR6" s="1153">
        <f>VLOOKUP(AJ6,Marination_Ordering!$A:$J,10,FALSE)</f>
        <v>18</v>
      </c>
      <c r="AS6" s="174">
        <f>AP6/AQ6</f>
        <v>237.33421750663126</v>
      </c>
      <c r="AT6" s="1153">
        <f>AR6*(AS6/1000)</f>
        <v>4.2720159151193622</v>
      </c>
    </row>
    <row r="7" spans="1:46" ht="14.25" customHeight="1" x14ac:dyDescent="0.3">
      <c r="A7" s="269" t="s">
        <v>13</v>
      </c>
      <c r="B7" s="221" t="s">
        <v>762</v>
      </c>
      <c r="C7" s="123" t="s">
        <v>14</v>
      </c>
      <c r="D7" s="124">
        <v>25</v>
      </c>
      <c r="E7" s="222">
        <f t="shared" si="7"/>
        <v>23.280706730769243</v>
      </c>
      <c r="F7" s="126">
        <v>1</v>
      </c>
      <c r="G7" s="118">
        <f t="shared" si="0"/>
        <v>582.01766826923108</v>
      </c>
      <c r="H7" s="119">
        <f t="shared" si="1"/>
        <v>582.01766826923108</v>
      </c>
      <c r="I7" s="80">
        <f>VLOOKUP(B7,All_Ingredients!$A$1:$F$149,6,FALSE())</f>
        <v>1</v>
      </c>
      <c r="J7" s="118">
        <f>VLOOKUP(B7,All_Ingredients!$A$1:$J$149,10,FALSE())</f>
        <v>10.5</v>
      </c>
      <c r="K7" s="121">
        <f t="shared" si="8"/>
        <v>0.58201766826923107</v>
      </c>
      <c r="L7" s="121">
        <f t="shared" si="9"/>
        <v>6.111185516826926</v>
      </c>
      <c r="AI7" s="1" t="s">
        <v>95</v>
      </c>
      <c r="AJ7" s="293" t="s">
        <v>150</v>
      </c>
      <c r="AK7" s="123" t="s">
        <v>14</v>
      </c>
      <c r="AL7" s="124">
        <v>50</v>
      </c>
      <c r="AM7" s="222">
        <f t="shared" si="4"/>
        <v>4.7466843501326252</v>
      </c>
      <c r="AN7" s="126">
        <v>1</v>
      </c>
      <c r="AO7" s="118">
        <f t="shared" si="5"/>
        <v>237.33421750663126</v>
      </c>
      <c r="AP7" s="119">
        <f t="shared" si="6"/>
        <v>237.33421750663126</v>
      </c>
      <c r="AQ7" s="1153">
        <f>VLOOKUP(AJ7,Marination_Ordering!$A:$J,6,FALSE)</f>
        <v>1</v>
      </c>
      <c r="AR7" s="1153">
        <f>VLOOKUP(AJ7,Marination_Ordering!$A:$J,10,FALSE)</f>
        <v>10</v>
      </c>
      <c r="AS7" s="174">
        <f t="shared" ref="AS7:AS8" si="10">AP7/AQ7</f>
        <v>237.33421750663126</v>
      </c>
      <c r="AT7" s="1153">
        <f t="shared" ref="AT7:AT8" si="11">AR7*(AS7/1000)</f>
        <v>2.3733421750663126</v>
      </c>
    </row>
    <row r="8" spans="1:46" ht="14.25" customHeight="1" x14ac:dyDescent="0.3">
      <c r="A8" s="269" t="s">
        <v>13</v>
      </c>
      <c r="B8" s="221" t="s">
        <v>17</v>
      </c>
      <c r="C8" s="123" t="s">
        <v>14</v>
      </c>
      <c r="D8" s="124">
        <v>200</v>
      </c>
      <c r="E8" s="222">
        <f t="shared" si="7"/>
        <v>23.280706730769243</v>
      </c>
      <c r="F8" s="126">
        <v>1</v>
      </c>
      <c r="G8" s="118">
        <f t="shared" si="0"/>
        <v>4656.1413461538486</v>
      </c>
      <c r="H8" s="119">
        <f t="shared" si="1"/>
        <v>4656.1413461538486</v>
      </c>
      <c r="I8" s="80">
        <f>VLOOKUP(B8,All_Ingredients!$A$1:$F$149,6,FALSE())</f>
        <v>0.98</v>
      </c>
      <c r="J8" s="118">
        <f>VLOOKUP(B8,All_Ingredients!$A$1:$J$149,10,FALSE())</f>
        <v>3.5</v>
      </c>
      <c r="K8" s="121">
        <f t="shared" si="8"/>
        <v>4.7511646389324991</v>
      </c>
      <c r="L8" s="121">
        <f t="shared" si="9"/>
        <v>16.629076236263746</v>
      </c>
      <c r="AI8" s="1" t="s">
        <v>95</v>
      </c>
      <c r="AJ8" s="293" t="s">
        <v>106</v>
      </c>
      <c r="AK8" s="123" t="s">
        <v>14</v>
      </c>
      <c r="AL8" s="124">
        <v>50</v>
      </c>
      <c r="AM8" s="222">
        <f t="shared" si="4"/>
        <v>4.7466843501326252</v>
      </c>
      <c r="AN8" s="126">
        <v>1</v>
      </c>
      <c r="AO8" s="118">
        <f t="shared" si="5"/>
        <v>237.33421750663126</v>
      </c>
      <c r="AP8" s="119">
        <f t="shared" si="6"/>
        <v>237.33421750663126</v>
      </c>
      <c r="AQ8" s="1153">
        <f>VLOOKUP(AJ8,Marination_Ordering!$A:$J,6,FALSE)</f>
        <v>1</v>
      </c>
      <c r="AR8" s="1153">
        <f>VLOOKUP(AJ8,Marination_Ordering!$A:$J,10,FALSE)</f>
        <v>15</v>
      </c>
      <c r="AS8" s="174">
        <f t="shared" si="10"/>
        <v>237.33421750663126</v>
      </c>
      <c r="AT8" s="1153">
        <f t="shared" si="11"/>
        <v>3.5600132625994689</v>
      </c>
    </row>
    <row r="9" spans="1:46" ht="14.25" customHeight="1" x14ac:dyDescent="0.3">
      <c r="A9" s="269" t="s">
        <v>192</v>
      </c>
      <c r="B9" s="221" t="s">
        <v>731</v>
      </c>
      <c r="C9" s="123" t="s">
        <v>14</v>
      </c>
      <c r="D9" s="124">
        <v>240</v>
      </c>
      <c r="E9" s="222">
        <f t="shared" si="7"/>
        <v>23.280706730769243</v>
      </c>
      <c r="F9" s="126">
        <v>1</v>
      </c>
      <c r="G9" s="118">
        <f t="shared" si="0"/>
        <v>5587.3696153846186</v>
      </c>
      <c r="H9" s="119">
        <f t="shared" si="1"/>
        <v>5587.3696153846186</v>
      </c>
      <c r="I9" s="80">
        <f>VLOOKUP(B9,All_Ingredients!$A$1:$F$149,6,FALSE())</f>
        <v>1</v>
      </c>
      <c r="J9" s="118">
        <f>VLOOKUP(B9,All_Ingredients!$A$1:$J$149,10,FALSE())</f>
        <v>8.1520833333333336</v>
      </c>
      <c r="K9" s="121">
        <f t="shared" si="8"/>
        <v>5.5873696153846186</v>
      </c>
      <c r="L9" s="121">
        <f t="shared" si="9"/>
        <v>45.548702718750029</v>
      </c>
      <c r="AI9" s="1" t="s">
        <v>95</v>
      </c>
      <c r="AJ9" s="435" t="s">
        <v>760</v>
      </c>
      <c r="AK9" s="123" t="s">
        <v>14</v>
      </c>
      <c r="AL9" s="124">
        <v>100</v>
      </c>
      <c r="AM9" s="222">
        <f t="shared" si="4"/>
        <v>4.7466843501326252</v>
      </c>
      <c r="AN9" s="126">
        <v>1</v>
      </c>
      <c r="AO9" s="118">
        <f t="shared" si="5"/>
        <v>474.66843501326252</v>
      </c>
      <c r="AP9" s="119">
        <f t="shared" si="6"/>
        <v>474.66843501326252</v>
      </c>
      <c r="AQ9" s="1153">
        <f>VLOOKUP(AJ9,Marination_Ordering!$A:$J,6,FALSE)</f>
        <v>1</v>
      </c>
      <c r="AR9" s="1153">
        <f>VLOOKUP(AJ9,Marination_Ordering!$A:$J,10,FALSE)</f>
        <v>43.333333333333336</v>
      </c>
      <c r="AS9" s="174">
        <f t="shared" ref="AS9:AS13" si="12">AP9/AQ9</f>
        <v>474.66843501326252</v>
      </c>
      <c r="AT9" s="1153">
        <f t="shared" ref="AT9:AT13" si="13">AR9*(AS9/1000)</f>
        <v>20.568965517241377</v>
      </c>
    </row>
    <row r="10" spans="1:46" ht="14.25" customHeight="1" x14ac:dyDescent="0.3">
      <c r="A10" s="269" t="s">
        <v>95</v>
      </c>
      <c r="B10" s="221" t="s">
        <v>140</v>
      </c>
      <c r="C10" s="123" t="s">
        <v>14</v>
      </c>
      <c r="D10" s="124">
        <v>6</v>
      </c>
      <c r="E10" s="222">
        <f t="shared" si="7"/>
        <v>23.280706730769243</v>
      </c>
      <c r="F10" s="126">
        <v>0.75</v>
      </c>
      <c r="G10" s="118">
        <f t="shared" si="0"/>
        <v>139.68424038461546</v>
      </c>
      <c r="H10" s="119">
        <f t="shared" si="1"/>
        <v>104.7631802884616</v>
      </c>
      <c r="I10" s="80">
        <f>VLOOKUP(B10,All_Ingredients!$A$1:$F$149,6,FALSE())</f>
        <v>1</v>
      </c>
      <c r="J10" s="118">
        <f>VLOOKUP(B10,All_Ingredients!$A$1:$J$149,10,FALSE())</f>
        <v>15.277777777777779</v>
      </c>
      <c r="K10" s="121">
        <f t="shared" si="8"/>
        <v>0.1047631802884616</v>
      </c>
      <c r="L10" s="121">
        <f t="shared" si="9"/>
        <v>1.6005485877403856</v>
      </c>
      <c r="AI10" s="1" t="s">
        <v>95</v>
      </c>
      <c r="AJ10" s="293" t="s">
        <v>94</v>
      </c>
      <c r="AK10" s="123" t="s">
        <v>14</v>
      </c>
      <c r="AL10" s="124">
        <v>25</v>
      </c>
      <c r="AM10" s="222">
        <f t="shared" si="4"/>
        <v>4.7466843501326252</v>
      </c>
      <c r="AN10" s="126">
        <v>1</v>
      </c>
      <c r="AO10" s="118">
        <f t="shared" si="5"/>
        <v>118.66710875331563</v>
      </c>
      <c r="AP10" s="119">
        <f t="shared" si="6"/>
        <v>118.66710875331563</v>
      </c>
      <c r="AQ10" s="1153">
        <f>VLOOKUP(AJ10,Marination_Ordering!$A:$J,6,FALSE)</f>
        <v>1</v>
      </c>
      <c r="AR10" s="1153">
        <f>VLOOKUP(AJ10,Marination_Ordering!$A:$J,10,FALSE)</f>
        <v>0.74</v>
      </c>
      <c r="AS10" s="174">
        <f t="shared" si="12"/>
        <v>118.66710875331563</v>
      </c>
      <c r="AT10" s="1153">
        <f t="shared" si="13"/>
        <v>8.7813660477453565E-2</v>
      </c>
    </row>
    <row r="11" spans="1:46" ht="14.25" customHeight="1" x14ac:dyDescent="0.3">
      <c r="A11" s="269" t="s">
        <v>95</v>
      </c>
      <c r="B11" s="221" t="s">
        <v>106</v>
      </c>
      <c r="C11" s="123" t="s">
        <v>14</v>
      </c>
      <c r="D11" s="124">
        <v>10</v>
      </c>
      <c r="E11" s="222">
        <f t="shared" si="7"/>
        <v>23.280706730769243</v>
      </c>
      <c r="F11" s="126">
        <v>0.75</v>
      </c>
      <c r="G11" s="118">
        <f t="shared" si="0"/>
        <v>232.80706730769242</v>
      </c>
      <c r="H11" s="119">
        <f t="shared" si="1"/>
        <v>174.6053004807693</v>
      </c>
      <c r="I11" s="80">
        <f>VLOOKUP(B11,All_Ingredients!$A$1:$F$149,6,FALSE())</f>
        <v>1</v>
      </c>
      <c r="J11" s="118">
        <f>VLOOKUP(B11,All_Ingredients!$A$1:$J$149,10,FALSE())</f>
        <v>15</v>
      </c>
      <c r="K11" s="121">
        <f t="shared" si="8"/>
        <v>0.1746053004807693</v>
      </c>
      <c r="L11" s="121">
        <f t="shared" si="9"/>
        <v>2.6190795072115396</v>
      </c>
      <c r="AI11" s="1" t="s">
        <v>95</v>
      </c>
      <c r="AJ11" s="293" t="s">
        <v>100</v>
      </c>
      <c r="AK11" s="123" t="s">
        <v>14</v>
      </c>
      <c r="AL11" s="124">
        <v>25</v>
      </c>
      <c r="AM11" s="222">
        <f t="shared" si="4"/>
        <v>4.7466843501326252</v>
      </c>
      <c r="AN11" s="126">
        <v>1</v>
      </c>
      <c r="AO11" s="118">
        <f t="shared" si="5"/>
        <v>118.66710875331563</v>
      </c>
      <c r="AP11" s="119">
        <f t="shared" si="6"/>
        <v>118.66710875331563</v>
      </c>
      <c r="AQ11" s="1153">
        <f>VLOOKUP(AJ11,Marination_Ordering!$A:$J,6,FALSE)</f>
        <v>1</v>
      </c>
      <c r="AR11" s="1153">
        <f>VLOOKUP(AJ11,Marination_Ordering!$A:$J,10,FALSE)</f>
        <v>31</v>
      </c>
      <c r="AS11" s="174">
        <f t="shared" si="12"/>
        <v>118.66710875331563</v>
      </c>
      <c r="AT11" s="1153">
        <f t="shared" si="13"/>
        <v>3.6786803713527845</v>
      </c>
    </row>
    <row r="12" spans="1:46" ht="14.25" customHeight="1" x14ac:dyDescent="0.3">
      <c r="A12" s="269" t="s">
        <v>95</v>
      </c>
      <c r="B12" s="221" t="s">
        <v>108</v>
      </c>
      <c r="C12" s="123" t="s">
        <v>14</v>
      </c>
      <c r="D12" s="124">
        <v>10</v>
      </c>
      <c r="E12" s="222">
        <f t="shared" si="7"/>
        <v>23.280706730769243</v>
      </c>
      <c r="F12" s="126">
        <v>0.75</v>
      </c>
      <c r="G12" s="118">
        <f t="shared" si="0"/>
        <v>232.80706730769242</v>
      </c>
      <c r="H12" s="119">
        <f t="shared" si="1"/>
        <v>174.6053004807693</v>
      </c>
      <c r="I12" s="80">
        <f>VLOOKUP(B12,All_Ingredients!$A$1:$F$149,6,FALSE())</f>
        <v>1</v>
      </c>
      <c r="J12" s="118">
        <f>VLOOKUP(B12,All_Ingredients!$A$1:$J$149,10,FALSE())</f>
        <v>8</v>
      </c>
      <c r="K12" s="121">
        <f t="shared" si="8"/>
        <v>0.1746053004807693</v>
      </c>
      <c r="L12" s="121">
        <f t="shared" si="9"/>
        <v>1.3968424038461544</v>
      </c>
      <c r="AI12" s="1" t="s">
        <v>95</v>
      </c>
      <c r="AJ12" s="293" t="s">
        <v>108</v>
      </c>
      <c r="AK12" s="123" t="s">
        <v>14</v>
      </c>
      <c r="AL12" s="124">
        <v>50</v>
      </c>
      <c r="AM12" s="222">
        <f t="shared" si="4"/>
        <v>4.7466843501326252</v>
      </c>
      <c r="AN12" s="126">
        <v>1</v>
      </c>
      <c r="AO12" s="118">
        <f t="shared" si="5"/>
        <v>237.33421750663126</v>
      </c>
      <c r="AP12" s="119">
        <f t="shared" si="6"/>
        <v>237.33421750663126</v>
      </c>
      <c r="AQ12" s="1153">
        <f>VLOOKUP(AJ12,Marination_Ordering!$A:$J,6,FALSE)</f>
        <v>1</v>
      </c>
      <c r="AR12" s="1153">
        <f>VLOOKUP(AJ12,Marination_Ordering!$A:$J,10,FALSE)</f>
        <v>8</v>
      </c>
      <c r="AS12" s="174">
        <f t="shared" si="12"/>
        <v>237.33421750663126</v>
      </c>
      <c r="AT12" s="1153">
        <f t="shared" si="13"/>
        <v>1.89867374005305</v>
      </c>
    </row>
    <row r="13" spans="1:46" ht="14.25" customHeight="1" x14ac:dyDescent="0.3">
      <c r="A13" s="269" t="s">
        <v>154</v>
      </c>
      <c r="B13" s="221" t="s">
        <v>167</v>
      </c>
      <c r="C13" s="123" t="s">
        <v>161</v>
      </c>
      <c r="D13" s="124">
        <v>500</v>
      </c>
      <c r="E13" s="222">
        <f t="shared" si="7"/>
        <v>23.280706730769243</v>
      </c>
      <c r="F13" s="126">
        <v>1</v>
      </c>
      <c r="G13" s="118">
        <f t="shared" si="0"/>
        <v>11640.353365384621</v>
      </c>
      <c r="H13" s="119">
        <f t="shared" si="1"/>
        <v>11640.353365384621</v>
      </c>
      <c r="I13" s="80">
        <f>VLOOKUP(B13,All_Ingredients!$A$1:$F$149,6,FALSE())</f>
        <v>1</v>
      </c>
      <c r="J13" s="118">
        <f>VLOOKUP(B13,All_Ingredients!$A$1:$J$149,10,FALSE())</f>
        <v>12.666666666666666</v>
      </c>
      <c r="K13" s="121">
        <f t="shared" si="8"/>
        <v>11.640353365384621</v>
      </c>
      <c r="L13" s="121">
        <f t="shared" si="9"/>
        <v>147.44447596153853</v>
      </c>
      <c r="AI13" s="1" t="s">
        <v>95</v>
      </c>
      <c r="AJ13" s="435" t="s">
        <v>119</v>
      </c>
      <c r="AK13" s="123" t="s">
        <v>14</v>
      </c>
      <c r="AL13" s="124">
        <v>50</v>
      </c>
      <c r="AM13" s="222">
        <f t="shared" si="4"/>
        <v>4.7466843501326252</v>
      </c>
      <c r="AN13" s="126">
        <v>1</v>
      </c>
      <c r="AO13" s="118">
        <f t="shared" si="5"/>
        <v>237.33421750663126</v>
      </c>
      <c r="AP13" s="119">
        <f t="shared" si="6"/>
        <v>237.33421750663126</v>
      </c>
      <c r="AQ13" s="1153">
        <f>VLOOKUP(AJ13,Marination_Ordering!$A:$J,6,FALSE)</f>
        <v>1</v>
      </c>
      <c r="AR13" s="1153">
        <f>VLOOKUP(AJ13,Marination_Ordering!$A:$J,10,FALSE)</f>
        <v>15</v>
      </c>
      <c r="AS13" s="174">
        <f t="shared" si="12"/>
        <v>237.33421750663126</v>
      </c>
      <c r="AT13" s="1153">
        <f t="shared" si="13"/>
        <v>3.5600132625994689</v>
      </c>
    </row>
    <row r="14" spans="1:46" ht="14.25" customHeight="1" x14ac:dyDescent="0.3">
      <c r="A14" s="269" t="s">
        <v>154</v>
      </c>
      <c r="B14" s="221" t="s">
        <v>153</v>
      </c>
      <c r="C14" s="123" t="s">
        <v>14</v>
      </c>
      <c r="D14" s="124">
        <v>25</v>
      </c>
      <c r="E14" s="222">
        <f t="shared" si="7"/>
        <v>23.280706730769243</v>
      </c>
      <c r="F14" s="126">
        <v>1</v>
      </c>
      <c r="G14" s="118">
        <f t="shared" si="0"/>
        <v>582.01766826923108</v>
      </c>
      <c r="H14" s="119">
        <f t="shared" si="1"/>
        <v>582.01766826923108</v>
      </c>
      <c r="I14" s="80">
        <f>VLOOKUP(B14,All_Ingredients!$A$1:$F$149,6,FALSE())</f>
        <v>1</v>
      </c>
      <c r="J14" s="118">
        <f>VLOOKUP(B14,All_Ingredients!$A$1:$J$149,10,FALSE())</f>
        <v>30</v>
      </c>
      <c r="K14" s="121">
        <f t="shared" si="8"/>
        <v>0.58201766826923107</v>
      </c>
      <c r="L14" s="121">
        <f t="shared" si="9"/>
        <v>17.460530048076933</v>
      </c>
      <c r="AQ14" s="14"/>
      <c r="AR14" s="1128"/>
      <c r="AS14" s="553"/>
      <c r="AT14" s="1126"/>
    </row>
    <row r="15" spans="1:46" ht="14.25" customHeight="1" x14ac:dyDescent="0.3">
      <c r="A15" s="269" t="s">
        <v>81</v>
      </c>
      <c r="B15" s="221" t="s">
        <v>88</v>
      </c>
      <c r="C15" s="123" t="s">
        <v>14</v>
      </c>
      <c r="D15" s="124">
        <v>1</v>
      </c>
      <c r="E15" s="222">
        <f t="shared" si="7"/>
        <v>23.280706730769243</v>
      </c>
      <c r="F15" s="126">
        <v>1</v>
      </c>
      <c r="G15" s="118">
        <f t="shared" si="0"/>
        <v>23.280706730769243</v>
      </c>
      <c r="H15" s="119">
        <f t="shared" si="1"/>
        <v>23.280706730769243</v>
      </c>
      <c r="I15" s="80">
        <f>VLOOKUP(B15,All_Ingredients!$A$1:$F$149,6,FALSE())</f>
        <v>1</v>
      </c>
      <c r="J15" s="118">
        <f>VLOOKUP(B15,All_Ingredients!$A$1:$J$149,10,FALSE())</f>
        <v>20</v>
      </c>
      <c r="K15" s="121">
        <f t="shared" si="8"/>
        <v>2.3280706730769242E-2</v>
      </c>
      <c r="L15" s="121">
        <f t="shared" si="9"/>
        <v>0.46561413461538481</v>
      </c>
    </row>
    <row r="16" spans="1:46" ht="14.25" customHeight="1" x14ac:dyDescent="0.3">
      <c r="A16" s="269" t="s">
        <v>95</v>
      </c>
      <c r="B16" s="221" t="s">
        <v>94</v>
      </c>
      <c r="C16" s="123" t="s">
        <v>14</v>
      </c>
      <c r="D16" s="124">
        <v>6</v>
      </c>
      <c r="E16" s="222">
        <f t="shared" si="7"/>
        <v>23.280706730769243</v>
      </c>
      <c r="F16" s="126">
        <v>1</v>
      </c>
      <c r="G16" s="118">
        <f t="shared" si="0"/>
        <v>139.68424038461546</v>
      </c>
      <c r="H16" s="119">
        <f t="shared" si="1"/>
        <v>139.68424038461546</v>
      </c>
      <c r="I16" s="80">
        <f>VLOOKUP(B16,All_Ingredients!$A$1:$F$149,6,FALSE())</f>
        <v>1</v>
      </c>
      <c r="J16" s="118">
        <f>VLOOKUP(B16,All_Ingredients!$A$1:$J$149,10,FALSE())</f>
        <v>0.74</v>
      </c>
      <c r="K16" s="121">
        <f t="shared" si="8"/>
        <v>0.13968424038461547</v>
      </c>
      <c r="L16" s="121">
        <f t="shared" si="9"/>
        <v>0.10336633788461544</v>
      </c>
    </row>
    <row r="17" spans="1:32" ht="14.25" customHeight="1" x14ac:dyDescent="0.3">
      <c r="A17" s="269" t="s">
        <v>154</v>
      </c>
      <c r="B17" s="221" t="s">
        <v>174</v>
      </c>
      <c r="C17" s="123" t="s">
        <v>14</v>
      </c>
      <c r="D17" s="124">
        <v>100</v>
      </c>
      <c r="E17" s="222">
        <f t="shared" si="7"/>
        <v>23.280706730769243</v>
      </c>
      <c r="F17" s="126">
        <v>1</v>
      </c>
      <c r="G17" s="118">
        <f t="shared" si="0"/>
        <v>2328.0706730769243</v>
      </c>
      <c r="H17" s="119">
        <f t="shared" si="1"/>
        <v>2328.0706730769243</v>
      </c>
      <c r="I17" s="80">
        <f>VLOOKUP(B17,All_Ingredients!$A$1:$F$149,6,FALSE())</f>
        <v>1</v>
      </c>
      <c r="J17" s="118">
        <f>VLOOKUP(B17,All_Ingredients!$A$1:$J$149,10,FALSE())</f>
        <v>17.934782608695652</v>
      </c>
      <c r="K17" s="121">
        <f t="shared" si="8"/>
        <v>2.3280706730769243</v>
      </c>
      <c r="L17" s="121">
        <f t="shared" si="9"/>
        <v>41.753441419314406</v>
      </c>
    </row>
    <row r="18" spans="1:32" ht="14.25" customHeight="1" x14ac:dyDescent="0.3">
      <c r="A18" s="269" t="s">
        <v>95</v>
      </c>
      <c r="B18" s="266" t="s">
        <v>100</v>
      </c>
      <c r="C18" s="123" t="s">
        <v>14</v>
      </c>
      <c r="D18" s="124">
        <v>3</v>
      </c>
      <c r="E18" s="222">
        <f t="shared" si="7"/>
        <v>23.280706730769243</v>
      </c>
      <c r="F18" s="126">
        <v>0.9</v>
      </c>
      <c r="G18" s="118">
        <f t="shared" si="0"/>
        <v>69.842120192307732</v>
      </c>
      <c r="H18" s="119">
        <f t="shared" si="1"/>
        <v>62.857908173076957</v>
      </c>
      <c r="I18" s="80">
        <f>VLOOKUP(B18,All_Ingredients!$A$1:$F$149,6,FALSE())</f>
        <v>1</v>
      </c>
      <c r="J18" s="118">
        <f>VLOOKUP(B18,All_Ingredients!$A$1:$J$149,10,FALSE())</f>
        <v>31</v>
      </c>
      <c r="K18" s="121">
        <f t="shared" si="8"/>
        <v>6.285790817307696E-2</v>
      </c>
      <c r="L18" s="121">
        <f t="shared" si="9"/>
        <v>1.9485951533653858</v>
      </c>
    </row>
    <row r="19" spans="1:32" ht="14.25" customHeight="1" x14ac:dyDescent="0.3">
      <c r="A19" s="269" t="s">
        <v>95</v>
      </c>
      <c r="B19" s="382" t="s">
        <v>123</v>
      </c>
      <c r="C19" s="123" t="s">
        <v>14</v>
      </c>
      <c r="D19" s="124">
        <v>5</v>
      </c>
      <c r="E19" s="222">
        <f t="shared" si="7"/>
        <v>23.280706730769243</v>
      </c>
      <c r="F19" s="126">
        <v>0.5</v>
      </c>
      <c r="G19" s="118">
        <f t="shared" si="0"/>
        <v>116.40353365384621</v>
      </c>
      <c r="H19" s="119">
        <f t="shared" si="1"/>
        <v>58.201766826923105</v>
      </c>
      <c r="I19" s="80">
        <f>VLOOKUP(B19,All_Ingredients!$A$1:$F$149,6,FALSE())</f>
        <v>1</v>
      </c>
      <c r="J19" s="118">
        <f>VLOOKUP(B19,All_Ingredients!$A$1:$J$149,10,FALSE())</f>
        <v>14</v>
      </c>
      <c r="K19" s="121">
        <f t="shared" si="8"/>
        <v>5.8201766826923108E-2</v>
      </c>
      <c r="L19" s="121">
        <f t="shared" si="9"/>
        <v>0.81482473557692348</v>
      </c>
    </row>
    <row r="20" spans="1:32" ht="14.25" customHeight="1" x14ac:dyDescent="0.3">
      <c r="B20" s="99"/>
      <c r="E20" s="99"/>
      <c r="F20" s="99"/>
      <c r="L20" s="208"/>
    </row>
    <row r="21" spans="1:32" ht="14.25" customHeight="1" x14ac:dyDescent="0.3">
      <c r="B21" s="99"/>
      <c r="E21" s="99"/>
      <c r="F21" s="99"/>
      <c r="L21" s="208"/>
    </row>
    <row r="22" spans="1:32" ht="14.25" customHeight="1" x14ac:dyDescent="0.3">
      <c r="L22" s="208"/>
    </row>
    <row r="23" spans="1:32" ht="41.75" customHeight="1" x14ac:dyDescent="0.3">
      <c r="L23" s="208"/>
    </row>
    <row r="24" spans="1:32" ht="14.25" customHeight="1" x14ac:dyDescent="0.3">
      <c r="L24" s="208"/>
      <c r="R24" s="5"/>
      <c r="Z24" s="1265"/>
    </row>
    <row r="25" spans="1:32" ht="14.25" customHeight="1" x14ac:dyDescent="0.3">
      <c r="L25" s="208"/>
      <c r="R25" s="1507" t="s">
        <v>386</v>
      </c>
      <c r="S25" s="1444"/>
      <c r="T25" s="1444"/>
      <c r="U25" s="1444"/>
      <c r="V25" s="1132"/>
      <c r="Z25" s="140" t="s">
        <v>256</v>
      </c>
      <c r="AA25" s="1224">
        <v>1</v>
      </c>
      <c r="AB25" s="140" t="s">
        <v>253</v>
      </c>
      <c r="AC25" s="142">
        <f>(AA25*(1.4))*AF30+(AA30*(AB28/R1))</f>
        <v>2.5667483099620508E-2</v>
      </c>
      <c r="AD25" s="14"/>
    </row>
    <row r="26" spans="1:32" ht="19.25" customHeight="1" x14ac:dyDescent="0.3">
      <c r="L26" s="208"/>
      <c r="R26" s="1506" t="s">
        <v>257</v>
      </c>
      <c r="S26" s="1444"/>
      <c r="T26" s="1444"/>
      <c r="U26" s="1444"/>
      <c r="V26" s="1132"/>
      <c r="Z26" s="14"/>
      <c r="AA26" s="14"/>
      <c r="AB26" s="14"/>
      <c r="AC26" s="14"/>
      <c r="AD26" s="14"/>
    </row>
    <row r="27" spans="1:32" ht="14.25" customHeight="1" thickBot="1" x14ac:dyDescent="0.35">
      <c r="R27" s="426" t="s">
        <v>258</v>
      </c>
      <c r="S27" s="427" t="s">
        <v>387</v>
      </c>
      <c r="T27" s="427" t="s">
        <v>260</v>
      </c>
      <c r="U27" s="427" t="s">
        <v>261</v>
      </c>
      <c r="V27" s="145" t="s">
        <v>808</v>
      </c>
      <c r="W27" s="145" t="s">
        <v>817</v>
      </c>
      <c r="Z27" s="140" t="s">
        <v>262</v>
      </c>
      <c r="AA27" s="1166" t="s">
        <v>316</v>
      </c>
      <c r="AB27" s="146" t="s">
        <v>263</v>
      </c>
      <c r="AC27" s="146" t="s">
        <v>264</v>
      </c>
      <c r="AD27" s="146" t="s">
        <v>265</v>
      </c>
      <c r="AE27" s="1167" t="s">
        <v>817</v>
      </c>
      <c r="AF27" s="146" t="s">
        <v>266</v>
      </c>
    </row>
    <row r="28" spans="1:32" ht="14.25" customHeight="1" thickBot="1" x14ac:dyDescent="0.35">
      <c r="R28" s="428" t="s">
        <v>267</v>
      </c>
      <c r="S28" s="1322">
        <f>U28*S40</f>
        <v>27146.15384615384</v>
      </c>
      <c r="T28" s="1323">
        <f>U28*U40</f>
        <v>8143.8461538461625</v>
      </c>
      <c r="U28" s="1326">
        <f>$Z$1</f>
        <v>35290</v>
      </c>
      <c r="V28" s="148">
        <f>SUM(AP5:AP13)</f>
        <v>1946.1405835543765</v>
      </c>
      <c r="W28" s="148">
        <f>H37</f>
        <v>229</v>
      </c>
      <c r="Z28" s="150"/>
      <c r="AA28" s="1169"/>
      <c r="AB28" s="151">
        <f>AA25*$S$40</f>
        <v>0.76923076923076905</v>
      </c>
      <c r="AC28" s="151">
        <f>AA25*U40</f>
        <v>0.230769230769231</v>
      </c>
      <c r="AD28" s="152">
        <f>AA25*0.4</f>
        <v>0.4</v>
      </c>
      <c r="AE28" s="1169"/>
      <c r="AF28" s="153">
        <f>SUM(AB28:AD28)</f>
        <v>1.4</v>
      </c>
    </row>
    <row r="29" spans="1:32" ht="14.25" customHeight="1" thickBot="1" x14ac:dyDescent="0.35">
      <c r="R29" s="428" t="s">
        <v>268</v>
      </c>
      <c r="S29" s="1219"/>
      <c r="T29" s="1221">
        <f>U28*0.4</f>
        <v>14116</v>
      </c>
      <c r="U29" s="1323">
        <f>T29</f>
        <v>14116</v>
      </c>
      <c r="V29" s="148"/>
      <c r="W29" s="148"/>
      <c r="Z29" s="150"/>
      <c r="AA29" s="1173"/>
      <c r="AB29" s="155">
        <f>AB28/$AF$28</f>
        <v>0.54945054945054939</v>
      </c>
      <c r="AC29" s="155">
        <f>AC28/$AF$28</f>
        <v>0.16483516483516503</v>
      </c>
      <c r="AD29" s="155">
        <f>AD28/$AF$28</f>
        <v>0.28571428571428575</v>
      </c>
      <c r="AE29" s="1173"/>
      <c r="AF29" s="155">
        <f>AF28/$AF$28</f>
        <v>1</v>
      </c>
    </row>
    <row r="30" spans="1:32" ht="14.75" customHeight="1" thickBot="1" x14ac:dyDescent="0.35">
      <c r="R30" s="428" t="s">
        <v>269</v>
      </c>
      <c r="S30" s="1324">
        <f>U30*S40</f>
        <v>384.61538461538453</v>
      </c>
      <c r="T30" s="1325">
        <f>(U30*U40)+(U30*0.4)</f>
        <v>315.38461538461547</v>
      </c>
      <c r="U30" s="1327">
        <f>$AB$1</f>
        <v>500</v>
      </c>
      <c r="V30" s="1124"/>
      <c r="W30" s="1124"/>
      <c r="Z30" s="140" t="s">
        <v>270</v>
      </c>
      <c r="AA30" s="1177">
        <f>V35/(S32/R1)</f>
        <v>8.4268333333333337E-4</v>
      </c>
      <c r="AB30" s="156">
        <f>S35/(S32)</f>
        <v>2.0463253221873909E-2</v>
      </c>
      <c r="AC30" s="157">
        <f>T35/T32</f>
        <v>1.3263065036878879E-2</v>
      </c>
      <c r="AD30" s="157">
        <f>T35/T32</f>
        <v>1.3263065036878879E-2</v>
      </c>
      <c r="AE30" s="1180">
        <f>W35/U32</f>
        <v>3.1640614205576486E-4</v>
      </c>
      <c r="AF30" s="1178">
        <f>(SUMPRODUCT(AB30:AD30,AB29:AD29))+AE30</f>
        <v>1.753561853332752E-2</v>
      </c>
    </row>
    <row r="31" spans="1:32" ht="14.25" customHeight="1" thickBot="1" x14ac:dyDescent="0.35">
      <c r="R31" s="428" t="s">
        <v>271</v>
      </c>
      <c r="S31" s="1219"/>
      <c r="T31" s="1218"/>
      <c r="U31" s="1218"/>
      <c r="V31" s="148"/>
      <c r="W31" s="148"/>
    </row>
    <row r="32" spans="1:32" ht="14.25" customHeight="1" thickBot="1" x14ac:dyDescent="0.35">
      <c r="R32" s="429" t="s">
        <v>261</v>
      </c>
      <c r="S32" s="1222">
        <f>SUM(S28:S30)</f>
        <v>27530.769230769223</v>
      </c>
      <c r="T32" s="1220">
        <f>SUM(T28:T30)</f>
        <v>22575.23076923078</v>
      </c>
      <c r="U32" s="1221">
        <f>SUM(S32:T32)</f>
        <v>50106</v>
      </c>
      <c r="V32" s="148"/>
      <c r="W32" s="148">
        <f>SUM(W28:W30)</f>
        <v>229</v>
      </c>
    </row>
    <row r="33" spans="2:23" ht="14.25" customHeight="1" thickBot="1" x14ac:dyDescent="0.35">
      <c r="R33" s="430" t="s">
        <v>272</v>
      </c>
      <c r="S33" s="1219"/>
      <c r="T33" s="1219"/>
      <c r="U33" s="1219"/>
      <c r="V33" s="154"/>
      <c r="W33" s="154"/>
    </row>
    <row r="34" spans="2:23" ht="14.25" customHeight="1" thickBot="1" x14ac:dyDescent="0.35">
      <c r="R34" s="425" t="s">
        <v>273</v>
      </c>
      <c r="S34" s="1219"/>
      <c r="T34" s="1218"/>
      <c r="U34" s="1219"/>
      <c r="V34" s="154"/>
      <c r="W34" s="154"/>
    </row>
    <row r="35" spans="2:23" ht="14.25" customHeight="1" thickBot="1" x14ac:dyDescent="0.35">
      <c r="B35" s="1484" t="s">
        <v>664</v>
      </c>
      <c r="C35" s="1484"/>
      <c r="D35" s="1484"/>
      <c r="E35" s="1484"/>
      <c r="F35" s="1484"/>
      <c r="G35" s="870"/>
      <c r="H35" s="870"/>
      <c r="I35" s="877"/>
      <c r="J35" s="877"/>
      <c r="K35" s="877"/>
      <c r="L35" s="877"/>
      <c r="R35" s="162" t="s">
        <v>253</v>
      </c>
      <c r="S35" s="1125">
        <f>$L$5</f>
        <v>563.36910216220542</v>
      </c>
      <c r="T35" s="1125">
        <f>SUM(L6:L19)</f>
        <v>299.41675391485705</v>
      </c>
      <c r="U35" s="1184">
        <f>S35+T35+V35+W35</f>
        <v>918.63922013541787</v>
      </c>
      <c r="V35" s="1125">
        <f>SUM(AT6:AT13)</f>
        <v>39.999517904509275</v>
      </c>
      <c r="W35" s="1125">
        <f>L37</f>
        <v>15.853846153846154</v>
      </c>
    </row>
    <row r="36" spans="2:23" ht="46.5" x14ac:dyDescent="0.3">
      <c r="B36" s="848" t="s">
        <v>245</v>
      </c>
      <c r="C36" s="848" t="s">
        <v>321</v>
      </c>
      <c r="D36" s="850" t="s">
        <v>645</v>
      </c>
      <c r="E36" s="847" t="s">
        <v>646</v>
      </c>
      <c r="F36" s="850" t="s">
        <v>647</v>
      </c>
      <c r="G36" s="870"/>
      <c r="H36" s="850" t="s">
        <v>647</v>
      </c>
      <c r="I36" s="850" t="s">
        <v>250</v>
      </c>
      <c r="J36" s="850" t="s">
        <v>251</v>
      </c>
      <c r="K36" s="850" t="s">
        <v>252</v>
      </c>
      <c r="L36" s="850" t="s">
        <v>253</v>
      </c>
    </row>
    <row r="37" spans="2:23" x14ac:dyDescent="0.3">
      <c r="B37" s="843" t="s">
        <v>716</v>
      </c>
      <c r="C37" s="844" t="s">
        <v>14</v>
      </c>
      <c r="D37" s="845">
        <v>1</v>
      </c>
      <c r="E37" s="843">
        <f>$AD$1</f>
        <v>229</v>
      </c>
      <c r="F37" s="843">
        <f>D37*E37</f>
        <v>229</v>
      </c>
      <c r="G37" s="14"/>
      <c r="H37" s="843">
        <f>F37</f>
        <v>229</v>
      </c>
      <c r="I37" s="843">
        <f>VLOOKUP(B37,All_Ingredients!$A$1:$F$149,6,FALSE())</f>
        <v>0.65</v>
      </c>
      <c r="J37" s="843">
        <f>VLOOKUP(B37,All_Ingredients!$A$1:$J$149,10,FALSE())</f>
        <v>45</v>
      </c>
      <c r="K37" s="843">
        <f>(H37/I37)/1000</f>
        <v>0.35230769230769232</v>
      </c>
      <c r="L37" s="843">
        <f t="shared" ref="L37" si="14">K37*J37</f>
        <v>15.853846153846154</v>
      </c>
    </row>
    <row r="39" spans="2:23" ht="14.25" customHeight="1" x14ac:dyDescent="0.3">
      <c r="S39" s="436"/>
      <c r="U39" s="436"/>
    </row>
    <row r="40" spans="2:23" ht="15" customHeight="1" x14ac:dyDescent="0.3">
      <c r="Q40" s="14"/>
      <c r="R40" s="164" t="s">
        <v>274</v>
      </c>
      <c r="S40" s="165">
        <v>0.76923076923076905</v>
      </c>
      <c r="T40" s="164" t="s">
        <v>275</v>
      </c>
      <c r="U40" s="166">
        <v>0.230769230769231</v>
      </c>
      <c r="V40" s="167">
        <f>S40+U40</f>
        <v>1</v>
      </c>
      <c r="W40" s="14"/>
    </row>
    <row r="41" spans="2:23" ht="14.25" customHeight="1" x14ac:dyDescent="0.3">
      <c r="Q41" s="14"/>
      <c r="R41" s="14"/>
      <c r="S41" s="14"/>
      <c r="T41" s="14"/>
      <c r="U41" s="168"/>
      <c r="V41" s="14"/>
      <c r="W41" s="14"/>
    </row>
    <row r="42" spans="2:23" ht="14.25" customHeight="1" x14ac:dyDescent="0.3">
      <c r="Q42" s="14"/>
      <c r="R42" s="14"/>
      <c r="S42" s="14"/>
      <c r="T42" s="14"/>
      <c r="U42" s="14"/>
      <c r="V42" s="14"/>
      <c r="W42" s="14"/>
    </row>
    <row r="43" spans="2:23" ht="14.25" customHeight="1" x14ac:dyDescent="0.3">
      <c r="Q43" s="169" t="s">
        <v>276</v>
      </c>
      <c r="R43" s="169" t="s">
        <v>277</v>
      </c>
      <c r="S43" s="169" t="s">
        <v>278</v>
      </c>
      <c r="T43" s="169" t="s">
        <v>279</v>
      </c>
      <c r="U43" s="169" t="s">
        <v>280</v>
      </c>
      <c r="V43" s="169" t="s">
        <v>281</v>
      </c>
      <c r="W43" s="257" t="s">
        <v>282</v>
      </c>
    </row>
    <row r="44" spans="2:23" ht="14.25" customHeight="1" x14ac:dyDescent="0.3">
      <c r="Q44" s="171">
        <v>15854</v>
      </c>
      <c r="R44" s="172">
        <f>D51</f>
        <v>10000</v>
      </c>
      <c r="S44" s="173">
        <v>0.37</v>
      </c>
      <c r="T44" s="173">
        <v>0.63</v>
      </c>
      <c r="U44" s="241">
        <f>R44*S44</f>
        <v>3700</v>
      </c>
      <c r="V44" s="175">
        <f>R44*T44</f>
        <v>6300</v>
      </c>
      <c r="W44" s="259">
        <f>Q44-U44</f>
        <v>12154</v>
      </c>
    </row>
    <row r="45" spans="2:23" ht="14.25" customHeight="1" x14ac:dyDescent="0.3"/>
    <row r="50" spans="1:10" x14ac:dyDescent="0.3">
      <c r="B50" s="144"/>
      <c r="C50" s="144" t="s">
        <v>237</v>
      </c>
      <c r="D50" s="143" t="s">
        <v>283</v>
      </c>
      <c r="E50" s="437"/>
      <c r="F50" s="99"/>
      <c r="G50" s="144" t="s">
        <v>284</v>
      </c>
      <c r="H50" s="144" t="s">
        <v>237</v>
      </c>
      <c r="I50" s="144" t="s">
        <v>285</v>
      </c>
      <c r="J50" s="144" t="s">
        <v>286</v>
      </c>
    </row>
    <row r="51" spans="1:10" x14ac:dyDescent="0.3">
      <c r="B51" s="179" t="s">
        <v>287</v>
      </c>
      <c r="C51" s="180">
        <f>10/$K$1</f>
        <v>10.3125</v>
      </c>
      <c r="D51" s="181">
        <f>$C$1*10</f>
        <v>10000</v>
      </c>
      <c r="E51" s="182"/>
      <c r="F51" s="99"/>
      <c r="G51" s="179" t="s">
        <v>287</v>
      </c>
      <c r="H51" s="276">
        <f>I51/$D$5</f>
        <v>10</v>
      </c>
      <c r="I51" s="180">
        <f>J51/$R$1</f>
        <v>20955.172413793105</v>
      </c>
      <c r="J51" s="180">
        <f>$W$44</f>
        <v>12154</v>
      </c>
    </row>
    <row r="52" spans="1:10" x14ac:dyDescent="0.3">
      <c r="B52" s="230" t="s">
        <v>266</v>
      </c>
      <c r="C52" s="231">
        <f>$I$1</f>
        <v>23.280706730769243</v>
      </c>
      <c r="D52" s="232">
        <f>$E$1</f>
        <v>22575.23076923078</v>
      </c>
      <c r="E52" s="99"/>
      <c r="F52" s="99"/>
      <c r="G52" s="147" t="s">
        <v>266</v>
      </c>
      <c r="H52" s="209">
        <f>I52/$D$5</f>
        <v>22.651612004911321</v>
      </c>
      <c r="I52" s="175">
        <f>J52/$R$1</f>
        <v>47466.84350132625</v>
      </c>
      <c r="J52" s="183">
        <f>$S$32</f>
        <v>27530.769230769223</v>
      </c>
    </row>
    <row r="53" spans="1:10" ht="18" customHeight="1" x14ac:dyDescent="0.3">
      <c r="B53" s="230" t="s">
        <v>288</v>
      </c>
      <c r="C53" s="233">
        <f>MIN(C52, C51)</f>
        <v>10.3125</v>
      </c>
      <c r="D53" s="232">
        <f>(C53*$K$1)*$C$1</f>
        <v>10000</v>
      </c>
      <c r="E53" s="99"/>
      <c r="F53" s="99"/>
      <c r="G53" s="147" t="s">
        <v>288</v>
      </c>
      <c r="H53" s="186">
        <f>MIN(H52,H51)</f>
        <v>10</v>
      </c>
      <c r="I53" s="175">
        <f>J53/$R$1</f>
        <v>20955.172413793105</v>
      </c>
      <c r="J53" s="175">
        <f>MIN(J52,J51)</f>
        <v>12154</v>
      </c>
    </row>
    <row r="54" spans="1:10" x14ac:dyDescent="0.3">
      <c r="B54" s="230" t="s">
        <v>289</v>
      </c>
      <c r="C54" s="233">
        <f>MIN(MAX(C52-C53,0),C51)</f>
        <v>10.3125</v>
      </c>
      <c r="D54" s="232">
        <f>(C54*$K$1)*$C$1</f>
        <v>10000</v>
      </c>
      <c r="E54" s="99"/>
      <c r="F54" s="99"/>
      <c r="G54" s="147" t="s">
        <v>289</v>
      </c>
      <c r="H54" s="186">
        <f>MIN(MAX(H52-H53),H51)</f>
        <v>10</v>
      </c>
      <c r="I54" s="175">
        <f>J54/$R$1</f>
        <v>20955.172413793105</v>
      </c>
      <c r="J54" s="175">
        <f>MIN(MAX(J52-J53),J51)</f>
        <v>12154</v>
      </c>
    </row>
    <row r="55" spans="1:10" x14ac:dyDescent="0.3">
      <c r="B55" s="230" t="s">
        <v>290</v>
      </c>
      <c r="C55" s="233">
        <f>MIN(MAX(C52-C53-C54,0),C51)</f>
        <v>2.6557067307692428</v>
      </c>
      <c r="D55" s="232">
        <f>(C55*$K$1)*$C$1</f>
        <v>2575.2307692307809</v>
      </c>
      <c r="E55" s="99"/>
      <c r="F55" s="99"/>
      <c r="G55" s="144" t="s">
        <v>290</v>
      </c>
      <c r="H55" s="186">
        <f>MIN(MAX(H52-H53-H54),H51)</f>
        <v>2.6516120049113212</v>
      </c>
      <c r="I55" s="175">
        <f>J55/$R$1</f>
        <v>5556.4986737400404</v>
      </c>
      <c r="J55" s="175">
        <f>MIN(MAX(J52-J53-J54),J51)</f>
        <v>3222.7692307692232</v>
      </c>
    </row>
    <row r="62" spans="1:10" ht="17.75" customHeight="1" x14ac:dyDescent="0.3">
      <c r="A62" s="923"/>
      <c r="B62" s="1438" t="str">
        <f>" داوود باشا 1 / " &amp; COUNTIF($C$53:$C$55, "&gt;0")</f>
        <v xml:space="preserve"> داوود باشا 1 / 3</v>
      </c>
      <c r="C62" s="1439"/>
      <c r="D62" s="1439"/>
      <c r="E62" s="1439"/>
      <c r="F62" s="1439"/>
      <c r="G62" s="1439"/>
      <c r="H62" s="1439"/>
    </row>
    <row r="63" spans="1:10" ht="17.75" customHeight="1" x14ac:dyDescent="0.3">
      <c r="A63" s="961"/>
      <c r="B63" s="1508" t="str">
        <f>" Daoud Basha 1 / " &amp; COUNTIF($C$53:$C$55, "&gt;0")</f>
        <v xml:space="preserve"> Daoud Basha 1 / 3</v>
      </c>
      <c r="C63" s="1437"/>
      <c r="D63" s="1437"/>
      <c r="E63" s="1437"/>
      <c r="F63" s="1437"/>
      <c r="G63" s="1437"/>
      <c r="H63" s="1437"/>
    </row>
    <row r="64" spans="1:10" ht="25.5" customHeight="1" x14ac:dyDescent="0.3">
      <c r="A64" s="90"/>
      <c r="B64" s="242" t="s">
        <v>245</v>
      </c>
      <c r="C64" s="243" t="s">
        <v>246</v>
      </c>
      <c r="D64" s="244" t="s">
        <v>235</v>
      </c>
      <c r="E64" s="217" t="s">
        <v>238</v>
      </c>
      <c r="F64" s="217" t="s">
        <v>247</v>
      </c>
      <c r="G64" s="244" t="s">
        <v>248</v>
      </c>
      <c r="H64" s="217" t="s">
        <v>249</v>
      </c>
    </row>
    <row r="65" spans="1:8" ht="14.25" customHeight="1" x14ac:dyDescent="0.3">
      <c r="A65" s="269" t="s">
        <v>225</v>
      </c>
      <c r="B65" s="293" t="str">
        <f t="shared" ref="B65:D79" si="15">B5</f>
        <v>Indian Meat Tammam Mafroom - مفروم هندى</v>
      </c>
      <c r="C65" s="293" t="str">
        <f t="shared" si="15"/>
        <v>gm</v>
      </c>
      <c r="D65" s="438">
        <f t="shared" si="15"/>
        <v>2095.5172413793107</v>
      </c>
      <c r="E65" s="280">
        <f>H53</f>
        <v>10</v>
      </c>
      <c r="F65" s="126">
        <f t="shared" ref="F65:F79" si="16">F5</f>
        <v>1</v>
      </c>
      <c r="G65" s="118">
        <f t="shared" ref="G65:G79" si="17">D65*E65</f>
        <v>20955.172413793109</v>
      </c>
      <c r="H65" s="119">
        <f t="shared" ref="H65:H79" si="18">G65*F65</f>
        <v>20955.172413793109</v>
      </c>
    </row>
    <row r="66" spans="1:8" ht="14.25" customHeight="1" x14ac:dyDescent="0.3">
      <c r="A66" s="269" t="s">
        <v>13</v>
      </c>
      <c r="B66" s="293" t="str">
        <f t="shared" si="15"/>
        <v>Onion - بصل</v>
      </c>
      <c r="C66" s="293" t="str">
        <f t="shared" si="15"/>
        <v>gm</v>
      </c>
      <c r="D66" s="223">
        <f t="shared" si="15"/>
        <v>200</v>
      </c>
      <c r="E66" s="280">
        <f t="shared" ref="E66:E79" si="19">$C$53</f>
        <v>10.3125</v>
      </c>
      <c r="F66" s="126">
        <f t="shared" si="16"/>
        <v>1</v>
      </c>
      <c r="G66" s="118">
        <f t="shared" si="17"/>
        <v>2062.5</v>
      </c>
      <c r="H66" s="119">
        <f t="shared" si="18"/>
        <v>2062.5</v>
      </c>
    </row>
    <row r="67" spans="1:8" ht="14.25" customHeight="1" x14ac:dyDescent="0.3">
      <c r="A67" s="269" t="s">
        <v>13</v>
      </c>
      <c r="B67" s="293" t="str">
        <f t="shared" si="15"/>
        <v>Garlic - ثوم مقشر</v>
      </c>
      <c r="C67" s="293" t="str">
        <f t="shared" si="15"/>
        <v>gm</v>
      </c>
      <c r="D67" s="223">
        <f t="shared" si="15"/>
        <v>25</v>
      </c>
      <c r="E67" s="280">
        <f t="shared" si="19"/>
        <v>10.3125</v>
      </c>
      <c r="F67" s="126">
        <f t="shared" si="16"/>
        <v>1</v>
      </c>
      <c r="G67" s="118">
        <f t="shared" si="17"/>
        <v>257.8125</v>
      </c>
      <c r="H67" s="119">
        <f t="shared" si="18"/>
        <v>257.8125</v>
      </c>
    </row>
    <row r="68" spans="1:8" ht="14.25" customHeight="1" x14ac:dyDescent="0.3">
      <c r="A68" s="269" t="s">
        <v>13</v>
      </c>
      <c r="B68" s="293" t="str">
        <f t="shared" si="15"/>
        <v>Tomato - طماطم</v>
      </c>
      <c r="C68" s="293" t="str">
        <f t="shared" si="15"/>
        <v>gm</v>
      </c>
      <c r="D68" s="223">
        <f t="shared" si="15"/>
        <v>200</v>
      </c>
      <c r="E68" s="280">
        <f t="shared" si="19"/>
        <v>10.3125</v>
      </c>
      <c r="F68" s="126">
        <f t="shared" si="16"/>
        <v>1</v>
      </c>
      <c r="G68" s="118">
        <f t="shared" si="17"/>
        <v>2062.5</v>
      </c>
      <c r="H68" s="119">
        <f t="shared" si="18"/>
        <v>2062.5</v>
      </c>
    </row>
    <row r="69" spans="1:8" ht="14.25" customHeight="1" x14ac:dyDescent="0.3">
      <c r="A69" s="269" t="s">
        <v>192</v>
      </c>
      <c r="B69" s="293" t="str">
        <f t="shared" si="15"/>
        <v>Tomato Paste - صلصة طماطم</v>
      </c>
      <c r="C69" s="293" t="str">
        <f t="shared" si="15"/>
        <v>gm</v>
      </c>
      <c r="D69" s="223">
        <f t="shared" si="15"/>
        <v>240</v>
      </c>
      <c r="E69" s="280">
        <f t="shared" si="19"/>
        <v>10.3125</v>
      </c>
      <c r="F69" s="126">
        <f t="shared" si="16"/>
        <v>1</v>
      </c>
      <c r="G69" s="118">
        <f t="shared" si="17"/>
        <v>2475</v>
      </c>
      <c r="H69" s="119">
        <f t="shared" si="18"/>
        <v>2475</v>
      </c>
    </row>
    <row r="70" spans="1:8" ht="14.25" customHeight="1" x14ac:dyDescent="0.3">
      <c r="A70" s="269" t="s">
        <v>95</v>
      </c>
      <c r="B70" s="293" t="str">
        <f t="shared" si="15"/>
        <v>Maggi Cubes - مكعبات ماجي</v>
      </c>
      <c r="C70" s="293" t="str">
        <f t="shared" si="15"/>
        <v>gm</v>
      </c>
      <c r="D70" s="223">
        <f t="shared" si="15"/>
        <v>6</v>
      </c>
      <c r="E70" s="280">
        <f t="shared" si="19"/>
        <v>10.3125</v>
      </c>
      <c r="F70" s="126">
        <f t="shared" si="16"/>
        <v>0.75</v>
      </c>
      <c r="G70" s="118">
        <f t="shared" si="17"/>
        <v>61.875</v>
      </c>
      <c r="H70" s="119">
        <f t="shared" si="18"/>
        <v>46.40625</v>
      </c>
    </row>
    <row r="71" spans="1:8" ht="14.25" customHeight="1" x14ac:dyDescent="0.3">
      <c r="A71" s="269" t="s">
        <v>95</v>
      </c>
      <c r="B71" s="293" t="str">
        <f t="shared" si="15"/>
        <v>Cumin Powder - كمون مطحون</v>
      </c>
      <c r="C71" s="293" t="str">
        <f t="shared" si="15"/>
        <v>gm</v>
      </c>
      <c r="D71" s="223">
        <f t="shared" si="15"/>
        <v>10</v>
      </c>
      <c r="E71" s="280">
        <f t="shared" si="19"/>
        <v>10.3125</v>
      </c>
      <c r="F71" s="126">
        <f t="shared" si="16"/>
        <v>0.75</v>
      </c>
      <c r="G71" s="118">
        <f t="shared" si="17"/>
        <v>103.125</v>
      </c>
      <c r="H71" s="119">
        <f t="shared" si="18"/>
        <v>77.34375</v>
      </c>
    </row>
    <row r="72" spans="1:8" ht="14.25" customHeight="1" x14ac:dyDescent="0.3">
      <c r="A72" s="269" t="s">
        <v>95</v>
      </c>
      <c r="B72" s="293" t="str">
        <f t="shared" si="15"/>
        <v>Coriander Powder - كزبرة مطحونة</v>
      </c>
      <c r="C72" s="293" t="str">
        <f t="shared" si="15"/>
        <v>gm</v>
      </c>
      <c r="D72" s="223">
        <f t="shared" si="15"/>
        <v>10</v>
      </c>
      <c r="E72" s="280">
        <f t="shared" si="19"/>
        <v>10.3125</v>
      </c>
      <c r="F72" s="126">
        <f t="shared" si="16"/>
        <v>0.75</v>
      </c>
      <c r="G72" s="118">
        <f t="shared" si="17"/>
        <v>103.125</v>
      </c>
      <c r="H72" s="119">
        <f t="shared" si="18"/>
        <v>77.34375</v>
      </c>
    </row>
    <row r="73" spans="1:8" ht="14.25" customHeight="1" x14ac:dyDescent="0.3">
      <c r="A73" s="269" t="s">
        <v>154</v>
      </c>
      <c r="B73" s="293" t="str">
        <f t="shared" si="15"/>
        <v>Cooking Cream - كريمة طبخ</v>
      </c>
      <c r="C73" s="293" t="str">
        <f t="shared" si="15"/>
        <v>ml</v>
      </c>
      <c r="D73" s="223">
        <f t="shared" si="15"/>
        <v>500</v>
      </c>
      <c r="E73" s="280">
        <f t="shared" si="19"/>
        <v>10.3125</v>
      </c>
      <c r="F73" s="126">
        <f t="shared" si="16"/>
        <v>1</v>
      </c>
      <c r="G73" s="118">
        <f t="shared" si="17"/>
        <v>5156.25</v>
      </c>
      <c r="H73" s="119">
        <f t="shared" si="18"/>
        <v>5156.25</v>
      </c>
    </row>
    <row r="74" spans="1:8" ht="14.25" customHeight="1" x14ac:dyDescent="0.3">
      <c r="A74" s="269" t="s">
        <v>154</v>
      </c>
      <c r="B74" s="293" t="str">
        <f t="shared" si="15"/>
        <v>Butter - زبدة</v>
      </c>
      <c r="C74" s="293" t="str">
        <f t="shared" si="15"/>
        <v>gm</v>
      </c>
      <c r="D74" s="223">
        <f t="shared" si="15"/>
        <v>25</v>
      </c>
      <c r="E74" s="280">
        <f t="shared" si="19"/>
        <v>10.3125</v>
      </c>
      <c r="F74" s="126">
        <f t="shared" si="16"/>
        <v>1</v>
      </c>
      <c r="G74" s="118">
        <f t="shared" si="17"/>
        <v>257.8125</v>
      </c>
      <c r="H74" s="119">
        <f t="shared" si="18"/>
        <v>257.8125</v>
      </c>
    </row>
    <row r="75" spans="1:8" ht="14.25" customHeight="1" x14ac:dyDescent="0.3">
      <c r="A75" s="269" t="s">
        <v>81</v>
      </c>
      <c r="B75" s="293" t="str">
        <f t="shared" si="15"/>
        <v>Dried Mint Leaves - نعناع مجفف</v>
      </c>
      <c r="C75" s="293" t="str">
        <f t="shared" si="15"/>
        <v>gm</v>
      </c>
      <c r="D75" s="223">
        <f t="shared" si="15"/>
        <v>1</v>
      </c>
      <c r="E75" s="280">
        <f t="shared" si="19"/>
        <v>10.3125</v>
      </c>
      <c r="F75" s="126">
        <f t="shared" si="16"/>
        <v>1</v>
      </c>
      <c r="G75" s="118">
        <f t="shared" si="17"/>
        <v>10.3125</v>
      </c>
      <c r="H75" s="119">
        <f t="shared" si="18"/>
        <v>10.3125</v>
      </c>
    </row>
    <row r="76" spans="1:8" ht="14.25" customHeight="1" x14ac:dyDescent="0.3">
      <c r="A76" s="269" t="s">
        <v>95</v>
      </c>
      <c r="B76" s="293" t="str">
        <f t="shared" si="15"/>
        <v>Salt - ملح</v>
      </c>
      <c r="C76" s="293" t="str">
        <f t="shared" si="15"/>
        <v>gm</v>
      </c>
      <c r="D76" s="223">
        <f t="shared" si="15"/>
        <v>6</v>
      </c>
      <c r="E76" s="280">
        <f t="shared" si="19"/>
        <v>10.3125</v>
      </c>
      <c r="F76" s="126">
        <f t="shared" si="16"/>
        <v>1</v>
      </c>
      <c r="G76" s="118">
        <f t="shared" si="17"/>
        <v>61.875</v>
      </c>
      <c r="H76" s="119">
        <f t="shared" si="18"/>
        <v>61.875</v>
      </c>
    </row>
    <row r="77" spans="1:8" ht="18" customHeight="1" x14ac:dyDescent="0.3">
      <c r="A77" s="269" t="s">
        <v>154</v>
      </c>
      <c r="B77" s="293" t="str">
        <f t="shared" si="15"/>
        <v>Mozzarella Cheese - جبنة موتزاريلا</v>
      </c>
      <c r="C77" s="293" t="str">
        <f t="shared" si="15"/>
        <v>gm</v>
      </c>
      <c r="D77" s="223">
        <f t="shared" si="15"/>
        <v>100</v>
      </c>
      <c r="E77" s="280">
        <f t="shared" si="19"/>
        <v>10.3125</v>
      </c>
      <c r="F77" s="126">
        <f t="shared" si="16"/>
        <v>1</v>
      </c>
      <c r="G77" s="118">
        <f t="shared" si="17"/>
        <v>1031.25</v>
      </c>
      <c r="H77" s="119">
        <f t="shared" si="18"/>
        <v>1031.25</v>
      </c>
    </row>
    <row r="78" spans="1:8" ht="18" customHeight="1" x14ac:dyDescent="0.3">
      <c r="A78" s="269" t="s">
        <v>95</v>
      </c>
      <c r="B78" s="293" t="str">
        <f t="shared" si="15"/>
        <v>Black Pepper Powder - فلفل أسود مطحون</v>
      </c>
      <c r="C78" s="293" t="str">
        <f t="shared" si="15"/>
        <v>gm</v>
      </c>
      <c r="D78" s="223">
        <f t="shared" si="15"/>
        <v>3</v>
      </c>
      <c r="E78" s="280">
        <f t="shared" si="19"/>
        <v>10.3125</v>
      </c>
      <c r="F78" s="126">
        <f t="shared" si="16"/>
        <v>0.9</v>
      </c>
      <c r="G78" s="118">
        <f t="shared" si="17"/>
        <v>30.9375</v>
      </c>
      <c r="H78" s="119">
        <f t="shared" si="18"/>
        <v>27.84375</v>
      </c>
    </row>
    <row r="79" spans="1:8" ht="14.25" customHeight="1" x14ac:dyDescent="0.3">
      <c r="A79" s="269" t="s">
        <v>95</v>
      </c>
      <c r="B79" s="293" t="str">
        <f t="shared" si="15"/>
        <v>Cinnamon Powder - قرفة مطحونة</v>
      </c>
      <c r="C79" s="293" t="str">
        <f t="shared" si="15"/>
        <v>gm</v>
      </c>
      <c r="D79" s="223">
        <f t="shared" si="15"/>
        <v>5</v>
      </c>
      <c r="E79" s="280">
        <f t="shared" si="19"/>
        <v>10.3125</v>
      </c>
      <c r="F79" s="126">
        <f t="shared" si="16"/>
        <v>0.5</v>
      </c>
      <c r="G79" s="118">
        <f t="shared" si="17"/>
        <v>51.5625</v>
      </c>
      <c r="H79" s="119">
        <f t="shared" si="18"/>
        <v>25.78125</v>
      </c>
    </row>
    <row r="80" spans="1:8" ht="20.25" customHeight="1" x14ac:dyDescent="0.3">
      <c r="A80" s="210"/>
      <c r="B80" s="197" t="s">
        <v>291</v>
      </c>
      <c r="C80" s="199" t="s">
        <v>277</v>
      </c>
      <c r="D80" s="14"/>
      <c r="E80" s="199" t="s">
        <v>292</v>
      </c>
      <c r="F80" s="14"/>
      <c r="G80" s="878" t="s">
        <v>268</v>
      </c>
      <c r="H80" s="878" t="s">
        <v>703</v>
      </c>
    </row>
    <row r="81" spans="1:8" ht="24" customHeight="1" x14ac:dyDescent="0.4">
      <c r="A81" s="210"/>
      <c r="B81" s="198">
        <f>$J$53</f>
        <v>12154</v>
      </c>
      <c r="C81" s="198">
        <f>E81+G81</f>
        <v>10000</v>
      </c>
      <c r="D81" s="915"/>
      <c r="E81" s="198">
        <f>$D$53*$S$44</f>
        <v>3700</v>
      </c>
      <c r="F81" s="919"/>
      <c r="G81" s="198">
        <f>$D$53*$T$44</f>
        <v>6300</v>
      </c>
      <c r="H81" s="198">
        <f>B81+E81</f>
        <v>15854</v>
      </c>
    </row>
    <row r="82" spans="1:8" ht="14.25" customHeight="1" x14ac:dyDescent="0.3">
      <c r="B82" s="99"/>
      <c r="C82" s="99"/>
      <c r="D82" s="213"/>
      <c r="E82" s="99"/>
      <c r="F82" s="99"/>
      <c r="G82" s="99"/>
      <c r="H82" s="99"/>
    </row>
    <row r="83" spans="1:8" ht="14.25" customHeight="1" x14ac:dyDescent="0.3">
      <c r="B83" s="99"/>
      <c r="C83" s="99"/>
      <c r="D83" s="213"/>
      <c r="E83" s="99"/>
      <c r="F83" s="99"/>
      <c r="G83" s="99"/>
      <c r="H83" s="99"/>
    </row>
    <row r="84" spans="1:8" ht="17.75" customHeight="1" x14ac:dyDescent="0.3">
      <c r="A84" s="923"/>
      <c r="B84" s="1438" t="str">
        <f>"  داوود باشا 2 / " &amp; COUNTIF($C$53:$C$55, "&gt;0")</f>
        <v xml:space="preserve">  داوود باشا 2 / 3</v>
      </c>
      <c r="C84" s="1439"/>
      <c r="D84" s="1439"/>
      <c r="E84" s="1439"/>
      <c r="F84" s="1439"/>
      <c r="G84" s="1439"/>
      <c r="H84" s="1439"/>
    </row>
    <row r="85" spans="1:8" ht="17.75" customHeight="1" x14ac:dyDescent="0.3">
      <c r="A85" s="961"/>
      <c r="B85" s="1508" t="str">
        <f>" Daoud Basha 2 / " &amp; COUNTIF($C$53:$C$55, "&gt;0")</f>
        <v xml:space="preserve"> Daoud Basha 2 / 3</v>
      </c>
      <c r="C85" s="1437"/>
      <c r="D85" s="1437"/>
      <c r="E85" s="1437"/>
      <c r="F85" s="1437"/>
      <c r="G85" s="1437"/>
      <c r="H85" s="1437"/>
    </row>
    <row r="86" spans="1:8" ht="25.5" customHeight="1" x14ac:dyDescent="0.3">
      <c r="A86" s="90"/>
      <c r="B86" s="242" t="s">
        <v>245</v>
      </c>
      <c r="C86" s="243" t="s">
        <v>246</v>
      </c>
      <c r="D86" s="244" t="s">
        <v>235</v>
      </c>
      <c r="E86" s="217" t="s">
        <v>238</v>
      </c>
      <c r="F86" s="217" t="s">
        <v>247</v>
      </c>
      <c r="G86" s="244" t="s">
        <v>248</v>
      </c>
      <c r="H86" s="217" t="s">
        <v>249</v>
      </c>
    </row>
    <row r="87" spans="1:8" ht="14.25" customHeight="1" x14ac:dyDescent="0.3">
      <c r="A87" s="269" t="s">
        <v>225</v>
      </c>
      <c r="B87" s="293" t="str">
        <f t="shared" ref="B87:D101" si="20">B5</f>
        <v>Indian Meat Tammam Mafroom - مفروم هندى</v>
      </c>
      <c r="C87" s="293" t="str">
        <f t="shared" si="20"/>
        <v>gm</v>
      </c>
      <c r="D87" s="438">
        <f t="shared" si="20"/>
        <v>2095.5172413793107</v>
      </c>
      <c r="E87" s="439">
        <f>H54</f>
        <v>10</v>
      </c>
      <c r="F87" s="126">
        <f t="shared" ref="F87:F101" si="21">F5</f>
        <v>1</v>
      </c>
      <c r="G87" s="118">
        <f t="shared" ref="G87:G101" si="22">D87*E87</f>
        <v>20955.172413793109</v>
      </c>
      <c r="H87" s="119">
        <f t="shared" ref="H87:H101" si="23">G87*F87</f>
        <v>20955.172413793109</v>
      </c>
    </row>
    <row r="88" spans="1:8" ht="14.25" customHeight="1" x14ac:dyDescent="0.3">
      <c r="A88" s="269" t="s">
        <v>13</v>
      </c>
      <c r="B88" s="293" t="str">
        <f t="shared" si="20"/>
        <v>Onion - بصل</v>
      </c>
      <c r="C88" s="293" t="str">
        <f t="shared" si="20"/>
        <v>gm</v>
      </c>
      <c r="D88" s="223">
        <f t="shared" si="20"/>
        <v>200</v>
      </c>
      <c r="E88" s="439">
        <f t="shared" ref="E88:E101" si="24">$C$54</f>
        <v>10.3125</v>
      </c>
      <c r="F88" s="126">
        <f t="shared" si="21"/>
        <v>1</v>
      </c>
      <c r="G88" s="118">
        <f t="shared" si="22"/>
        <v>2062.5</v>
      </c>
      <c r="H88" s="119">
        <f t="shared" si="23"/>
        <v>2062.5</v>
      </c>
    </row>
    <row r="89" spans="1:8" ht="14.25" customHeight="1" x14ac:dyDescent="0.3">
      <c r="A89" s="269" t="s">
        <v>13</v>
      </c>
      <c r="B89" s="293" t="str">
        <f t="shared" si="20"/>
        <v>Garlic - ثوم مقشر</v>
      </c>
      <c r="C89" s="293" t="str">
        <f t="shared" si="20"/>
        <v>gm</v>
      </c>
      <c r="D89" s="223">
        <f t="shared" si="20"/>
        <v>25</v>
      </c>
      <c r="E89" s="439">
        <f t="shared" si="24"/>
        <v>10.3125</v>
      </c>
      <c r="F89" s="126">
        <f t="shared" si="21"/>
        <v>1</v>
      </c>
      <c r="G89" s="118">
        <f t="shared" si="22"/>
        <v>257.8125</v>
      </c>
      <c r="H89" s="119">
        <f t="shared" si="23"/>
        <v>257.8125</v>
      </c>
    </row>
    <row r="90" spans="1:8" ht="14.25" customHeight="1" x14ac:dyDescent="0.3">
      <c r="A90" s="269" t="s">
        <v>13</v>
      </c>
      <c r="B90" s="293" t="str">
        <f t="shared" si="20"/>
        <v>Tomato - طماطم</v>
      </c>
      <c r="C90" s="293" t="str">
        <f t="shared" si="20"/>
        <v>gm</v>
      </c>
      <c r="D90" s="223">
        <f t="shared" si="20"/>
        <v>200</v>
      </c>
      <c r="E90" s="439">
        <f t="shared" si="24"/>
        <v>10.3125</v>
      </c>
      <c r="F90" s="126">
        <f t="shared" si="21"/>
        <v>1</v>
      </c>
      <c r="G90" s="118">
        <f t="shared" si="22"/>
        <v>2062.5</v>
      </c>
      <c r="H90" s="119">
        <f t="shared" si="23"/>
        <v>2062.5</v>
      </c>
    </row>
    <row r="91" spans="1:8" ht="14.25" customHeight="1" x14ac:dyDescent="0.3">
      <c r="A91" s="269" t="s">
        <v>192</v>
      </c>
      <c r="B91" s="293" t="str">
        <f t="shared" si="20"/>
        <v>Tomato Paste - صلصة طماطم</v>
      </c>
      <c r="C91" s="293" t="str">
        <f t="shared" si="20"/>
        <v>gm</v>
      </c>
      <c r="D91" s="223">
        <f t="shared" si="20"/>
        <v>240</v>
      </c>
      <c r="E91" s="439">
        <f t="shared" si="24"/>
        <v>10.3125</v>
      </c>
      <c r="F91" s="126">
        <f t="shared" si="21"/>
        <v>1</v>
      </c>
      <c r="G91" s="118">
        <f t="shared" si="22"/>
        <v>2475</v>
      </c>
      <c r="H91" s="119">
        <f t="shared" si="23"/>
        <v>2475</v>
      </c>
    </row>
    <row r="92" spans="1:8" ht="14.25" customHeight="1" x14ac:dyDescent="0.3">
      <c r="A92" s="269" t="s">
        <v>95</v>
      </c>
      <c r="B92" s="293" t="str">
        <f t="shared" si="20"/>
        <v>Maggi Cubes - مكعبات ماجي</v>
      </c>
      <c r="C92" s="293" t="str">
        <f t="shared" si="20"/>
        <v>gm</v>
      </c>
      <c r="D92" s="223">
        <f t="shared" si="20"/>
        <v>6</v>
      </c>
      <c r="E92" s="439">
        <f t="shared" si="24"/>
        <v>10.3125</v>
      </c>
      <c r="F92" s="126">
        <f t="shared" si="21"/>
        <v>0.75</v>
      </c>
      <c r="G92" s="118">
        <f t="shared" si="22"/>
        <v>61.875</v>
      </c>
      <c r="H92" s="119">
        <f t="shared" si="23"/>
        <v>46.40625</v>
      </c>
    </row>
    <row r="93" spans="1:8" ht="14.25" customHeight="1" x14ac:dyDescent="0.3">
      <c r="A93" s="269" t="s">
        <v>95</v>
      </c>
      <c r="B93" s="293" t="str">
        <f t="shared" si="20"/>
        <v>Cumin Powder - كمون مطحون</v>
      </c>
      <c r="C93" s="293" t="str">
        <f t="shared" si="20"/>
        <v>gm</v>
      </c>
      <c r="D93" s="223">
        <f t="shared" si="20"/>
        <v>10</v>
      </c>
      <c r="E93" s="439">
        <f t="shared" si="24"/>
        <v>10.3125</v>
      </c>
      <c r="F93" s="126">
        <f t="shared" si="21"/>
        <v>0.75</v>
      </c>
      <c r="G93" s="118">
        <f t="shared" si="22"/>
        <v>103.125</v>
      </c>
      <c r="H93" s="119">
        <f t="shared" si="23"/>
        <v>77.34375</v>
      </c>
    </row>
    <row r="94" spans="1:8" ht="14.25" customHeight="1" x14ac:dyDescent="0.3">
      <c r="A94" s="269" t="s">
        <v>95</v>
      </c>
      <c r="B94" s="293" t="str">
        <f t="shared" si="20"/>
        <v>Coriander Powder - كزبرة مطحونة</v>
      </c>
      <c r="C94" s="293" t="str">
        <f t="shared" si="20"/>
        <v>gm</v>
      </c>
      <c r="D94" s="223">
        <f t="shared" si="20"/>
        <v>10</v>
      </c>
      <c r="E94" s="439">
        <f t="shared" si="24"/>
        <v>10.3125</v>
      </c>
      <c r="F94" s="126">
        <f t="shared" si="21"/>
        <v>0.75</v>
      </c>
      <c r="G94" s="118">
        <f t="shared" si="22"/>
        <v>103.125</v>
      </c>
      <c r="H94" s="119">
        <f t="shared" si="23"/>
        <v>77.34375</v>
      </c>
    </row>
    <row r="95" spans="1:8" ht="14.25" customHeight="1" x14ac:dyDescent="0.3">
      <c r="A95" s="269" t="s">
        <v>154</v>
      </c>
      <c r="B95" s="293" t="str">
        <f t="shared" si="20"/>
        <v>Cooking Cream - كريمة طبخ</v>
      </c>
      <c r="C95" s="293" t="str">
        <f t="shared" si="20"/>
        <v>ml</v>
      </c>
      <c r="D95" s="223">
        <f t="shared" si="20"/>
        <v>500</v>
      </c>
      <c r="E95" s="439">
        <f t="shared" si="24"/>
        <v>10.3125</v>
      </c>
      <c r="F95" s="126">
        <f t="shared" si="21"/>
        <v>1</v>
      </c>
      <c r="G95" s="118">
        <f t="shared" si="22"/>
        <v>5156.25</v>
      </c>
      <c r="H95" s="119">
        <f t="shared" si="23"/>
        <v>5156.25</v>
      </c>
    </row>
    <row r="96" spans="1:8" ht="14.25" customHeight="1" x14ac:dyDescent="0.3">
      <c r="A96" s="269" t="s">
        <v>154</v>
      </c>
      <c r="B96" s="293" t="str">
        <f t="shared" si="20"/>
        <v>Butter - زبدة</v>
      </c>
      <c r="C96" s="293" t="str">
        <f t="shared" si="20"/>
        <v>gm</v>
      </c>
      <c r="D96" s="223">
        <f t="shared" si="20"/>
        <v>25</v>
      </c>
      <c r="E96" s="439">
        <f t="shared" si="24"/>
        <v>10.3125</v>
      </c>
      <c r="F96" s="126">
        <f t="shared" si="21"/>
        <v>1</v>
      </c>
      <c r="G96" s="118">
        <f t="shared" si="22"/>
        <v>257.8125</v>
      </c>
      <c r="H96" s="119">
        <f t="shared" si="23"/>
        <v>257.8125</v>
      </c>
    </row>
    <row r="97" spans="1:8" ht="14.25" customHeight="1" x14ac:dyDescent="0.3">
      <c r="A97" s="269" t="s">
        <v>81</v>
      </c>
      <c r="B97" s="293" t="str">
        <f t="shared" si="20"/>
        <v>Dried Mint Leaves - نعناع مجفف</v>
      </c>
      <c r="C97" s="293" t="str">
        <f t="shared" si="20"/>
        <v>gm</v>
      </c>
      <c r="D97" s="223">
        <f t="shared" si="20"/>
        <v>1</v>
      </c>
      <c r="E97" s="439">
        <f t="shared" si="24"/>
        <v>10.3125</v>
      </c>
      <c r="F97" s="126">
        <f t="shared" si="21"/>
        <v>1</v>
      </c>
      <c r="G97" s="118">
        <f t="shared" si="22"/>
        <v>10.3125</v>
      </c>
      <c r="H97" s="119">
        <f t="shared" si="23"/>
        <v>10.3125</v>
      </c>
    </row>
    <row r="98" spans="1:8" ht="14.25" customHeight="1" x14ac:dyDescent="0.3">
      <c r="A98" s="269" t="s">
        <v>95</v>
      </c>
      <c r="B98" s="293" t="str">
        <f t="shared" si="20"/>
        <v>Salt - ملح</v>
      </c>
      <c r="C98" s="293" t="str">
        <f t="shared" si="20"/>
        <v>gm</v>
      </c>
      <c r="D98" s="223">
        <f t="shared" si="20"/>
        <v>6</v>
      </c>
      <c r="E98" s="439">
        <f t="shared" si="24"/>
        <v>10.3125</v>
      </c>
      <c r="F98" s="126">
        <f t="shared" si="21"/>
        <v>1</v>
      </c>
      <c r="G98" s="118">
        <f t="shared" si="22"/>
        <v>61.875</v>
      </c>
      <c r="H98" s="119">
        <f t="shared" si="23"/>
        <v>61.875</v>
      </c>
    </row>
    <row r="99" spans="1:8" ht="14.25" customHeight="1" x14ac:dyDescent="0.3">
      <c r="A99" s="269" t="s">
        <v>154</v>
      </c>
      <c r="B99" s="293" t="str">
        <f t="shared" si="20"/>
        <v>Mozzarella Cheese - جبنة موتزاريلا</v>
      </c>
      <c r="C99" s="293" t="str">
        <f t="shared" si="20"/>
        <v>gm</v>
      </c>
      <c r="D99" s="223">
        <f t="shared" si="20"/>
        <v>100</v>
      </c>
      <c r="E99" s="439">
        <f t="shared" si="24"/>
        <v>10.3125</v>
      </c>
      <c r="F99" s="126">
        <f t="shared" si="21"/>
        <v>1</v>
      </c>
      <c r="G99" s="118">
        <f t="shared" si="22"/>
        <v>1031.25</v>
      </c>
      <c r="H99" s="119">
        <f t="shared" si="23"/>
        <v>1031.25</v>
      </c>
    </row>
    <row r="100" spans="1:8" ht="14.25" customHeight="1" x14ac:dyDescent="0.3">
      <c r="A100" s="269" t="s">
        <v>95</v>
      </c>
      <c r="B100" s="293" t="str">
        <f t="shared" si="20"/>
        <v>Black Pepper Powder - فلفل أسود مطحون</v>
      </c>
      <c r="C100" s="293" t="str">
        <f t="shared" si="20"/>
        <v>gm</v>
      </c>
      <c r="D100" s="223">
        <f t="shared" si="20"/>
        <v>3</v>
      </c>
      <c r="E100" s="439">
        <f t="shared" si="24"/>
        <v>10.3125</v>
      </c>
      <c r="F100" s="126">
        <f t="shared" si="21"/>
        <v>0.9</v>
      </c>
      <c r="G100" s="118">
        <f t="shared" si="22"/>
        <v>30.9375</v>
      </c>
      <c r="H100" s="119">
        <f t="shared" si="23"/>
        <v>27.84375</v>
      </c>
    </row>
    <row r="101" spans="1:8" ht="14.25" customHeight="1" x14ac:dyDescent="0.3">
      <c r="A101" s="269" t="s">
        <v>95</v>
      </c>
      <c r="B101" s="293" t="str">
        <f t="shared" si="20"/>
        <v>Cinnamon Powder - قرفة مطحونة</v>
      </c>
      <c r="C101" s="293" t="str">
        <f t="shared" si="20"/>
        <v>gm</v>
      </c>
      <c r="D101" s="223">
        <f t="shared" si="20"/>
        <v>5</v>
      </c>
      <c r="E101" s="439">
        <f t="shared" si="24"/>
        <v>10.3125</v>
      </c>
      <c r="F101" s="126">
        <f t="shared" si="21"/>
        <v>0.5</v>
      </c>
      <c r="G101" s="118">
        <f t="shared" si="22"/>
        <v>51.5625</v>
      </c>
      <c r="H101" s="119">
        <f t="shared" si="23"/>
        <v>25.78125</v>
      </c>
    </row>
    <row r="102" spans="1:8" ht="20.25" customHeight="1" x14ac:dyDescent="0.3">
      <c r="A102" s="210"/>
      <c r="B102" s="197" t="s">
        <v>291</v>
      </c>
      <c r="C102" s="199" t="s">
        <v>277</v>
      </c>
      <c r="D102" s="14"/>
      <c r="E102" s="199" t="s">
        <v>292</v>
      </c>
      <c r="F102" s="14"/>
      <c r="G102" s="878" t="s">
        <v>268</v>
      </c>
      <c r="H102" s="878" t="s">
        <v>703</v>
      </c>
    </row>
    <row r="103" spans="1:8" ht="20.75" customHeight="1" x14ac:dyDescent="0.4">
      <c r="A103" s="210"/>
      <c r="B103" s="198">
        <f>$J$54</f>
        <v>12154</v>
      </c>
      <c r="C103" s="198">
        <f>E103+G103</f>
        <v>10000</v>
      </c>
      <c r="D103" s="915"/>
      <c r="E103" s="198">
        <f>$D$54*$S$44</f>
        <v>3700</v>
      </c>
      <c r="F103" s="919"/>
      <c r="G103" s="198">
        <f>$D$54*$T$44</f>
        <v>6300</v>
      </c>
      <c r="H103" s="198">
        <f>B103+E103</f>
        <v>15854</v>
      </c>
    </row>
    <row r="104" spans="1:8" ht="14.25" customHeight="1" x14ac:dyDescent="0.3">
      <c r="B104" s="99"/>
      <c r="C104" s="99"/>
      <c r="D104" s="213"/>
      <c r="E104" s="99"/>
      <c r="F104" s="99"/>
      <c r="G104" s="99"/>
      <c r="H104" s="99"/>
    </row>
    <row r="105" spans="1:8" ht="14.25" customHeight="1" x14ac:dyDescent="0.3">
      <c r="B105" s="99"/>
      <c r="C105" s="99"/>
      <c r="D105" s="213"/>
      <c r="E105" s="99"/>
      <c r="F105" s="99"/>
      <c r="G105" s="99"/>
      <c r="H105" s="99"/>
    </row>
    <row r="106" spans="1:8" ht="14.25" customHeight="1" x14ac:dyDescent="0.3">
      <c r="B106" s="99"/>
      <c r="C106" s="99"/>
      <c r="D106" s="213"/>
      <c r="E106" s="99"/>
      <c r="F106" s="99"/>
      <c r="G106" s="99"/>
      <c r="H106" s="99"/>
    </row>
    <row r="107" spans="1:8" ht="17.75" customHeight="1" x14ac:dyDescent="0.3">
      <c r="A107" s="923"/>
      <c r="B107" s="1438" t="str">
        <f>" داوود باشا 3 / " &amp; COUNTIF($C$53:$C$55, "&gt;0")</f>
        <v xml:space="preserve"> داوود باشا 3 / 3</v>
      </c>
      <c r="C107" s="1439"/>
      <c r="D107" s="1439"/>
      <c r="E107" s="1439"/>
      <c r="F107" s="1439"/>
      <c r="G107" s="1439"/>
      <c r="H107" s="1439"/>
    </row>
    <row r="108" spans="1:8" ht="17.75" customHeight="1" x14ac:dyDescent="0.3">
      <c r="A108" s="961"/>
      <c r="B108" s="1508" t="str">
        <f>"Daoud Basha 3 / " &amp; COUNTIF($C$53:$C$277, "&gt;0")</f>
        <v>Daoud Basha 3 / 6</v>
      </c>
      <c r="C108" s="1437"/>
      <c r="D108" s="1437"/>
      <c r="E108" s="1437"/>
      <c r="F108" s="1437"/>
      <c r="G108" s="1437"/>
      <c r="H108" s="1437"/>
    </row>
    <row r="109" spans="1:8" ht="25.5" customHeight="1" x14ac:dyDescent="0.3">
      <c r="A109" s="90"/>
      <c r="B109" s="242" t="s">
        <v>245</v>
      </c>
      <c r="C109" s="243" t="s">
        <v>246</v>
      </c>
      <c r="D109" s="244" t="s">
        <v>235</v>
      </c>
      <c r="E109" s="217" t="s">
        <v>238</v>
      </c>
      <c r="F109" s="217" t="s">
        <v>247</v>
      </c>
      <c r="G109" s="244" t="s">
        <v>248</v>
      </c>
      <c r="H109" s="217" t="s">
        <v>249</v>
      </c>
    </row>
    <row r="110" spans="1:8" ht="14.25" customHeight="1" x14ac:dyDescent="0.3">
      <c r="A110" s="269" t="s">
        <v>225</v>
      </c>
      <c r="B110" s="293" t="str">
        <f t="shared" ref="B110:D124" si="25">B5</f>
        <v>Indian Meat Tammam Mafroom - مفروم هندى</v>
      </c>
      <c r="C110" s="293" t="str">
        <f t="shared" si="25"/>
        <v>gm</v>
      </c>
      <c r="D110" s="438">
        <f t="shared" si="25"/>
        <v>2095.5172413793107</v>
      </c>
      <c r="E110" s="439">
        <f>H55</f>
        <v>2.6516120049113212</v>
      </c>
      <c r="F110" s="126">
        <f t="shared" ref="F110:F124" si="26">F5</f>
        <v>1</v>
      </c>
      <c r="G110" s="118">
        <f t="shared" ref="G110:G124" si="27">D110*E110</f>
        <v>5556.498673740035</v>
      </c>
      <c r="H110" s="119">
        <f t="shared" ref="H110:H124" si="28">G110*F110</f>
        <v>5556.498673740035</v>
      </c>
    </row>
    <row r="111" spans="1:8" ht="14.25" customHeight="1" x14ac:dyDescent="0.3">
      <c r="A111" s="269" t="s">
        <v>13</v>
      </c>
      <c r="B111" s="293" t="str">
        <f t="shared" si="25"/>
        <v>Onion - بصل</v>
      </c>
      <c r="C111" s="293" t="str">
        <f t="shared" si="25"/>
        <v>gm</v>
      </c>
      <c r="D111" s="223">
        <f t="shared" si="25"/>
        <v>200</v>
      </c>
      <c r="E111" s="439">
        <f t="shared" ref="E111:E124" si="29">$C$55</f>
        <v>2.6557067307692428</v>
      </c>
      <c r="F111" s="126">
        <f t="shared" si="26"/>
        <v>1</v>
      </c>
      <c r="G111" s="118">
        <f t="shared" si="27"/>
        <v>531.14134615384853</v>
      </c>
      <c r="H111" s="119">
        <f t="shared" si="28"/>
        <v>531.14134615384853</v>
      </c>
    </row>
    <row r="112" spans="1:8" ht="14.25" customHeight="1" x14ac:dyDescent="0.3">
      <c r="A112" s="269" t="s">
        <v>13</v>
      </c>
      <c r="B112" s="293" t="str">
        <f t="shared" si="25"/>
        <v>Garlic - ثوم مقشر</v>
      </c>
      <c r="C112" s="293" t="str">
        <f t="shared" si="25"/>
        <v>gm</v>
      </c>
      <c r="D112" s="223">
        <f t="shared" si="25"/>
        <v>25</v>
      </c>
      <c r="E112" s="439">
        <f t="shared" si="29"/>
        <v>2.6557067307692428</v>
      </c>
      <c r="F112" s="126">
        <f t="shared" si="26"/>
        <v>1</v>
      </c>
      <c r="G112" s="118">
        <f t="shared" si="27"/>
        <v>66.392668269231066</v>
      </c>
      <c r="H112" s="119">
        <f t="shared" si="28"/>
        <v>66.392668269231066</v>
      </c>
    </row>
    <row r="113" spans="1:10" ht="14.25" customHeight="1" x14ac:dyDescent="0.3">
      <c r="A113" s="269" t="s">
        <v>13</v>
      </c>
      <c r="B113" s="293" t="str">
        <f t="shared" si="25"/>
        <v>Tomato - طماطم</v>
      </c>
      <c r="C113" s="293" t="str">
        <f t="shared" si="25"/>
        <v>gm</v>
      </c>
      <c r="D113" s="223">
        <f t="shared" si="25"/>
        <v>200</v>
      </c>
      <c r="E113" s="439">
        <f t="shared" si="29"/>
        <v>2.6557067307692428</v>
      </c>
      <c r="F113" s="126">
        <f t="shared" si="26"/>
        <v>1</v>
      </c>
      <c r="G113" s="118">
        <f t="shared" si="27"/>
        <v>531.14134615384853</v>
      </c>
      <c r="H113" s="119">
        <f t="shared" si="28"/>
        <v>531.14134615384853</v>
      </c>
    </row>
    <row r="114" spans="1:10" ht="14.25" customHeight="1" x14ac:dyDescent="0.3">
      <c r="A114" s="269" t="s">
        <v>192</v>
      </c>
      <c r="B114" s="293" t="str">
        <f t="shared" si="25"/>
        <v>Tomato Paste - صلصة طماطم</v>
      </c>
      <c r="C114" s="293" t="str">
        <f t="shared" si="25"/>
        <v>gm</v>
      </c>
      <c r="D114" s="223">
        <f t="shared" si="25"/>
        <v>240</v>
      </c>
      <c r="E114" s="439">
        <f t="shared" si="29"/>
        <v>2.6557067307692428</v>
      </c>
      <c r="F114" s="126">
        <f t="shared" si="26"/>
        <v>1</v>
      </c>
      <c r="G114" s="118">
        <f t="shared" si="27"/>
        <v>637.36961538461833</v>
      </c>
      <c r="H114" s="119">
        <f t="shared" si="28"/>
        <v>637.36961538461833</v>
      </c>
    </row>
    <row r="115" spans="1:10" ht="14.25" customHeight="1" x14ac:dyDescent="0.3">
      <c r="A115" s="269" t="s">
        <v>95</v>
      </c>
      <c r="B115" s="293" t="str">
        <f t="shared" si="25"/>
        <v>Maggi Cubes - مكعبات ماجي</v>
      </c>
      <c r="C115" s="293" t="str">
        <f t="shared" si="25"/>
        <v>gm</v>
      </c>
      <c r="D115" s="223">
        <f t="shared" si="25"/>
        <v>6</v>
      </c>
      <c r="E115" s="439">
        <f t="shared" si="29"/>
        <v>2.6557067307692428</v>
      </c>
      <c r="F115" s="126">
        <f t="shared" si="26"/>
        <v>0.75</v>
      </c>
      <c r="G115" s="118">
        <f t="shared" si="27"/>
        <v>15.934240384615457</v>
      </c>
      <c r="H115" s="119">
        <f t="shared" si="28"/>
        <v>11.950680288461593</v>
      </c>
    </row>
    <row r="116" spans="1:10" ht="14.25" customHeight="1" x14ac:dyDescent="0.3">
      <c r="A116" s="269" t="s">
        <v>95</v>
      </c>
      <c r="B116" s="293" t="str">
        <f t="shared" si="25"/>
        <v>Cumin Powder - كمون مطحون</v>
      </c>
      <c r="C116" s="293" t="str">
        <f t="shared" si="25"/>
        <v>gm</v>
      </c>
      <c r="D116" s="223">
        <f t="shared" si="25"/>
        <v>10</v>
      </c>
      <c r="E116" s="439">
        <f t="shared" si="29"/>
        <v>2.6557067307692428</v>
      </c>
      <c r="F116" s="126">
        <f t="shared" si="26"/>
        <v>0.75</v>
      </c>
      <c r="G116" s="118">
        <f t="shared" si="27"/>
        <v>26.557067307692428</v>
      </c>
      <c r="H116" s="119">
        <f t="shared" si="28"/>
        <v>19.917800480769323</v>
      </c>
    </row>
    <row r="117" spans="1:10" ht="14.25" customHeight="1" x14ac:dyDescent="0.3">
      <c r="A117" s="269" t="s">
        <v>95</v>
      </c>
      <c r="B117" s="293" t="str">
        <f t="shared" si="25"/>
        <v>Coriander Powder - كزبرة مطحونة</v>
      </c>
      <c r="C117" s="293" t="str">
        <f t="shared" si="25"/>
        <v>gm</v>
      </c>
      <c r="D117" s="223">
        <f t="shared" si="25"/>
        <v>10</v>
      </c>
      <c r="E117" s="439">
        <f t="shared" si="29"/>
        <v>2.6557067307692428</v>
      </c>
      <c r="F117" s="126">
        <f t="shared" si="26"/>
        <v>0.75</v>
      </c>
      <c r="G117" s="118">
        <f t="shared" si="27"/>
        <v>26.557067307692428</v>
      </c>
      <c r="H117" s="119">
        <f t="shared" si="28"/>
        <v>19.917800480769323</v>
      </c>
    </row>
    <row r="118" spans="1:10" ht="14.25" customHeight="1" x14ac:dyDescent="0.3">
      <c r="A118" s="269" t="s">
        <v>154</v>
      </c>
      <c r="B118" s="293" t="str">
        <f t="shared" si="25"/>
        <v>Cooking Cream - كريمة طبخ</v>
      </c>
      <c r="C118" s="293" t="str">
        <f t="shared" si="25"/>
        <v>ml</v>
      </c>
      <c r="D118" s="223">
        <f t="shared" si="25"/>
        <v>500</v>
      </c>
      <c r="E118" s="439">
        <f t="shared" si="29"/>
        <v>2.6557067307692428</v>
      </c>
      <c r="F118" s="126">
        <f t="shared" si="26"/>
        <v>1</v>
      </c>
      <c r="G118" s="118">
        <f t="shared" si="27"/>
        <v>1327.8533653846214</v>
      </c>
      <c r="H118" s="119">
        <f t="shared" si="28"/>
        <v>1327.8533653846214</v>
      </c>
    </row>
    <row r="119" spans="1:10" ht="14.25" customHeight="1" x14ac:dyDescent="0.3">
      <c r="A119" s="269" t="s">
        <v>154</v>
      </c>
      <c r="B119" s="293" t="str">
        <f t="shared" si="25"/>
        <v>Butter - زبدة</v>
      </c>
      <c r="C119" s="293" t="str">
        <f t="shared" si="25"/>
        <v>gm</v>
      </c>
      <c r="D119" s="223">
        <f t="shared" si="25"/>
        <v>25</v>
      </c>
      <c r="E119" s="439">
        <f t="shared" si="29"/>
        <v>2.6557067307692428</v>
      </c>
      <c r="F119" s="126">
        <f t="shared" si="26"/>
        <v>1</v>
      </c>
      <c r="G119" s="118">
        <f t="shared" si="27"/>
        <v>66.392668269231066</v>
      </c>
      <c r="H119" s="119">
        <f t="shared" si="28"/>
        <v>66.392668269231066</v>
      </c>
    </row>
    <row r="120" spans="1:10" ht="14.25" customHeight="1" x14ac:dyDescent="0.3">
      <c r="A120" s="269" t="s">
        <v>81</v>
      </c>
      <c r="B120" s="293" t="str">
        <f t="shared" si="25"/>
        <v>Dried Mint Leaves - نعناع مجفف</v>
      </c>
      <c r="C120" s="293" t="str">
        <f t="shared" si="25"/>
        <v>gm</v>
      </c>
      <c r="D120" s="223">
        <f t="shared" si="25"/>
        <v>1</v>
      </c>
      <c r="E120" s="439">
        <f t="shared" si="29"/>
        <v>2.6557067307692428</v>
      </c>
      <c r="F120" s="126">
        <f t="shared" si="26"/>
        <v>1</v>
      </c>
      <c r="G120" s="118">
        <f t="shared" si="27"/>
        <v>2.6557067307692428</v>
      </c>
      <c r="H120" s="119">
        <f t="shared" si="28"/>
        <v>2.6557067307692428</v>
      </c>
    </row>
    <row r="121" spans="1:10" ht="14.25" customHeight="1" x14ac:dyDescent="0.3">
      <c r="A121" s="269" t="s">
        <v>95</v>
      </c>
      <c r="B121" s="293" t="str">
        <f t="shared" si="25"/>
        <v>Salt - ملح</v>
      </c>
      <c r="C121" s="293" t="str">
        <f t="shared" si="25"/>
        <v>gm</v>
      </c>
      <c r="D121" s="223">
        <f t="shared" si="25"/>
        <v>6</v>
      </c>
      <c r="E121" s="439">
        <f t="shared" si="29"/>
        <v>2.6557067307692428</v>
      </c>
      <c r="F121" s="126">
        <f t="shared" si="26"/>
        <v>1</v>
      </c>
      <c r="G121" s="118">
        <f t="shared" si="27"/>
        <v>15.934240384615457</v>
      </c>
      <c r="H121" s="119">
        <f t="shared" si="28"/>
        <v>15.934240384615457</v>
      </c>
    </row>
    <row r="122" spans="1:10" ht="14.25" customHeight="1" x14ac:dyDescent="0.3">
      <c r="A122" s="269" t="s">
        <v>154</v>
      </c>
      <c r="B122" s="293" t="str">
        <f t="shared" si="25"/>
        <v>Mozzarella Cheese - جبنة موتزاريلا</v>
      </c>
      <c r="C122" s="293" t="str">
        <f t="shared" si="25"/>
        <v>gm</v>
      </c>
      <c r="D122" s="223">
        <f t="shared" si="25"/>
        <v>100</v>
      </c>
      <c r="E122" s="439">
        <f t="shared" si="29"/>
        <v>2.6557067307692428</v>
      </c>
      <c r="F122" s="126">
        <f t="shared" si="26"/>
        <v>1</v>
      </c>
      <c r="G122" s="118">
        <f t="shared" si="27"/>
        <v>265.57067307692427</v>
      </c>
      <c r="H122" s="119">
        <f t="shared" si="28"/>
        <v>265.57067307692427</v>
      </c>
    </row>
    <row r="123" spans="1:10" ht="14.25" customHeight="1" x14ac:dyDescent="0.3">
      <c r="A123" s="269" t="s">
        <v>95</v>
      </c>
      <c r="B123" s="293" t="str">
        <f t="shared" si="25"/>
        <v>Black Pepper Powder - فلفل أسود مطحون</v>
      </c>
      <c r="C123" s="293" t="str">
        <f t="shared" si="25"/>
        <v>gm</v>
      </c>
      <c r="D123" s="223">
        <f t="shared" si="25"/>
        <v>3</v>
      </c>
      <c r="E123" s="439">
        <f t="shared" si="29"/>
        <v>2.6557067307692428</v>
      </c>
      <c r="F123" s="126">
        <f t="shared" si="26"/>
        <v>0.9</v>
      </c>
      <c r="G123" s="118">
        <f t="shared" si="27"/>
        <v>7.9671201923077284</v>
      </c>
      <c r="H123" s="119">
        <f t="shared" si="28"/>
        <v>7.1704081730769555</v>
      </c>
    </row>
    <row r="124" spans="1:10" ht="14.25" customHeight="1" x14ac:dyDescent="0.3">
      <c r="A124" s="269" t="s">
        <v>95</v>
      </c>
      <c r="B124" s="293" t="str">
        <f t="shared" si="25"/>
        <v>Cinnamon Powder - قرفة مطحونة</v>
      </c>
      <c r="C124" s="293" t="str">
        <f t="shared" si="25"/>
        <v>gm</v>
      </c>
      <c r="D124" s="223">
        <f t="shared" si="25"/>
        <v>5</v>
      </c>
      <c r="E124" s="439">
        <f t="shared" si="29"/>
        <v>2.6557067307692428</v>
      </c>
      <c r="F124" s="126">
        <f t="shared" si="26"/>
        <v>0.5</v>
      </c>
      <c r="G124" s="118">
        <f t="shared" si="27"/>
        <v>13.278533653846214</v>
      </c>
      <c r="H124" s="119">
        <f t="shared" si="28"/>
        <v>6.639266826923107</v>
      </c>
    </row>
    <row r="125" spans="1:10" ht="20.25" customHeight="1" x14ac:dyDescent="0.4">
      <c r="A125" s="210"/>
      <c r="B125" s="197" t="s">
        <v>291</v>
      </c>
      <c r="C125" s="199" t="s">
        <v>277</v>
      </c>
      <c r="D125" s="14"/>
      <c r="E125" s="199" t="s">
        <v>292</v>
      </c>
      <c r="F125" s="14"/>
      <c r="G125" s="878" t="s">
        <v>268</v>
      </c>
      <c r="H125" s="878" t="s">
        <v>703</v>
      </c>
      <c r="I125" s="203"/>
      <c r="J125" s="202"/>
    </row>
    <row r="126" spans="1:10" ht="20" x14ac:dyDescent="0.4">
      <c r="A126" s="210"/>
      <c r="B126" s="198">
        <f>$J$55</f>
        <v>3222.7692307692232</v>
      </c>
      <c r="C126" s="198">
        <f>E126+G126</f>
        <v>2575.2307692307809</v>
      </c>
      <c r="D126" s="915"/>
      <c r="E126" s="198">
        <f>$D$55*$S$44</f>
        <v>952.83538461538888</v>
      </c>
      <c r="F126" s="919"/>
      <c r="G126" s="198">
        <f>$D$55*$T$44</f>
        <v>1622.395384615392</v>
      </c>
      <c r="H126" s="198">
        <f>B126+E126</f>
        <v>4175.6046153846119</v>
      </c>
    </row>
  </sheetData>
  <mergeCells count="12">
    <mergeCell ref="AK2:AM2"/>
    <mergeCell ref="B108:H108"/>
    <mergeCell ref="B63:H63"/>
    <mergeCell ref="B107:H107"/>
    <mergeCell ref="B85:H85"/>
    <mergeCell ref="AE2:AG3"/>
    <mergeCell ref="B84:H84"/>
    <mergeCell ref="R26:U26"/>
    <mergeCell ref="R25:U25"/>
    <mergeCell ref="B62:H62"/>
    <mergeCell ref="B2:K3"/>
    <mergeCell ref="B35:F35"/>
  </mergeCells>
  <printOptions horizontalCentered="1"/>
  <pageMargins left="0.4" right="0.4" top="1" bottom="0.5" header="0.3" footer="0.511811023622047"/>
  <pageSetup paperSize="9" scale="41" orientation="landscape" r:id="rId1"/>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rgb="FFBF9000"/>
    <pageSetUpPr fitToPage="1"/>
  </sheetPr>
  <dimension ref="A1:AT90"/>
  <sheetViews>
    <sheetView topLeftCell="O9" zoomScale="92" zoomScaleNormal="50" workbookViewId="0">
      <selection activeCell="R26" sqref="R26:U26"/>
    </sheetView>
  </sheetViews>
  <sheetFormatPr defaultColWidth="22.58203125" defaultRowHeight="14" x14ac:dyDescent="0.3"/>
  <cols>
    <col min="1" max="1" width="10.33203125" style="1" customWidth="1"/>
    <col min="2" max="2" width="30.9140625" customWidth="1"/>
    <col min="3" max="3" width="17.25" customWidth="1"/>
    <col min="4" max="4" width="18.6640625" customWidth="1"/>
    <col min="6" max="6" width="14.5" customWidth="1"/>
    <col min="7" max="7" width="20.5" customWidth="1"/>
    <col min="8" max="8" width="30.1640625" customWidth="1"/>
    <col min="9" max="9" width="21" customWidth="1"/>
    <col min="10" max="10" width="20.33203125" customWidth="1"/>
    <col min="11" max="11" width="15" customWidth="1"/>
    <col min="12" max="12" width="8.33203125" customWidth="1"/>
    <col min="13" max="14" width="4.9140625" customWidth="1"/>
    <col min="15" max="15" width="11" customWidth="1"/>
    <col min="16" max="16" width="12.1640625" customWidth="1"/>
    <col min="18" max="18" width="32.33203125" customWidth="1"/>
    <col min="19" max="19" width="12.4140625" customWidth="1"/>
    <col min="20" max="20" width="12.1640625" customWidth="1"/>
    <col min="21" max="21" width="12.75" customWidth="1"/>
    <col min="23" max="23" width="19.75" customWidth="1"/>
    <col min="24" max="24" width="14.5" customWidth="1"/>
    <col min="25" max="25" width="14.9140625" customWidth="1"/>
    <col min="26" max="26" width="17.9140625" customWidth="1"/>
    <col min="27" max="27" width="16.1640625" customWidth="1"/>
    <col min="28" max="28" width="11.9140625" bestFit="1" customWidth="1"/>
    <col min="29" max="30" width="8.4140625" customWidth="1"/>
    <col min="31" max="31" width="11.58203125" bestFit="1" customWidth="1"/>
    <col min="32" max="32" width="14.5" customWidth="1"/>
    <col min="33" max="34" width="8.4140625" customWidth="1"/>
    <col min="36" max="36" width="32.58203125" customWidth="1"/>
    <col min="37" max="37" width="13.33203125" customWidth="1"/>
    <col min="38" max="38" width="15.83203125" customWidth="1"/>
    <col min="40" max="40" width="13.58203125" customWidth="1"/>
    <col min="41" max="41" width="16.58203125" customWidth="1"/>
  </cols>
  <sheetData>
    <row r="1" spans="1:46" s="132" customFormat="1" ht="35.25" customHeight="1" x14ac:dyDescent="0.3">
      <c r="A1" s="263"/>
      <c r="B1" s="79" t="s">
        <v>235</v>
      </c>
      <c r="C1" s="80">
        <v>1000</v>
      </c>
      <c r="D1" s="81" t="s">
        <v>236</v>
      </c>
      <c r="E1" s="116">
        <f>T32</f>
        <v>13303.333333333332</v>
      </c>
      <c r="F1" s="79" t="s">
        <v>237</v>
      </c>
      <c r="G1" s="120">
        <f>E1/C1</f>
        <v>13.303333333333333</v>
      </c>
      <c r="H1" s="79" t="s">
        <v>238</v>
      </c>
      <c r="I1" s="248">
        <f>(G1/K1)</f>
        <v>13.303333333333333</v>
      </c>
      <c r="J1" s="85" t="s">
        <v>239</v>
      </c>
      <c r="K1" s="80">
        <v>1</v>
      </c>
      <c r="L1" s="91"/>
      <c r="M1" s="88"/>
      <c r="N1" s="89"/>
      <c r="O1" s="90" t="s">
        <v>240</v>
      </c>
      <c r="P1" s="91" t="s">
        <v>303</v>
      </c>
      <c r="Q1" s="92" t="s">
        <v>242</v>
      </c>
      <c r="R1" s="91">
        <v>0.54</v>
      </c>
      <c r="Y1" s="90" t="s">
        <v>463</v>
      </c>
      <c r="Z1" s="835">
        <v>36910</v>
      </c>
      <c r="AA1" s="90" t="s">
        <v>578</v>
      </c>
      <c r="AB1" s="835">
        <v>3000</v>
      </c>
      <c r="AC1" s="90" t="s">
        <v>567</v>
      </c>
      <c r="AD1" s="835">
        <v>255</v>
      </c>
      <c r="AE1" s="249"/>
      <c r="AF1" s="251"/>
      <c r="AG1" s="91"/>
      <c r="AI1" s="1"/>
      <c r="AJ1" s="93" t="s">
        <v>254</v>
      </c>
      <c r="AK1" s="93">
        <v>10000</v>
      </c>
      <c r="AL1" s="623" t="s">
        <v>523</v>
      </c>
      <c r="AM1" s="624">
        <f>$S$32</f>
        <v>39910</v>
      </c>
      <c r="AN1" s="93" t="s">
        <v>243</v>
      </c>
      <c r="AO1" s="328">
        <f>(($S$32)/$R$1)/$AK$1</f>
        <v>7.3907407407407399</v>
      </c>
      <c r="AP1" s="94"/>
    </row>
    <row r="2" spans="1:46" ht="15.75" customHeight="1" x14ac:dyDescent="0.3">
      <c r="A2" s="264"/>
      <c r="B2" s="1449" t="s">
        <v>873</v>
      </c>
      <c r="C2" s="1466"/>
      <c r="D2" s="1466"/>
      <c r="E2" s="1466"/>
      <c r="F2" s="1466"/>
      <c r="G2" s="1466"/>
      <c r="H2" s="1466"/>
      <c r="I2" s="97"/>
      <c r="J2" s="97"/>
      <c r="K2" s="97"/>
      <c r="L2" s="97"/>
      <c r="M2" s="99"/>
      <c r="N2" s="99"/>
      <c r="O2" s="99"/>
      <c r="P2" s="99"/>
      <c r="AA2" s="98"/>
      <c r="AB2" s="98"/>
      <c r="AC2" s="1457"/>
      <c r="AD2" s="1458"/>
      <c r="AE2" s="1458"/>
      <c r="AI2" s="1"/>
      <c r="AJ2" s="100"/>
      <c r="AK2" s="1442" t="s">
        <v>873</v>
      </c>
      <c r="AL2" s="1442"/>
      <c r="AM2" s="1442"/>
      <c r="AN2" s="101"/>
      <c r="AO2" s="100"/>
      <c r="AP2" s="100"/>
    </row>
    <row r="3" spans="1:46" ht="15.75" customHeight="1" x14ac:dyDescent="0.3">
      <c r="A3" s="264"/>
      <c r="B3" s="102"/>
      <c r="C3" s="102"/>
      <c r="D3" s="102"/>
      <c r="E3" s="102"/>
      <c r="F3" s="102"/>
      <c r="G3" s="102"/>
      <c r="H3" s="102"/>
      <c r="I3" s="102"/>
      <c r="J3" s="102"/>
      <c r="K3" s="102"/>
      <c r="L3" s="102"/>
      <c r="M3" s="99"/>
      <c r="N3" s="99"/>
      <c r="O3" s="99"/>
      <c r="P3" s="99"/>
      <c r="AA3" s="98"/>
      <c r="AB3" s="98"/>
      <c r="AC3" s="1458"/>
      <c r="AD3" s="1458"/>
      <c r="AE3" s="1458"/>
      <c r="AI3" s="1"/>
      <c r="AJ3" s="103"/>
      <c r="AK3" s="103"/>
      <c r="AL3" s="104"/>
      <c r="AM3" s="104"/>
      <c r="AN3" s="104"/>
      <c r="AO3" s="103"/>
      <c r="AP3" s="103"/>
    </row>
    <row r="4" spans="1:46" ht="35.25" customHeight="1" x14ac:dyDescent="0.3">
      <c r="A4" s="90" t="s">
        <v>1</v>
      </c>
      <c r="B4" s="90" t="s">
        <v>245</v>
      </c>
      <c r="C4" s="106" t="s">
        <v>246</v>
      </c>
      <c r="D4" s="90" t="s">
        <v>235</v>
      </c>
      <c r="E4" s="107" t="s">
        <v>238</v>
      </c>
      <c r="F4" s="107" t="s">
        <v>247</v>
      </c>
      <c r="G4" s="90" t="s">
        <v>248</v>
      </c>
      <c r="H4" s="330" t="s">
        <v>339</v>
      </c>
      <c r="I4" s="90" t="s">
        <v>250</v>
      </c>
      <c r="J4" s="90" t="s">
        <v>251</v>
      </c>
      <c r="K4" s="90" t="s">
        <v>252</v>
      </c>
      <c r="L4" s="90" t="s">
        <v>253</v>
      </c>
      <c r="M4" s="99"/>
      <c r="N4" s="99"/>
      <c r="O4" s="99"/>
      <c r="P4" s="99"/>
      <c r="AA4" s="250"/>
      <c r="AB4" s="252"/>
      <c r="AC4" s="250"/>
      <c r="AD4" s="250"/>
      <c r="AE4" s="250"/>
      <c r="AI4" s="1"/>
      <c r="AJ4" s="109" t="s">
        <v>245</v>
      </c>
      <c r="AK4" s="110" t="s">
        <v>246</v>
      </c>
      <c r="AL4" s="109" t="s">
        <v>254</v>
      </c>
      <c r="AM4" s="109" t="s">
        <v>238</v>
      </c>
      <c r="AN4" s="109" t="s">
        <v>247</v>
      </c>
      <c r="AO4" s="109" t="s">
        <v>248</v>
      </c>
      <c r="AP4" s="111" t="s">
        <v>249</v>
      </c>
      <c r="AQ4" s="90" t="s">
        <v>250</v>
      </c>
      <c r="AR4" s="90" t="s">
        <v>251</v>
      </c>
      <c r="AS4" s="90" t="s">
        <v>252</v>
      </c>
      <c r="AT4" s="90" t="s">
        <v>253</v>
      </c>
    </row>
    <row r="5" spans="1:46" ht="14.25" customHeight="1" x14ac:dyDescent="0.3">
      <c r="A5" s="265" t="s">
        <v>225</v>
      </c>
      <c r="B5" s="266" t="s">
        <v>229</v>
      </c>
      <c r="C5" s="114" t="s">
        <v>14</v>
      </c>
      <c r="D5" s="120">
        <f>I51/10</f>
        <v>6172.9629629629626</v>
      </c>
      <c r="E5" s="116">
        <f>H52</f>
        <v>11.972760544789104</v>
      </c>
      <c r="F5" s="126">
        <v>1</v>
      </c>
      <c r="G5" s="118">
        <f t="shared" ref="G5:G13" si="0">D5*E5</f>
        <v>73907.407407407401</v>
      </c>
      <c r="H5" s="119">
        <f t="shared" ref="H5:H13" si="1">G5*F5</f>
        <v>73907.407407407401</v>
      </c>
      <c r="I5" s="80">
        <f>VLOOKUP(B5,All_Ingredients!$A$1:$F$149,6,FALSE())</f>
        <v>0.47</v>
      </c>
      <c r="J5" s="118">
        <f>VLOOKUP(B5,All_Ingredients!$A$1:$J$149,10,FALSE())</f>
        <v>12</v>
      </c>
      <c r="K5" s="121">
        <f t="shared" ref="K5" si="2">(H5/I5)/1000</f>
        <v>157.24980299448384</v>
      </c>
      <c r="L5" s="121">
        <f t="shared" ref="L5" si="3">K5*J5</f>
        <v>1886.9976359338061</v>
      </c>
      <c r="M5" s="99"/>
      <c r="N5" s="99"/>
      <c r="O5" s="99"/>
      <c r="P5" s="99"/>
      <c r="AA5" s="91"/>
      <c r="AB5" s="132"/>
      <c r="AC5" s="253"/>
      <c r="AD5" s="134"/>
      <c r="AE5" s="135"/>
      <c r="AI5" s="1"/>
      <c r="AJ5" s="268" t="s">
        <v>229</v>
      </c>
      <c r="AK5" s="123" t="s">
        <v>231</v>
      </c>
      <c r="AL5" s="123">
        <v>10</v>
      </c>
      <c r="AM5" s="84">
        <f>$AO$1</f>
        <v>7.3907407407407399</v>
      </c>
      <c r="AN5" s="126">
        <v>1</v>
      </c>
      <c r="AO5" s="118">
        <f>AL5*AM5</f>
        <v>73.907407407407405</v>
      </c>
      <c r="AP5" s="119">
        <f>AN5*AO5</f>
        <v>73.907407407407405</v>
      </c>
      <c r="AQ5" s="294"/>
      <c r="AR5" s="1152"/>
      <c r="AS5" s="174"/>
      <c r="AT5" s="1153"/>
    </row>
    <row r="6" spans="1:46" ht="14.25" customHeight="1" x14ac:dyDescent="0.3">
      <c r="A6" s="269" t="s">
        <v>154</v>
      </c>
      <c r="B6" s="266" t="s">
        <v>160</v>
      </c>
      <c r="C6" s="123" t="s">
        <v>161</v>
      </c>
      <c r="D6" s="124">
        <v>550</v>
      </c>
      <c r="E6" s="222">
        <f t="shared" ref="E6:E13" si="4">$I$1</f>
        <v>13.303333333333333</v>
      </c>
      <c r="F6" s="126">
        <v>1</v>
      </c>
      <c r="G6" s="118">
        <f t="shared" si="0"/>
        <v>7316.833333333333</v>
      </c>
      <c r="H6" s="119">
        <f t="shared" si="1"/>
        <v>7316.833333333333</v>
      </c>
      <c r="I6" s="80">
        <f>VLOOKUP(B6,All_Ingredients!$A$1:$F$149,6,FALSE())</f>
        <v>1</v>
      </c>
      <c r="J6" s="118">
        <f>VLOOKUP(B6,All_Ingredients!$A$1:$J$149,10,FALSE())</f>
        <v>4.2033333333333331</v>
      </c>
      <c r="K6" s="121">
        <f t="shared" ref="K6:K13" si="5">(H6/I6)/1000</f>
        <v>7.3168333333333333</v>
      </c>
      <c r="L6" s="121">
        <f t="shared" ref="L6:L13" si="6">K6*J6</f>
        <v>30.755089444444444</v>
      </c>
      <c r="AI6" s="1" t="s">
        <v>56</v>
      </c>
      <c r="AJ6" s="268" t="s">
        <v>55</v>
      </c>
      <c r="AK6" s="123" t="s">
        <v>14</v>
      </c>
      <c r="AL6" s="123">
        <v>200</v>
      </c>
      <c r="AM6" s="84">
        <f t="shared" ref="AM6:AM13" si="7">$AO$1</f>
        <v>7.3907407407407399</v>
      </c>
      <c r="AN6" s="126">
        <v>1</v>
      </c>
      <c r="AO6" s="118">
        <f t="shared" ref="AO6:AO13" si="8">AL6*AM6</f>
        <v>1478.148148148148</v>
      </c>
      <c r="AP6" s="119">
        <f t="shared" ref="AP6:AP13" si="9">AN6*AO6</f>
        <v>1478.148148148148</v>
      </c>
      <c r="AQ6" s="1153">
        <f>VLOOKUP(AJ6,Marination_Ordering!$A:$J,6,FALSE)</f>
        <v>0.87</v>
      </c>
      <c r="AR6" s="1153">
        <f>VLOOKUP(AJ6,Marination_Ordering!$A:$J,10,FALSE)</f>
        <v>3.2</v>
      </c>
      <c r="AS6" s="174">
        <f>AP6/AQ6</f>
        <v>1699.0208599404</v>
      </c>
      <c r="AT6" s="1153">
        <f>AR6*(AS6/1000)</f>
        <v>5.4368667518092799</v>
      </c>
    </row>
    <row r="7" spans="1:46" ht="14.25" customHeight="1" x14ac:dyDescent="0.3">
      <c r="A7" s="269" t="s">
        <v>154</v>
      </c>
      <c r="B7" s="266" t="s">
        <v>167</v>
      </c>
      <c r="C7" s="123" t="s">
        <v>161</v>
      </c>
      <c r="D7" s="124">
        <v>550</v>
      </c>
      <c r="E7" s="222">
        <f t="shared" si="4"/>
        <v>13.303333333333333</v>
      </c>
      <c r="F7" s="126">
        <v>1</v>
      </c>
      <c r="G7" s="118">
        <f t="shared" si="0"/>
        <v>7316.833333333333</v>
      </c>
      <c r="H7" s="119">
        <f t="shared" si="1"/>
        <v>7316.833333333333</v>
      </c>
      <c r="I7" s="80">
        <f>VLOOKUP(B7,All_Ingredients!$A$1:$F$149,6,FALSE())</f>
        <v>1</v>
      </c>
      <c r="J7" s="118">
        <f>VLOOKUP(B7,All_Ingredients!$A$1:$J$149,10,FALSE())</f>
        <v>12.666666666666666</v>
      </c>
      <c r="K7" s="121">
        <f t="shared" si="5"/>
        <v>7.3168333333333333</v>
      </c>
      <c r="L7" s="121">
        <f t="shared" si="6"/>
        <v>92.679888888888883</v>
      </c>
      <c r="AI7" s="1" t="s">
        <v>13</v>
      </c>
      <c r="AJ7" s="271" t="s">
        <v>762</v>
      </c>
      <c r="AK7" s="123" t="s">
        <v>14</v>
      </c>
      <c r="AL7" s="123">
        <v>150</v>
      </c>
      <c r="AM7" s="84">
        <f t="shared" si="7"/>
        <v>7.3907407407407399</v>
      </c>
      <c r="AN7" s="126">
        <v>1</v>
      </c>
      <c r="AO7" s="118">
        <f t="shared" si="8"/>
        <v>1108.6111111111111</v>
      </c>
      <c r="AP7" s="119">
        <f t="shared" si="9"/>
        <v>1108.6111111111111</v>
      </c>
      <c r="AQ7" s="1153">
        <f>VLOOKUP(AJ7,Marination_Ordering!$A:$J,6,FALSE)</f>
        <v>1</v>
      </c>
      <c r="AR7" s="1153">
        <f>VLOOKUP(AJ7,Marination_Ordering!$A:$J,10,FALSE)</f>
        <v>10.5</v>
      </c>
      <c r="AS7" s="174">
        <f t="shared" ref="AS7:AS13" si="10">AP7/AQ7</f>
        <v>1108.6111111111111</v>
      </c>
      <c r="AT7" s="1153">
        <f t="shared" ref="AT7:AT13" si="11">AR7*(AS7/1000)</f>
        <v>11.640416666666665</v>
      </c>
    </row>
    <row r="8" spans="1:46" ht="14.25" customHeight="1" x14ac:dyDescent="0.3">
      <c r="A8" s="269" t="s">
        <v>154</v>
      </c>
      <c r="B8" s="266" t="s">
        <v>153</v>
      </c>
      <c r="C8" s="123" t="s">
        <v>14</v>
      </c>
      <c r="D8" s="124">
        <v>20</v>
      </c>
      <c r="E8" s="222">
        <f t="shared" si="4"/>
        <v>13.303333333333333</v>
      </c>
      <c r="F8" s="126">
        <v>1</v>
      </c>
      <c r="G8" s="118">
        <f t="shared" si="0"/>
        <v>266.06666666666666</v>
      </c>
      <c r="H8" s="119">
        <f t="shared" si="1"/>
        <v>266.06666666666666</v>
      </c>
      <c r="I8" s="80">
        <f>VLOOKUP(B8,All_Ingredients!$A$1:$F$149,6,FALSE())</f>
        <v>1</v>
      </c>
      <c r="J8" s="118">
        <f>VLOOKUP(B8,All_Ingredients!$A$1:$J$149,10,FALSE())</f>
        <v>30</v>
      </c>
      <c r="K8" s="121">
        <f t="shared" si="5"/>
        <v>0.26606666666666667</v>
      </c>
      <c r="L8" s="121">
        <f t="shared" si="6"/>
        <v>7.9820000000000002</v>
      </c>
      <c r="AI8" s="1" t="s">
        <v>206</v>
      </c>
      <c r="AJ8" s="268" t="s">
        <v>214</v>
      </c>
      <c r="AK8" s="123" t="s">
        <v>161</v>
      </c>
      <c r="AL8" s="123">
        <v>450</v>
      </c>
      <c r="AM8" s="84">
        <f t="shared" si="7"/>
        <v>7.3907407407407399</v>
      </c>
      <c r="AN8" s="126">
        <v>1</v>
      </c>
      <c r="AO8" s="118">
        <f t="shared" si="8"/>
        <v>3325.833333333333</v>
      </c>
      <c r="AP8" s="119">
        <f t="shared" si="9"/>
        <v>3325.833333333333</v>
      </c>
      <c r="AQ8" s="1153">
        <f>VLOOKUP(AJ8,Marination_Ordering!$A:$J,6,FALSE)</f>
        <v>1</v>
      </c>
      <c r="AR8" s="1153">
        <f>VLOOKUP(AJ8,Marination_Ordering!$A:$J,10,FALSE)</f>
        <v>5</v>
      </c>
      <c r="AS8" s="174">
        <f t="shared" si="10"/>
        <v>3325.833333333333</v>
      </c>
      <c r="AT8" s="1153">
        <f t="shared" si="11"/>
        <v>16.629166666666666</v>
      </c>
    </row>
    <row r="9" spans="1:46" ht="14.25" customHeight="1" x14ac:dyDescent="0.3">
      <c r="A9" s="269" t="s">
        <v>188</v>
      </c>
      <c r="B9" s="266" t="s">
        <v>187</v>
      </c>
      <c r="C9" s="123" t="s">
        <v>14</v>
      </c>
      <c r="D9" s="124">
        <v>20</v>
      </c>
      <c r="E9" s="222">
        <f t="shared" si="4"/>
        <v>13.303333333333333</v>
      </c>
      <c r="F9" s="126">
        <v>1</v>
      </c>
      <c r="G9" s="118">
        <f t="shared" si="0"/>
        <v>266.06666666666666</v>
      </c>
      <c r="H9" s="119">
        <f t="shared" si="1"/>
        <v>266.06666666666666</v>
      </c>
      <c r="I9" s="80">
        <f>VLOOKUP(B9,All_Ingredients!$A$1:$F$149,6,FALSE())</f>
        <v>1</v>
      </c>
      <c r="J9" s="118">
        <f>VLOOKUP(B9,All_Ingredients!$A$1:$J$149,10,FALSE())</f>
        <v>1.7</v>
      </c>
      <c r="K9" s="121">
        <f t="shared" si="5"/>
        <v>0.26606666666666667</v>
      </c>
      <c r="L9" s="121">
        <f t="shared" si="6"/>
        <v>0.45231333333333335</v>
      </c>
      <c r="AI9" s="1" t="s">
        <v>206</v>
      </c>
      <c r="AJ9" s="268" t="s">
        <v>210</v>
      </c>
      <c r="AK9" s="123" t="s">
        <v>161</v>
      </c>
      <c r="AL9" s="123">
        <v>100</v>
      </c>
      <c r="AM9" s="84">
        <f t="shared" si="7"/>
        <v>7.3907407407407399</v>
      </c>
      <c r="AN9" s="126">
        <v>1</v>
      </c>
      <c r="AO9" s="118">
        <f t="shared" si="8"/>
        <v>739.07407407407402</v>
      </c>
      <c r="AP9" s="119">
        <f t="shared" si="9"/>
        <v>739.07407407407402</v>
      </c>
      <c r="AQ9" s="1153">
        <f>VLOOKUP(AJ9,Marination_Ordering!$A:$J,6,FALSE)</f>
        <v>1</v>
      </c>
      <c r="AR9" s="1153">
        <f>VLOOKUP(AJ9,Marination_Ordering!$A:$J,10,FALSE)</f>
        <v>2.1621621621621623</v>
      </c>
      <c r="AS9" s="174">
        <f t="shared" si="10"/>
        <v>739.07407407407402</v>
      </c>
      <c r="AT9" s="1153">
        <f t="shared" si="11"/>
        <v>1.5979979979979979</v>
      </c>
    </row>
    <row r="10" spans="1:46" ht="14.25" customHeight="1" x14ac:dyDescent="0.3">
      <c r="A10" s="269" t="s">
        <v>95</v>
      </c>
      <c r="B10" s="266" t="s">
        <v>140</v>
      </c>
      <c r="C10" s="123" t="s">
        <v>14</v>
      </c>
      <c r="D10" s="124">
        <v>10</v>
      </c>
      <c r="E10" s="222">
        <f t="shared" si="4"/>
        <v>13.303333333333333</v>
      </c>
      <c r="F10" s="126">
        <v>0.75</v>
      </c>
      <c r="G10" s="118">
        <f t="shared" si="0"/>
        <v>133.03333333333333</v>
      </c>
      <c r="H10" s="119">
        <f t="shared" si="1"/>
        <v>99.775000000000006</v>
      </c>
      <c r="I10" s="80">
        <f>VLOOKUP(B10,All_Ingredients!$A$1:$F$149,6,FALSE())</f>
        <v>1</v>
      </c>
      <c r="J10" s="118">
        <f>VLOOKUP(B10,All_Ingredients!$A$1:$J$149,10,FALSE())</f>
        <v>15.277777777777779</v>
      </c>
      <c r="K10" s="121">
        <f t="shared" si="5"/>
        <v>9.9775000000000003E-2</v>
      </c>
      <c r="L10" s="121">
        <f t="shared" si="6"/>
        <v>1.5243402777777779</v>
      </c>
      <c r="AI10" s="1" t="s">
        <v>95</v>
      </c>
      <c r="AJ10" s="268" t="s">
        <v>94</v>
      </c>
      <c r="AK10" s="123" t="s">
        <v>14</v>
      </c>
      <c r="AL10" s="123">
        <v>2</v>
      </c>
      <c r="AM10" s="84">
        <f t="shared" si="7"/>
        <v>7.3907407407407399</v>
      </c>
      <c r="AN10" s="126">
        <v>1</v>
      </c>
      <c r="AO10" s="118">
        <f t="shared" si="8"/>
        <v>14.78148148148148</v>
      </c>
      <c r="AP10" s="119">
        <f t="shared" si="9"/>
        <v>14.78148148148148</v>
      </c>
      <c r="AQ10" s="1153">
        <f>VLOOKUP(AJ10,Marination_Ordering!$A:$J,6,FALSE)</f>
        <v>1</v>
      </c>
      <c r="AR10" s="1153">
        <f>VLOOKUP(AJ10,Marination_Ordering!$A:$J,10,FALSE)</f>
        <v>0.74</v>
      </c>
      <c r="AS10" s="174">
        <f t="shared" si="10"/>
        <v>14.78148148148148</v>
      </c>
      <c r="AT10" s="1153">
        <f t="shared" si="11"/>
        <v>1.0938296296296295E-2</v>
      </c>
    </row>
    <row r="11" spans="1:46" ht="14.25" customHeight="1" x14ac:dyDescent="0.3">
      <c r="A11" s="269" t="s">
        <v>95</v>
      </c>
      <c r="B11" s="266" t="s">
        <v>102</v>
      </c>
      <c r="C11" s="123" t="s">
        <v>14</v>
      </c>
      <c r="D11" s="124">
        <v>3</v>
      </c>
      <c r="E11" s="222">
        <f t="shared" si="4"/>
        <v>13.303333333333333</v>
      </c>
      <c r="F11" s="126">
        <v>0.75</v>
      </c>
      <c r="G11" s="118">
        <f t="shared" si="0"/>
        <v>39.909999999999997</v>
      </c>
      <c r="H11" s="119">
        <f t="shared" si="1"/>
        <v>29.932499999999997</v>
      </c>
      <c r="I11" s="80">
        <f>VLOOKUP(B11,All_Ingredients!$A$1:$F$149,6,FALSE())</f>
        <v>1</v>
      </c>
      <c r="J11" s="118">
        <f>VLOOKUP(B11,All_Ingredients!$A$1:$J$149,10,FALSE())</f>
        <v>47</v>
      </c>
      <c r="K11" s="121">
        <f t="shared" si="5"/>
        <v>2.9932499999999997E-2</v>
      </c>
      <c r="L11" s="121">
        <f t="shared" si="6"/>
        <v>1.4068274999999999</v>
      </c>
      <c r="P11">
        <v>72766.233766233767</v>
      </c>
      <c r="AI11" s="1" t="s">
        <v>95</v>
      </c>
      <c r="AJ11" s="268" t="s">
        <v>100</v>
      </c>
      <c r="AK11" s="123" t="s">
        <v>14</v>
      </c>
      <c r="AL11" s="123">
        <v>4</v>
      </c>
      <c r="AM11" s="84">
        <f t="shared" si="7"/>
        <v>7.3907407407407399</v>
      </c>
      <c r="AN11" s="126">
        <v>1</v>
      </c>
      <c r="AO11" s="118">
        <f t="shared" si="8"/>
        <v>29.56296296296296</v>
      </c>
      <c r="AP11" s="119">
        <f t="shared" si="9"/>
        <v>29.56296296296296</v>
      </c>
      <c r="AQ11" s="1153">
        <f>VLOOKUP(AJ11,Marination_Ordering!$A:$J,6,FALSE)</f>
        <v>1</v>
      </c>
      <c r="AR11" s="1153">
        <f>VLOOKUP(AJ11,Marination_Ordering!$A:$J,10,FALSE)</f>
        <v>31</v>
      </c>
      <c r="AS11" s="174">
        <f t="shared" si="10"/>
        <v>29.56296296296296</v>
      </c>
      <c r="AT11" s="1153">
        <f t="shared" si="11"/>
        <v>0.91645185185185174</v>
      </c>
    </row>
    <row r="12" spans="1:46" ht="14.25" customHeight="1" x14ac:dyDescent="0.3">
      <c r="A12" s="269" t="s">
        <v>95</v>
      </c>
      <c r="B12" s="266" t="s">
        <v>94</v>
      </c>
      <c r="C12" s="123" t="s">
        <v>14</v>
      </c>
      <c r="D12" s="124">
        <v>4</v>
      </c>
      <c r="E12" s="222">
        <f t="shared" si="4"/>
        <v>13.303333333333333</v>
      </c>
      <c r="F12" s="126">
        <v>0.75</v>
      </c>
      <c r="G12" s="118">
        <f t="shared" si="0"/>
        <v>53.213333333333331</v>
      </c>
      <c r="H12" s="119">
        <f t="shared" si="1"/>
        <v>39.909999999999997</v>
      </c>
      <c r="I12" s="80">
        <f>VLOOKUP(B12,All_Ingredients!$A$1:$F$149,6,FALSE())</f>
        <v>1</v>
      </c>
      <c r="J12" s="118">
        <f>VLOOKUP(B12,All_Ingredients!$A$1:$J$149,10,FALSE())</f>
        <v>0.74</v>
      </c>
      <c r="K12" s="121">
        <f t="shared" si="5"/>
        <v>3.9909999999999994E-2</v>
      </c>
      <c r="L12" s="121">
        <f t="shared" si="6"/>
        <v>2.9533399999999994E-2</v>
      </c>
      <c r="P12" s="208">
        <f>H5-P11</f>
        <v>1141.1736411736347</v>
      </c>
      <c r="AI12" s="1" t="s">
        <v>95</v>
      </c>
      <c r="AJ12" s="268" t="s">
        <v>106</v>
      </c>
      <c r="AK12" s="123" t="s">
        <v>14</v>
      </c>
      <c r="AL12" s="123">
        <v>35</v>
      </c>
      <c r="AM12" s="84">
        <f t="shared" si="7"/>
        <v>7.3907407407407399</v>
      </c>
      <c r="AN12" s="126">
        <v>1</v>
      </c>
      <c r="AO12" s="118">
        <f t="shared" si="8"/>
        <v>258.67592592592592</v>
      </c>
      <c r="AP12" s="119">
        <f t="shared" si="9"/>
        <v>258.67592592592592</v>
      </c>
      <c r="AQ12" s="1153">
        <f>VLOOKUP(AJ12,Marination_Ordering!$A:$J,6,FALSE)</f>
        <v>1</v>
      </c>
      <c r="AR12" s="1153">
        <f>VLOOKUP(AJ12,Marination_Ordering!$A:$J,10,FALSE)</f>
        <v>15</v>
      </c>
      <c r="AS12" s="174">
        <f t="shared" si="10"/>
        <v>258.67592592592592</v>
      </c>
      <c r="AT12" s="1153">
        <f t="shared" si="11"/>
        <v>3.8801388888888888</v>
      </c>
    </row>
    <row r="13" spans="1:46" ht="14.25" customHeight="1" x14ac:dyDescent="0.3">
      <c r="A13" s="269" t="s">
        <v>13</v>
      </c>
      <c r="B13" s="382" t="s">
        <v>12</v>
      </c>
      <c r="C13" s="123" t="s">
        <v>14</v>
      </c>
      <c r="D13" s="124">
        <v>80</v>
      </c>
      <c r="E13" s="222">
        <f t="shared" si="4"/>
        <v>13.303333333333333</v>
      </c>
      <c r="F13" s="126">
        <v>0.95</v>
      </c>
      <c r="G13" s="118">
        <f t="shared" si="0"/>
        <v>1064.2666666666667</v>
      </c>
      <c r="H13" s="119">
        <f t="shared" si="1"/>
        <v>1011.0533333333333</v>
      </c>
      <c r="I13" s="80">
        <f>VLOOKUP(B13,All_Ingredients!$A$1:$F$149,6,FALSE())</f>
        <v>0.9</v>
      </c>
      <c r="J13" s="118">
        <f>VLOOKUP(B13,All_Ingredients!$A$1:$J$149,10,FALSE())</f>
        <v>3</v>
      </c>
      <c r="K13" s="121">
        <f t="shared" si="5"/>
        <v>1.1233925925925925</v>
      </c>
      <c r="L13" s="121">
        <f t="shared" si="6"/>
        <v>3.3701777777777773</v>
      </c>
      <c r="P13" s="208">
        <f>P12/I5</f>
        <v>2428.0290237736908</v>
      </c>
      <c r="AI13" s="1" t="s">
        <v>192</v>
      </c>
      <c r="AJ13" s="268" t="s">
        <v>204</v>
      </c>
      <c r="AK13" s="123" t="s">
        <v>14</v>
      </c>
      <c r="AL13" s="123">
        <v>250</v>
      </c>
      <c r="AM13" s="84">
        <f t="shared" si="7"/>
        <v>7.3907407407407399</v>
      </c>
      <c r="AN13" s="126">
        <v>1</v>
      </c>
      <c r="AO13" s="118">
        <f t="shared" si="8"/>
        <v>1847.685185185185</v>
      </c>
      <c r="AP13" s="119">
        <f t="shared" si="9"/>
        <v>1847.685185185185</v>
      </c>
      <c r="AQ13" s="1153">
        <f>VLOOKUP(AJ13,Marination_Ordering!$A:$J,6,FALSE)</f>
        <v>1</v>
      </c>
      <c r="AR13" s="1153">
        <f>VLOOKUP(AJ13,Marination_Ordering!$A:$J,10,FALSE)</f>
        <v>11.243386243386244</v>
      </c>
      <c r="AS13" s="174">
        <f t="shared" si="10"/>
        <v>1847.685185185185</v>
      </c>
      <c r="AT13" s="1153">
        <f t="shared" si="11"/>
        <v>20.774238193219674</v>
      </c>
    </row>
    <row r="17" spans="2:32" ht="14.25" customHeight="1" x14ac:dyDescent="0.3">
      <c r="L17" s="208"/>
    </row>
    <row r="18" spans="2:32" ht="14.25" customHeight="1" x14ac:dyDescent="0.3">
      <c r="L18" s="208"/>
    </row>
    <row r="19" spans="2:32" ht="14.25" customHeight="1" x14ac:dyDescent="0.3">
      <c r="L19" s="208"/>
      <c r="R19" s="274" t="s">
        <v>313</v>
      </c>
    </row>
    <row r="20" spans="2:32" ht="14.25" customHeight="1" x14ac:dyDescent="0.3">
      <c r="L20" s="208"/>
    </row>
    <row r="21" spans="2:32" ht="14.25" customHeight="1" x14ac:dyDescent="0.3">
      <c r="L21" s="208"/>
    </row>
    <row r="22" spans="2:32" ht="14.25" customHeight="1" x14ac:dyDescent="0.3">
      <c r="L22" s="208"/>
    </row>
    <row r="23" spans="2:32" ht="14.25" customHeight="1" x14ac:dyDescent="0.3">
      <c r="L23" s="208"/>
    </row>
    <row r="24" spans="2:32" ht="14.25" customHeight="1" x14ac:dyDescent="0.3">
      <c r="L24" s="208"/>
      <c r="Z24" s="1265"/>
    </row>
    <row r="25" spans="2:32" ht="14.25" customHeight="1" x14ac:dyDescent="0.35">
      <c r="L25" s="208"/>
      <c r="R25" s="1440" t="s">
        <v>873</v>
      </c>
      <c r="S25" s="1444"/>
      <c r="T25" s="1444"/>
      <c r="U25" s="1444"/>
      <c r="V25" s="1132"/>
      <c r="Z25" s="140" t="s">
        <v>256</v>
      </c>
      <c r="AA25" s="141">
        <v>1</v>
      </c>
      <c r="AB25" s="140" t="s">
        <v>253</v>
      </c>
      <c r="AC25" s="142">
        <f>(AA25*(4/3))*AF30+(AA30*(AB28/R1))</f>
        <v>5.2550356745889655E-2</v>
      </c>
      <c r="AD25" s="14"/>
    </row>
    <row r="26" spans="2:32" ht="14.25" customHeight="1" x14ac:dyDescent="0.3">
      <c r="L26" s="208"/>
      <c r="R26" s="1459" t="s">
        <v>301</v>
      </c>
      <c r="S26" s="1444"/>
      <c r="T26" s="1444"/>
      <c r="U26" s="1444"/>
      <c r="V26" s="1132"/>
      <c r="Z26" s="14"/>
      <c r="AA26" s="14"/>
      <c r="AB26" s="14"/>
      <c r="AC26" s="14"/>
      <c r="AD26" s="14"/>
    </row>
    <row r="27" spans="2:32" ht="18" customHeight="1" thickBot="1" x14ac:dyDescent="0.35">
      <c r="R27" s="144" t="s">
        <v>258</v>
      </c>
      <c r="S27" s="145" t="s">
        <v>483</v>
      </c>
      <c r="T27" s="145" t="s">
        <v>260</v>
      </c>
      <c r="U27" s="145" t="s">
        <v>261</v>
      </c>
      <c r="V27" s="145" t="s">
        <v>808</v>
      </c>
      <c r="W27" s="145" t="s">
        <v>817</v>
      </c>
      <c r="Z27" s="140" t="s">
        <v>262</v>
      </c>
      <c r="AA27" s="1166" t="s">
        <v>316</v>
      </c>
      <c r="AB27" s="146" t="s">
        <v>263</v>
      </c>
      <c r="AC27" s="146" t="s">
        <v>264</v>
      </c>
      <c r="AD27" s="146" t="s">
        <v>265</v>
      </c>
      <c r="AE27" s="1167" t="s">
        <v>817</v>
      </c>
      <c r="AF27" s="146" t="s">
        <v>266</v>
      </c>
    </row>
    <row r="28" spans="2:32" ht="14.25" customHeight="1" thickBot="1" x14ac:dyDescent="0.35">
      <c r="B28" s="99"/>
      <c r="E28" s="99"/>
      <c r="F28" s="99"/>
      <c r="R28" s="147" t="s">
        <v>267</v>
      </c>
      <c r="S28" s="1328">
        <f>$Z$1</f>
        <v>36910</v>
      </c>
      <c r="T28" s="148"/>
      <c r="U28" s="754">
        <f>T28+S28</f>
        <v>36910</v>
      </c>
      <c r="V28" s="148">
        <f>SUM(AP5:AP13)</f>
        <v>8876.2796296296292</v>
      </c>
      <c r="W28" s="148">
        <f>SUM(H37:H38)</f>
        <v>599.25</v>
      </c>
      <c r="Z28" s="150"/>
      <c r="AA28" s="1169"/>
      <c r="AB28" s="151">
        <f>AA25*$S$40</f>
        <v>1</v>
      </c>
      <c r="AC28" s="151">
        <f>AA25-AB28</f>
        <v>0</v>
      </c>
      <c r="AD28" s="152">
        <f>AA25*(1/3)</f>
        <v>0.33333333333333331</v>
      </c>
      <c r="AE28" s="1169"/>
      <c r="AF28" s="153">
        <f>SUM(AB28:AD28)</f>
        <v>1.3333333333333333</v>
      </c>
    </row>
    <row r="29" spans="2:32" ht="14.25" customHeight="1" thickBot="1" x14ac:dyDescent="0.35">
      <c r="B29" s="99"/>
      <c r="E29" s="99"/>
      <c r="F29" s="99"/>
      <c r="R29" s="147" t="s">
        <v>268</v>
      </c>
      <c r="S29" s="154"/>
      <c r="T29" s="148">
        <f>S28*(1/3)</f>
        <v>12303.333333333332</v>
      </c>
      <c r="U29" s="754">
        <f>T29</f>
        <v>12303.333333333332</v>
      </c>
      <c r="V29" s="148"/>
      <c r="W29" s="148"/>
      <c r="Z29" s="150"/>
      <c r="AA29" s="1173"/>
      <c r="AB29" s="155">
        <f>AB28/$AF$28</f>
        <v>0.75</v>
      </c>
      <c r="AC29" s="155">
        <f>AC28/$AF$28</f>
        <v>0</v>
      </c>
      <c r="AD29" s="155">
        <f>AD28/$AF$28</f>
        <v>0.25</v>
      </c>
      <c r="AE29" s="1173"/>
      <c r="AF29" s="155">
        <f>AF28/$AF$28</f>
        <v>1</v>
      </c>
    </row>
    <row r="30" spans="2:32" ht="14.25" customHeight="1" thickBot="1" x14ac:dyDescent="0.35">
      <c r="B30" s="99"/>
      <c r="E30" s="99"/>
      <c r="F30" s="99"/>
      <c r="R30" s="147" t="s">
        <v>269</v>
      </c>
      <c r="S30" s="1329">
        <f>$AB$1</f>
        <v>3000</v>
      </c>
      <c r="T30" s="754">
        <f>(S30*U40)+(S30*(1/3))</f>
        <v>1000</v>
      </c>
      <c r="U30" s="754">
        <f>S30+T30</f>
        <v>4000</v>
      </c>
      <c r="V30" s="1124"/>
      <c r="W30" s="1124"/>
      <c r="Z30" s="140" t="s">
        <v>270</v>
      </c>
      <c r="AA30" s="1177">
        <f>V35/(S32/R1)</f>
        <v>8.2381749609708227E-4</v>
      </c>
      <c r="AB30" s="156">
        <f>S35/(S32)</f>
        <v>4.7281323877068557E-2</v>
      </c>
      <c r="AC30" s="157">
        <f>T35/T32</f>
        <v>1.0388386666666666E-2</v>
      </c>
      <c r="AD30" s="157">
        <f>T35/T32</f>
        <v>1.0388386666666666E-2</v>
      </c>
      <c r="AE30" s="1180">
        <f>W35/U32</f>
        <v>2.1048701814766044E-4</v>
      </c>
      <c r="AF30" s="1182">
        <f>SUMPRODUCT(AB30:AD30,AB29:AD29)+AE30</f>
        <v>3.826857659261574E-2</v>
      </c>
    </row>
    <row r="31" spans="2:32" ht="14.25" customHeight="1" thickBot="1" x14ac:dyDescent="0.35">
      <c r="B31" s="99"/>
      <c r="E31" s="99"/>
      <c r="F31" s="99"/>
      <c r="R31" s="147" t="s">
        <v>271</v>
      </c>
      <c r="S31" s="154"/>
      <c r="T31" s="148"/>
      <c r="U31" s="148"/>
      <c r="V31" s="148"/>
      <c r="W31" s="148"/>
      <c r="AB31">
        <f>AB28*AB30</f>
        <v>4.7281323877068557E-2</v>
      </c>
      <c r="AD31">
        <f>AD28*AD30</f>
        <v>3.462795555555555E-3</v>
      </c>
    </row>
    <row r="32" spans="2:32" ht="14.25" customHeight="1" thickBot="1" x14ac:dyDescent="0.35">
      <c r="B32" s="99"/>
      <c r="E32" s="99"/>
      <c r="F32" s="99"/>
      <c r="R32" s="159" t="s">
        <v>261</v>
      </c>
      <c r="S32" s="148">
        <f>SUM(S28:S30)</f>
        <v>39910</v>
      </c>
      <c r="T32" s="1193">
        <f>SUM(T28:T30)</f>
        <v>13303.333333333332</v>
      </c>
      <c r="U32" s="1193">
        <f>SUM(U28:U30)</f>
        <v>53213.333333333328</v>
      </c>
      <c r="V32" s="148"/>
      <c r="W32" s="148">
        <f>SUM(W28:W30)</f>
        <v>599.25</v>
      </c>
    </row>
    <row r="33" spans="2:23" ht="14.25" customHeight="1" thickBot="1" x14ac:dyDescent="0.35">
      <c r="B33" s="99"/>
      <c r="E33" s="99"/>
      <c r="F33" s="99"/>
      <c r="R33" s="160" t="s">
        <v>272</v>
      </c>
      <c r="S33" s="154"/>
      <c r="T33" s="154"/>
      <c r="U33" s="154"/>
      <c r="V33" s="154"/>
      <c r="W33" s="154"/>
    </row>
    <row r="34" spans="2:23" ht="14.25" customHeight="1" thickBot="1" x14ac:dyDescent="0.35">
      <c r="B34" s="99"/>
      <c r="E34" s="99"/>
      <c r="F34" s="99"/>
      <c r="R34" s="161" t="s">
        <v>273</v>
      </c>
      <c r="S34" s="154"/>
      <c r="T34" s="148"/>
      <c r="U34" s="154"/>
      <c r="V34" s="154"/>
      <c r="W34" s="154"/>
    </row>
    <row r="35" spans="2:23" ht="14.25" customHeight="1" thickBot="1" x14ac:dyDescent="0.35">
      <c r="B35" s="1484" t="s">
        <v>875</v>
      </c>
      <c r="C35" s="1484"/>
      <c r="D35" s="1484"/>
      <c r="E35" s="1484"/>
      <c r="F35" s="1484"/>
      <c r="G35" s="870"/>
      <c r="H35" s="870"/>
      <c r="I35" s="877"/>
      <c r="J35" s="877"/>
      <c r="K35" s="877"/>
      <c r="L35" s="877"/>
      <c r="R35" s="162" t="s">
        <v>253</v>
      </c>
      <c r="S35" s="163">
        <f>$L$5</f>
        <v>1886.9976359338061</v>
      </c>
      <c r="T35" s="163">
        <f>SUM(L6:L13)</f>
        <v>138.2001706222222</v>
      </c>
      <c r="U35" s="1211">
        <f>S35+T35+V35+W35</f>
        <v>2097.2847377284565</v>
      </c>
      <c r="V35" s="1125">
        <f>SUM(AT6:AT13)</f>
        <v>60.886215313397315</v>
      </c>
      <c r="W35" s="1125">
        <f>SUM(L37:L38)</f>
        <v>11.200715859030836</v>
      </c>
    </row>
    <row r="36" spans="2:23" ht="30" customHeight="1" x14ac:dyDescent="0.3">
      <c r="B36" s="848" t="s">
        <v>245</v>
      </c>
      <c r="C36" s="848" t="s">
        <v>321</v>
      </c>
      <c r="D36" s="850" t="s">
        <v>645</v>
      </c>
      <c r="E36" s="847" t="s">
        <v>646</v>
      </c>
      <c r="F36" s="850" t="s">
        <v>647</v>
      </c>
      <c r="G36" s="870"/>
      <c r="H36" s="850" t="s">
        <v>647</v>
      </c>
      <c r="I36" s="850" t="s">
        <v>250</v>
      </c>
      <c r="J36" s="850" t="s">
        <v>251</v>
      </c>
      <c r="K36" s="850" t="s">
        <v>252</v>
      </c>
      <c r="L36" s="850" t="s">
        <v>253</v>
      </c>
    </row>
    <row r="37" spans="2:23" x14ac:dyDescent="0.3">
      <c r="B37" s="843" t="s">
        <v>111</v>
      </c>
      <c r="C37" s="844" t="s">
        <v>14</v>
      </c>
      <c r="D37" s="845">
        <v>0.1</v>
      </c>
      <c r="E37" s="843">
        <f>$AD$1</f>
        <v>255</v>
      </c>
      <c r="F37" s="843">
        <f>D37*E37</f>
        <v>25.5</v>
      </c>
      <c r="G37" s="14"/>
      <c r="H37" s="843">
        <f>F37</f>
        <v>25.5</v>
      </c>
      <c r="I37" s="843">
        <f>VLOOKUP(B37,All_Ingredients!$A$1:$F$149,6,FALSE())</f>
        <v>1</v>
      </c>
      <c r="J37" s="843">
        <f>VLOOKUP(B37,All_Ingredients!$A$1:$J$149,10,FALSE())</f>
        <v>64.243759177679877</v>
      </c>
      <c r="K37" s="843">
        <f>(H37/I37)/1000</f>
        <v>2.5499999999999998E-2</v>
      </c>
      <c r="L37" s="843">
        <f t="shared" ref="L37" si="12">K37*J37</f>
        <v>1.6382158590308367</v>
      </c>
    </row>
    <row r="38" spans="2:23" x14ac:dyDescent="0.3">
      <c r="B38" s="843" t="s">
        <v>498</v>
      </c>
      <c r="C38" s="844" t="s">
        <v>14</v>
      </c>
      <c r="D38" s="845">
        <v>2.25</v>
      </c>
      <c r="E38" s="843">
        <f>$AD$1</f>
        <v>255</v>
      </c>
      <c r="F38" s="843">
        <f>D38*E38</f>
        <v>573.75</v>
      </c>
      <c r="H38" s="843">
        <f>F38</f>
        <v>573.75</v>
      </c>
      <c r="I38" s="843">
        <f>VLOOKUP(B38,All_Ingredients!$A$1:$F$149,6,FALSE())</f>
        <v>1</v>
      </c>
      <c r="J38" s="843">
        <f>VLOOKUP(B38,All_Ingredients!$A$1:$J$149,10,FALSE())</f>
        <v>16.666666666666668</v>
      </c>
      <c r="K38" s="843">
        <f>(H38/I38)/1000</f>
        <v>0.57374999999999998</v>
      </c>
      <c r="L38" s="843">
        <f t="shared" ref="L38" si="13">K38*J38</f>
        <v>9.5625</v>
      </c>
    </row>
    <row r="39" spans="2:23" ht="14.25" customHeight="1" x14ac:dyDescent="0.3"/>
    <row r="40" spans="2:23" ht="22.25" customHeight="1" x14ac:dyDescent="0.3">
      <c r="Q40" s="14"/>
      <c r="R40" s="440" t="s">
        <v>274</v>
      </c>
      <c r="S40" s="238">
        <v>1</v>
      </c>
      <c r="T40" s="441" t="s">
        <v>275</v>
      </c>
      <c r="U40" s="238">
        <v>0</v>
      </c>
      <c r="V40" s="167">
        <f>S40+U40</f>
        <v>1</v>
      </c>
      <c r="W40" s="14"/>
    </row>
    <row r="41" spans="2:23" ht="18" customHeight="1" x14ac:dyDescent="0.3">
      <c r="Q41" s="14"/>
      <c r="R41" s="14"/>
      <c r="S41" s="14"/>
      <c r="T41" s="14"/>
      <c r="U41" s="168"/>
      <c r="V41" s="14"/>
      <c r="W41" s="14"/>
    </row>
    <row r="42" spans="2:23" ht="14.25" customHeight="1" x14ac:dyDescent="0.3">
      <c r="Q42" s="14"/>
      <c r="R42" s="14"/>
      <c r="S42" s="14"/>
      <c r="T42" s="14"/>
      <c r="U42" s="14"/>
      <c r="V42" s="14"/>
      <c r="W42" s="14"/>
    </row>
    <row r="43" spans="2:23" ht="14.25" customHeight="1" x14ac:dyDescent="0.3">
      <c r="Q43" s="169" t="s">
        <v>276</v>
      </c>
      <c r="R43" s="169" t="s">
        <v>277</v>
      </c>
      <c r="S43" s="169" t="s">
        <v>278</v>
      </c>
      <c r="T43" s="169" t="s">
        <v>279</v>
      </c>
      <c r="U43" s="169" t="s">
        <v>280</v>
      </c>
      <c r="V43" s="169" t="s">
        <v>281</v>
      </c>
      <c r="W43" s="257" t="s">
        <v>282</v>
      </c>
    </row>
    <row r="44" spans="2:23" ht="14.25" customHeight="1" x14ac:dyDescent="0.3">
      <c r="Q44" s="171">
        <v>33334</v>
      </c>
      <c r="R44" s="172">
        <f>D51</f>
        <v>10000</v>
      </c>
      <c r="S44" s="173">
        <v>0</v>
      </c>
      <c r="T44" s="173">
        <v>1</v>
      </c>
      <c r="U44" s="241">
        <f>R44*S44</f>
        <v>0</v>
      </c>
      <c r="V44" s="175">
        <f>R44*T44</f>
        <v>10000</v>
      </c>
      <c r="W44" s="259">
        <f>Q44-U44</f>
        <v>33334</v>
      </c>
    </row>
    <row r="50" spans="1:10" ht="18" customHeight="1" x14ac:dyDescent="0.3">
      <c r="B50" s="275"/>
      <c r="C50" s="144" t="s">
        <v>237</v>
      </c>
      <c r="D50" s="144" t="s">
        <v>283</v>
      </c>
      <c r="F50" s="99"/>
      <c r="G50" s="144" t="s">
        <v>284</v>
      </c>
      <c r="H50" s="144" t="s">
        <v>237</v>
      </c>
      <c r="I50" s="144" t="s">
        <v>285</v>
      </c>
      <c r="J50" s="144" t="s">
        <v>286</v>
      </c>
    </row>
    <row r="51" spans="1:10" ht="18" customHeight="1" x14ac:dyDescent="0.3">
      <c r="B51" s="179" t="s">
        <v>287</v>
      </c>
      <c r="C51" s="180">
        <f>10/$K$1</f>
        <v>10</v>
      </c>
      <c r="D51" s="181">
        <f>$C$1*10</f>
        <v>10000</v>
      </c>
      <c r="E51" s="182"/>
      <c r="F51" s="99"/>
      <c r="G51" s="179" t="s">
        <v>287</v>
      </c>
      <c r="H51" s="276">
        <f>I51/$D$5</f>
        <v>10</v>
      </c>
      <c r="I51" s="180">
        <f>J51/$R$1</f>
        <v>61729.629629629628</v>
      </c>
      <c r="J51" s="180">
        <f>$W$44</f>
        <v>33334</v>
      </c>
    </row>
    <row r="52" spans="1:10" x14ac:dyDescent="0.3">
      <c r="B52" s="230" t="s">
        <v>266</v>
      </c>
      <c r="C52" s="231">
        <f>$I$1</f>
        <v>13.303333333333333</v>
      </c>
      <c r="D52" s="232">
        <f>$E$1</f>
        <v>13303.333333333332</v>
      </c>
      <c r="E52" s="99"/>
      <c r="F52" s="99"/>
      <c r="G52" s="147" t="s">
        <v>266</v>
      </c>
      <c r="H52" s="209">
        <f>I52/$D$5</f>
        <v>11.972760544789104</v>
      </c>
      <c r="I52" s="175">
        <f>J52/$R$1</f>
        <v>73907.407407407401</v>
      </c>
      <c r="J52" s="183">
        <f>$S$32</f>
        <v>39910</v>
      </c>
    </row>
    <row r="53" spans="1:10" x14ac:dyDescent="0.3">
      <c r="B53" s="230" t="s">
        <v>288</v>
      </c>
      <c r="C53" s="233">
        <f>MIN(C52, C51)</f>
        <v>10</v>
      </c>
      <c r="D53" s="232">
        <f>(C53*$K$1)*$C$1</f>
        <v>10000</v>
      </c>
      <c r="E53" s="99"/>
      <c r="F53" s="99"/>
      <c r="G53" s="147" t="s">
        <v>288</v>
      </c>
      <c r="H53" s="186">
        <f>MIN(H52,H51)</f>
        <v>10</v>
      </c>
      <c r="I53" s="175">
        <f>J53/$R$1</f>
        <v>61729.629629629628</v>
      </c>
      <c r="J53" s="175">
        <f>MIN(J52,J51)</f>
        <v>33334</v>
      </c>
    </row>
    <row r="54" spans="1:10" x14ac:dyDescent="0.3">
      <c r="B54" s="230" t="s">
        <v>289</v>
      </c>
      <c r="C54" s="233">
        <f>MIN(MAX(C52-C53,0),C51)</f>
        <v>3.3033333333333328</v>
      </c>
      <c r="D54" s="232">
        <f>(C54*$K$1)*$C$1</f>
        <v>3303.3333333333326</v>
      </c>
      <c r="E54" s="99"/>
      <c r="F54" s="99"/>
      <c r="G54" s="147" t="s">
        <v>289</v>
      </c>
      <c r="H54" s="186">
        <f>MIN(MAX(H52-H53),H51)</f>
        <v>1.9727605447891037</v>
      </c>
      <c r="I54" s="175">
        <f>J54/$R$1</f>
        <v>12177.777777777777</v>
      </c>
      <c r="J54" s="175">
        <f>MIN(MAX(J52-J53),J51)</f>
        <v>6576</v>
      </c>
    </row>
    <row r="55" spans="1:10" x14ac:dyDescent="0.3">
      <c r="B55" s="230" t="s">
        <v>290</v>
      </c>
      <c r="C55" s="233">
        <f>MIN(MAX(C52-C53-C54,0),C51)</f>
        <v>0</v>
      </c>
      <c r="D55" s="232">
        <f>(C55*$K$1)*$C$1</f>
        <v>0</v>
      </c>
      <c r="E55" s="99"/>
      <c r="F55" s="99"/>
      <c r="G55" s="144" t="s">
        <v>290</v>
      </c>
      <c r="H55" s="186">
        <f>MIN(MAX(H52-H53-H54),H51)</f>
        <v>0</v>
      </c>
      <c r="I55" s="175">
        <f>J55/$R$1</f>
        <v>0</v>
      </c>
      <c r="J55" s="175">
        <f>MIN(MAX(J52-J53-J54),J51)</f>
        <v>0</v>
      </c>
    </row>
    <row r="62" spans="1:10" ht="17.75" customHeight="1" x14ac:dyDescent="0.3">
      <c r="A62" s="923"/>
      <c r="B62" s="1438" t="str">
        <f>" سمك بالكريمة و البازلاء 1 / " &amp; COUNTIF($C$53:$C$55, "&gt;0")</f>
        <v xml:space="preserve"> سمك بالكريمة و البازلاء 1 / 2</v>
      </c>
      <c r="C62" s="1439"/>
      <c r="D62" s="1439"/>
      <c r="E62" s="1439"/>
      <c r="F62" s="1439"/>
      <c r="G62" s="1439"/>
      <c r="H62" s="1439"/>
    </row>
    <row r="63" spans="1:10" ht="17.75" customHeight="1" x14ac:dyDescent="0.3">
      <c r="A63" s="923"/>
      <c r="B63" s="1436" t="str">
        <f>" Fish with cream 1 / " &amp; COUNTIF($C$53:$C$55, "&gt;0")</f>
        <v xml:space="preserve"> Fish with cream 1 / 2</v>
      </c>
      <c r="C63" s="1437"/>
      <c r="D63" s="1437"/>
      <c r="E63" s="1437"/>
      <c r="F63" s="1437"/>
      <c r="G63" s="1437"/>
      <c r="H63" s="1437"/>
    </row>
    <row r="64" spans="1:10" ht="36.75" customHeight="1" x14ac:dyDescent="0.3">
      <c r="A64" s="90"/>
      <c r="B64" s="242" t="s">
        <v>245</v>
      </c>
      <c r="C64" s="243" t="s">
        <v>246</v>
      </c>
      <c r="D64" s="244" t="s">
        <v>235</v>
      </c>
      <c r="E64" s="217" t="s">
        <v>238</v>
      </c>
      <c r="F64" s="217" t="s">
        <v>247</v>
      </c>
      <c r="G64" s="244" t="s">
        <v>248</v>
      </c>
      <c r="H64" s="217" t="s">
        <v>249</v>
      </c>
    </row>
    <row r="65" spans="1:8" ht="14.25" customHeight="1" x14ac:dyDescent="0.3">
      <c r="A65" s="269" t="s">
        <v>225</v>
      </c>
      <c r="B65" s="122" t="str">
        <f t="shared" ref="B65:D73" si="14">B5</f>
        <v>Fillet Fish - سمك فيليه</v>
      </c>
      <c r="C65" s="123" t="str">
        <f t="shared" si="14"/>
        <v>gm</v>
      </c>
      <c r="D65" s="115">
        <f t="shared" si="14"/>
        <v>6172.9629629629626</v>
      </c>
      <c r="E65" s="279">
        <f>H53</f>
        <v>10</v>
      </c>
      <c r="F65" s="126">
        <f t="shared" ref="F65:F73" si="15">F5</f>
        <v>1</v>
      </c>
      <c r="G65" s="118">
        <f t="shared" ref="G65:G73" si="16">D65*E65</f>
        <v>61729.629629629628</v>
      </c>
      <c r="H65" s="119">
        <f t="shared" ref="H65:H73" si="17">G65*F65</f>
        <v>61729.629629629628</v>
      </c>
    </row>
    <row r="66" spans="1:8" ht="14.25" customHeight="1" x14ac:dyDescent="0.3">
      <c r="A66" s="269" t="s">
        <v>154</v>
      </c>
      <c r="B66" s="122" t="str">
        <f t="shared" si="14"/>
        <v>Milk - حليب</v>
      </c>
      <c r="C66" s="123" t="str">
        <f t="shared" si="14"/>
        <v>ml</v>
      </c>
      <c r="D66" s="124">
        <f t="shared" si="14"/>
        <v>550</v>
      </c>
      <c r="E66" s="280">
        <f t="shared" ref="E66:E73" si="18">$C$53</f>
        <v>10</v>
      </c>
      <c r="F66" s="126">
        <f t="shared" si="15"/>
        <v>1</v>
      </c>
      <c r="G66" s="118">
        <f t="shared" si="16"/>
        <v>5500</v>
      </c>
      <c r="H66" s="119">
        <f t="shared" si="17"/>
        <v>5500</v>
      </c>
    </row>
    <row r="67" spans="1:8" ht="14.25" customHeight="1" x14ac:dyDescent="0.3">
      <c r="A67" s="269" t="s">
        <v>154</v>
      </c>
      <c r="B67" s="122" t="str">
        <f t="shared" si="14"/>
        <v>Cooking Cream - كريمة طبخ</v>
      </c>
      <c r="C67" s="123" t="str">
        <f t="shared" si="14"/>
        <v>ml</v>
      </c>
      <c r="D67" s="124">
        <f t="shared" si="14"/>
        <v>550</v>
      </c>
      <c r="E67" s="280">
        <f t="shared" si="18"/>
        <v>10</v>
      </c>
      <c r="F67" s="126">
        <f t="shared" si="15"/>
        <v>1</v>
      </c>
      <c r="G67" s="118">
        <f t="shared" si="16"/>
        <v>5500</v>
      </c>
      <c r="H67" s="119">
        <f t="shared" si="17"/>
        <v>5500</v>
      </c>
    </row>
    <row r="68" spans="1:8" ht="14.25" customHeight="1" x14ac:dyDescent="0.3">
      <c r="A68" s="269" t="s">
        <v>154</v>
      </c>
      <c r="B68" s="122" t="str">
        <f t="shared" si="14"/>
        <v>Butter - زبدة</v>
      </c>
      <c r="C68" s="123" t="str">
        <f t="shared" si="14"/>
        <v>gm</v>
      </c>
      <c r="D68" s="124">
        <f t="shared" si="14"/>
        <v>20</v>
      </c>
      <c r="E68" s="280">
        <f t="shared" si="18"/>
        <v>10</v>
      </c>
      <c r="F68" s="126">
        <f t="shared" si="15"/>
        <v>1</v>
      </c>
      <c r="G68" s="118">
        <f t="shared" si="16"/>
        <v>200</v>
      </c>
      <c r="H68" s="119">
        <f t="shared" si="17"/>
        <v>200</v>
      </c>
    </row>
    <row r="69" spans="1:8" ht="14.25" customHeight="1" x14ac:dyDescent="0.3">
      <c r="A69" s="269" t="s">
        <v>188</v>
      </c>
      <c r="B69" s="122" t="str">
        <f t="shared" si="14"/>
        <v>Flour - دقيق</v>
      </c>
      <c r="C69" s="123" t="str">
        <f t="shared" si="14"/>
        <v>gm</v>
      </c>
      <c r="D69" s="124">
        <f t="shared" si="14"/>
        <v>20</v>
      </c>
      <c r="E69" s="280">
        <f t="shared" si="18"/>
        <v>10</v>
      </c>
      <c r="F69" s="126">
        <f t="shared" si="15"/>
        <v>1</v>
      </c>
      <c r="G69" s="118">
        <f t="shared" si="16"/>
        <v>200</v>
      </c>
      <c r="H69" s="119">
        <f t="shared" si="17"/>
        <v>200</v>
      </c>
    </row>
    <row r="70" spans="1:8" ht="14.25" customHeight="1" x14ac:dyDescent="0.3">
      <c r="A70" s="269" t="s">
        <v>95</v>
      </c>
      <c r="B70" s="122" t="str">
        <f t="shared" si="14"/>
        <v>Maggi Cubes - مكعبات ماجي</v>
      </c>
      <c r="C70" s="123" t="str">
        <f t="shared" si="14"/>
        <v>gm</v>
      </c>
      <c r="D70" s="124">
        <f t="shared" si="14"/>
        <v>10</v>
      </c>
      <c r="E70" s="280">
        <f t="shared" si="18"/>
        <v>10</v>
      </c>
      <c r="F70" s="126">
        <f t="shared" si="15"/>
        <v>0.75</v>
      </c>
      <c r="G70" s="118">
        <f t="shared" si="16"/>
        <v>100</v>
      </c>
      <c r="H70" s="119">
        <f t="shared" si="17"/>
        <v>75</v>
      </c>
    </row>
    <row r="71" spans="1:8" ht="14.25" customHeight="1" x14ac:dyDescent="0.3">
      <c r="A71" s="269" t="s">
        <v>95</v>
      </c>
      <c r="B71" s="122" t="str">
        <f t="shared" si="14"/>
        <v>White Pepper - فلفل أبيض</v>
      </c>
      <c r="C71" s="123" t="str">
        <f t="shared" si="14"/>
        <v>gm</v>
      </c>
      <c r="D71" s="124">
        <f t="shared" si="14"/>
        <v>3</v>
      </c>
      <c r="E71" s="280">
        <f t="shared" si="18"/>
        <v>10</v>
      </c>
      <c r="F71" s="126">
        <f t="shared" si="15"/>
        <v>0.75</v>
      </c>
      <c r="G71" s="118">
        <f t="shared" si="16"/>
        <v>30</v>
      </c>
      <c r="H71" s="119">
        <f t="shared" si="17"/>
        <v>22.5</v>
      </c>
    </row>
    <row r="72" spans="1:8" ht="14.25" customHeight="1" x14ac:dyDescent="0.3">
      <c r="A72" s="269" t="s">
        <v>95</v>
      </c>
      <c r="B72" s="122" t="str">
        <f t="shared" si="14"/>
        <v>Salt - ملح</v>
      </c>
      <c r="C72" s="123" t="str">
        <f t="shared" si="14"/>
        <v>gm</v>
      </c>
      <c r="D72" s="124">
        <f t="shared" si="14"/>
        <v>4</v>
      </c>
      <c r="E72" s="280">
        <f t="shared" si="18"/>
        <v>10</v>
      </c>
      <c r="F72" s="126">
        <f t="shared" si="15"/>
        <v>0.75</v>
      </c>
      <c r="G72" s="118">
        <f t="shared" si="16"/>
        <v>40</v>
      </c>
      <c r="H72" s="119">
        <f t="shared" si="17"/>
        <v>30</v>
      </c>
    </row>
    <row r="73" spans="1:8" ht="14.25" customHeight="1" x14ac:dyDescent="0.3">
      <c r="A73" s="269" t="s">
        <v>13</v>
      </c>
      <c r="B73" s="122" t="str">
        <f t="shared" si="14"/>
        <v>Onion - بصل</v>
      </c>
      <c r="C73" s="123" t="str">
        <f t="shared" si="14"/>
        <v>gm</v>
      </c>
      <c r="D73" s="124">
        <f t="shared" si="14"/>
        <v>80</v>
      </c>
      <c r="E73" s="280">
        <f t="shared" si="18"/>
        <v>10</v>
      </c>
      <c r="F73" s="126">
        <f t="shared" si="15"/>
        <v>0.95</v>
      </c>
      <c r="G73" s="118">
        <f t="shared" si="16"/>
        <v>800</v>
      </c>
      <c r="H73" s="119">
        <f t="shared" si="17"/>
        <v>760</v>
      </c>
    </row>
    <row r="74" spans="1:8" ht="20.25" customHeight="1" x14ac:dyDescent="0.3">
      <c r="A74" s="210"/>
      <c r="B74" s="197" t="s">
        <v>291</v>
      </c>
      <c r="C74" s="199" t="s">
        <v>277</v>
      </c>
      <c r="D74" s="14"/>
      <c r="E74" s="199" t="s">
        <v>292</v>
      </c>
      <c r="F74" s="14"/>
      <c r="G74" s="878" t="s">
        <v>268</v>
      </c>
      <c r="H74" s="878" t="s">
        <v>703</v>
      </c>
    </row>
    <row r="75" spans="1:8" ht="20" x14ac:dyDescent="0.4">
      <c r="A75" s="210"/>
      <c r="B75" s="198">
        <f>$J$53</f>
        <v>33334</v>
      </c>
      <c r="C75" s="198">
        <f>E75+G75</f>
        <v>10000</v>
      </c>
      <c r="D75" s="915"/>
      <c r="E75" s="198">
        <f>$D$53*$S$44</f>
        <v>0</v>
      </c>
      <c r="F75" s="919"/>
      <c r="G75" s="198">
        <f>$D$53*$T$44</f>
        <v>10000</v>
      </c>
      <c r="H75" s="198">
        <f>B75+E75</f>
        <v>33334</v>
      </c>
    </row>
    <row r="77" spans="1:8" ht="17.75" customHeight="1" x14ac:dyDescent="0.3">
      <c r="A77" s="923"/>
      <c r="B77" s="1438" t="str">
        <f>" سمك بالكريمة و البازلاء 2 / " &amp; COUNTIF($C$53:$C$55, "&gt;0")</f>
        <v xml:space="preserve"> سمك بالكريمة و البازلاء 2 / 2</v>
      </c>
      <c r="C77" s="1439"/>
      <c r="D77" s="1439"/>
      <c r="E77" s="1439"/>
      <c r="F77" s="1439"/>
      <c r="G77" s="1439"/>
      <c r="H77" s="1439"/>
    </row>
    <row r="78" spans="1:8" ht="17.75" customHeight="1" x14ac:dyDescent="0.3">
      <c r="A78" s="923"/>
      <c r="B78" s="1436" t="str">
        <f>" Fish with cream 2 / " &amp; COUNTIF($C$53:$C$55, "&gt;0")</f>
        <v xml:space="preserve"> Fish with cream 2 / 2</v>
      </c>
      <c r="C78" s="1437"/>
      <c r="D78" s="1437"/>
      <c r="E78" s="1437"/>
      <c r="F78" s="1437"/>
      <c r="G78" s="1437"/>
      <c r="H78" s="1437"/>
    </row>
    <row r="79" spans="1:8" ht="36.75" customHeight="1" x14ac:dyDescent="0.3">
      <c r="A79" s="90"/>
      <c r="B79" s="242" t="s">
        <v>245</v>
      </c>
      <c r="C79" s="243" t="s">
        <v>246</v>
      </c>
      <c r="D79" s="244" t="s">
        <v>235</v>
      </c>
      <c r="E79" s="217" t="s">
        <v>238</v>
      </c>
      <c r="F79" s="217" t="s">
        <v>247</v>
      </c>
      <c r="G79" s="244" t="s">
        <v>248</v>
      </c>
      <c r="H79" s="217" t="s">
        <v>249</v>
      </c>
    </row>
    <row r="80" spans="1:8" ht="14.25" customHeight="1" x14ac:dyDescent="0.3">
      <c r="A80" s="269" t="s">
        <v>225</v>
      </c>
      <c r="B80" s="122" t="str">
        <f t="shared" ref="B80:D88" si="19">B5</f>
        <v>Fillet Fish - سمك فيليه</v>
      </c>
      <c r="C80" s="123" t="str">
        <f t="shared" si="19"/>
        <v>gm</v>
      </c>
      <c r="D80" s="115">
        <f t="shared" si="19"/>
        <v>6172.9629629629626</v>
      </c>
      <c r="E80" s="222">
        <f>H54</f>
        <v>1.9727605447891037</v>
      </c>
      <c r="F80" s="126">
        <f t="shared" ref="F80:F88" si="20">F5</f>
        <v>1</v>
      </c>
      <c r="G80" s="118">
        <f t="shared" ref="G80:G88" si="21">D80*E80</f>
        <v>12177.777777777774</v>
      </c>
      <c r="H80" s="119">
        <f t="shared" ref="H80:H88" si="22">G80*F80</f>
        <v>12177.777777777774</v>
      </c>
    </row>
    <row r="81" spans="1:10" ht="14.25" customHeight="1" x14ac:dyDescent="0.3">
      <c r="A81" s="269" t="s">
        <v>154</v>
      </c>
      <c r="B81" s="122" t="str">
        <f t="shared" si="19"/>
        <v>Milk - حليب</v>
      </c>
      <c r="C81" s="123" t="str">
        <f t="shared" si="19"/>
        <v>ml</v>
      </c>
      <c r="D81" s="124">
        <f t="shared" si="19"/>
        <v>550</v>
      </c>
      <c r="E81" s="222">
        <f t="shared" ref="E81:E88" si="23">$C$54</f>
        <v>3.3033333333333328</v>
      </c>
      <c r="F81" s="126">
        <f t="shared" si="20"/>
        <v>1</v>
      </c>
      <c r="G81" s="118">
        <f t="shared" si="21"/>
        <v>1816.833333333333</v>
      </c>
      <c r="H81" s="119">
        <f t="shared" si="22"/>
        <v>1816.833333333333</v>
      </c>
    </row>
    <row r="82" spans="1:10" ht="14.25" customHeight="1" x14ac:dyDescent="0.3">
      <c r="A82" s="269" t="s">
        <v>154</v>
      </c>
      <c r="B82" s="122" t="str">
        <f t="shared" si="19"/>
        <v>Cooking Cream - كريمة طبخ</v>
      </c>
      <c r="C82" s="123" t="str">
        <f t="shared" si="19"/>
        <v>ml</v>
      </c>
      <c r="D82" s="124">
        <f t="shared" si="19"/>
        <v>550</v>
      </c>
      <c r="E82" s="222">
        <f t="shared" si="23"/>
        <v>3.3033333333333328</v>
      </c>
      <c r="F82" s="126">
        <f t="shared" si="20"/>
        <v>1</v>
      </c>
      <c r="G82" s="118">
        <f t="shared" si="21"/>
        <v>1816.833333333333</v>
      </c>
      <c r="H82" s="119">
        <f t="shared" si="22"/>
        <v>1816.833333333333</v>
      </c>
    </row>
    <row r="83" spans="1:10" ht="14.25" customHeight="1" x14ac:dyDescent="0.3">
      <c r="A83" s="269" t="s">
        <v>154</v>
      </c>
      <c r="B83" s="122" t="str">
        <f t="shared" si="19"/>
        <v>Butter - زبدة</v>
      </c>
      <c r="C83" s="123" t="str">
        <f t="shared" si="19"/>
        <v>gm</v>
      </c>
      <c r="D83" s="124">
        <f t="shared" si="19"/>
        <v>20</v>
      </c>
      <c r="E83" s="222">
        <f t="shared" si="23"/>
        <v>3.3033333333333328</v>
      </c>
      <c r="F83" s="126">
        <f t="shared" si="20"/>
        <v>1</v>
      </c>
      <c r="G83" s="118">
        <f t="shared" si="21"/>
        <v>66.066666666666663</v>
      </c>
      <c r="H83" s="119">
        <f t="shared" si="22"/>
        <v>66.066666666666663</v>
      </c>
    </row>
    <row r="84" spans="1:10" ht="14.25" customHeight="1" x14ac:dyDescent="0.3">
      <c r="A84" s="269" t="s">
        <v>188</v>
      </c>
      <c r="B84" s="122" t="str">
        <f t="shared" si="19"/>
        <v>Flour - دقيق</v>
      </c>
      <c r="C84" s="123" t="str">
        <f t="shared" si="19"/>
        <v>gm</v>
      </c>
      <c r="D84" s="124">
        <f t="shared" si="19"/>
        <v>20</v>
      </c>
      <c r="E84" s="222">
        <f t="shared" si="23"/>
        <v>3.3033333333333328</v>
      </c>
      <c r="F84" s="126">
        <f t="shared" si="20"/>
        <v>1</v>
      </c>
      <c r="G84" s="118">
        <f t="shared" si="21"/>
        <v>66.066666666666663</v>
      </c>
      <c r="H84" s="119">
        <f t="shared" si="22"/>
        <v>66.066666666666663</v>
      </c>
    </row>
    <row r="85" spans="1:10" ht="14.25" customHeight="1" x14ac:dyDescent="0.3">
      <c r="A85" s="269" t="s">
        <v>95</v>
      </c>
      <c r="B85" s="122" t="str">
        <f t="shared" si="19"/>
        <v>Maggi Cubes - مكعبات ماجي</v>
      </c>
      <c r="C85" s="123" t="str">
        <f t="shared" si="19"/>
        <v>gm</v>
      </c>
      <c r="D85" s="124">
        <f t="shared" si="19"/>
        <v>10</v>
      </c>
      <c r="E85" s="222">
        <f t="shared" si="23"/>
        <v>3.3033333333333328</v>
      </c>
      <c r="F85" s="126">
        <f t="shared" si="20"/>
        <v>0.75</v>
      </c>
      <c r="G85" s="118">
        <f t="shared" si="21"/>
        <v>33.033333333333331</v>
      </c>
      <c r="H85" s="119">
        <f t="shared" si="22"/>
        <v>24.774999999999999</v>
      </c>
    </row>
    <row r="86" spans="1:10" ht="14.25" customHeight="1" x14ac:dyDescent="0.3">
      <c r="A86" s="269" t="s">
        <v>95</v>
      </c>
      <c r="B86" s="122" t="str">
        <f t="shared" si="19"/>
        <v>White Pepper - فلفل أبيض</v>
      </c>
      <c r="C86" s="123" t="str">
        <f t="shared" si="19"/>
        <v>gm</v>
      </c>
      <c r="D86" s="124">
        <f t="shared" si="19"/>
        <v>3</v>
      </c>
      <c r="E86" s="222">
        <f t="shared" si="23"/>
        <v>3.3033333333333328</v>
      </c>
      <c r="F86" s="126">
        <f t="shared" si="20"/>
        <v>0.75</v>
      </c>
      <c r="G86" s="118">
        <f t="shared" si="21"/>
        <v>9.9099999999999984</v>
      </c>
      <c r="H86" s="119">
        <f t="shared" si="22"/>
        <v>7.4324999999999992</v>
      </c>
    </row>
    <row r="87" spans="1:10" ht="14.25" customHeight="1" x14ac:dyDescent="0.3">
      <c r="A87" s="269" t="s">
        <v>95</v>
      </c>
      <c r="B87" s="122" t="str">
        <f t="shared" si="19"/>
        <v>Salt - ملح</v>
      </c>
      <c r="C87" s="123" t="str">
        <f t="shared" si="19"/>
        <v>gm</v>
      </c>
      <c r="D87" s="124">
        <f t="shared" si="19"/>
        <v>4</v>
      </c>
      <c r="E87" s="222">
        <f t="shared" si="23"/>
        <v>3.3033333333333328</v>
      </c>
      <c r="F87" s="126">
        <f t="shared" si="20"/>
        <v>0.75</v>
      </c>
      <c r="G87" s="118">
        <f t="shared" si="21"/>
        <v>13.213333333333331</v>
      </c>
      <c r="H87" s="119">
        <f t="shared" si="22"/>
        <v>9.9099999999999984</v>
      </c>
    </row>
    <row r="88" spans="1:10" ht="14.25" customHeight="1" x14ac:dyDescent="0.3">
      <c r="A88" s="269" t="s">
        <v>13</v>
      </c>
      <c r="B88" s="122" t="str">
        <f t="shared" si="19"/>
        <v>Onion - بصل</v>
      </c>
      <c r="C88" s="123" t="str">
        <f t="shared" si="19"/>
        <v>gm</v>
      </c>
      <c r="D88" s="124">
        <f t="shared" si="19"/>
        <v>80</v>
      </c>
      <c r="E88" s="222">
        <f t="shared" si="23"/>
        <v>3.3033333333333328</v>
      </c>
      <c r="F88" s="126">
        <f t="shared" si="20"/>
        <v>0.95</v>
      </c>
      <c r="G88" s="118">
        <f t="shared" si="21"/>
        <v>264.26666666666665</v>
      </c>
      <c r="H88" s="119">
        <f t="shared" si="22"/>
        <v>251.05333333333331</v>
      </c>
    </row>
    <row r="89" spans="1:10" ht="20.25" customHeight="1" x14ac:dyDescent="0.4">
      <c r="A89" s="210"/>
      <c r="B89" s="197" t="s">
        <v>291</v>
      </c>
      <c r="C89" s="199" t="s">
        <v>277</v>
      </c>
      <c r="D89" s="14"/>
      <c r="E89" s="199" t="s">
        <v>292</v>
      </c>
      <c r="F89" s="14"/>
      <c r="G89" s="878" t="s">
        <v>268</v>
      </c>
      <c r="H89" s="878" t="s">
        <v>703</v>
      </c>
      <c r="I89" s="203"/>
      <c r="J89" s="202"/>
    </row>
    <row r="90" spans="1:10" ht="20" x14ac:dyDescent="0.4">
      <c r="A90" s="210"/>
      <c r="B90" s="198">
        <f>$J$54</f>
        <v>6576</v>
      </c>
      <c r="C90" s="198">
        <f>E90+G90</f>
        <v>3303.3333333333326</v>
      </c>
      <c r="D90" s="915"/>
      <c r="E90" s="198">
        <f>$D$54*$S$44</f>
        <v>0</v>
      </c>
      <c r="F90" s="919"/>
      <c r="G90" s="198">
        <f>$D$54*$T$44</f>
        <v>3303.3333333333326</v>
      </c>
      <c r="H90" s="198">
        <f>B90+E90</f>
        <v>6576</v>
      </c>
    </row>
  </sheetData>
  <mergeCells count="10">
    <mergeCell ref="AK2:AM2"/>
    <mergeCell ref="B78:H78"/>
    <mergeCell ref="B63:H63"/>
    <mergeCell ref="AC2:AE3"/>
    <mergeCell ref="R26:U26"/>
    <mergeCell ref="B77:H77"/>
    <mergeCell ref="B2:H2"/>
    <mergeCell ref="B62:H62"/>
    <mergeCell ref="R25:U25"/>
    <mergeCell ref="B35:F35"/>
  </mergeCells>
  <printOptions horizontalCentered="1"/>
  <pageMargins left="0.4" right="0.4" top="1" bottom="0.5" header="0.3" footer="0.511811023622047"/>
  <pageSetup paperSize="9" scale="48" orientation="landscape" r:id="rId1"/>
  <legacyDrawing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rgb="FFBF9000"/>
    <pageSetUpPr fitToPage="1"/>
  </sheetPr>
  <dimension ref="A1:AG111"/>
  <sheetViews>
    <sheetView topLeftCell="Q1" zoomScale="70" zoomScaleNormal="70" workbookViewId="0">
      <selection activeCell="R52" sqref="Q52:R53"/>
    </sheetView>
  </sheetViews>
  <sheetFormatPr defaultColWidth="12.5" defaultRowHeight="14" x14ac:dyDescent="0.3"/>
  <cols>
    <col min="1" max="1" width="12.5" style="78" customWidth="1"/>
    <col min="2" max="2" width="35.5820312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3" width="14.83203125" style="14" customWidth="1"/>
    <col min="14" max="14" width="12.5" style="14" customWidth="1"/>
    <col min="15" max="15" width="15.9140625" style="14" customWidth="1"/>
    <col min="16" max="17" width="12.5" style="14" customWidth="1"/>
    <col min="18" max="18" width="30.5" style="14" customWidth="1"/>
    <col min="19" max="25" width="12.5" style="14" customWidth="1"/>
    <col min="26" max="26" width="13.08203125" style="14" customWidth="1"/>
    <col min="27" max="27" width="12.5" style="14" customWidth="1"/>
    <col min="28" max="28" width="6.75" style="14" customWidth="1"/>
    <col min="29" max="16384" width="12.5" style="14"/>
  </cols>
  <sheetData>
    <row r="1" spans="1:33" ht="28.5" customHeight="1" x14ac:dyDescent="0.3">
      <c r="B1" s="79" t="s">
        <v>235</v>
      </c>
      <c r="C1" s="80">
        <v>1000</v>
      </c>
      <c r="D1" s="81" t="s">
        <v>236</v>
      </c>
      <c r="E1" s="116">
        <f>T32</f>
        <v>10876.666666666666</v>
      </c>
      <c r="F1" s="79" t="s">
        <v>237</v>
      </c>
      <c r="G1" s="116">
        <f>E1/C1</f>
        <v>10.876666666666667</v>
      </c>
      <c r="H1" s="79" t="s">
        <v>238</v>
      </c>
      <c r="I1" s="116">
        <f>G1/K1</f>
        <v>10.876666666666667</v>
      </c>
      <c r="J1" s="85" t="s">
        <v>239</v>
      </c>
      <c r="K1" s="326">
        <v>1</v>
      </c>
      <c r="L1" s="99"/>
      <c r="M1" s="88" t="s">
        <v>317</v>
      </c>
      <c r="N1" s="326"/>
      <c r="O1" s="90" t="s">
        <v>240</v>
      </c>
      <c r="P1" s="91"/>
      <c r="Q1" s="92" t="s">
        <v>242</v>
      </c>
      <c r="Y1" s="90" t="s">
        <v>463</v>
      </c>
      <c r="Z1" s="835">
        <v>32630</v>
      </c>
      <c r="AA1" s="90" t="s">
        <v>578</v>
      </c>
      <c r="AB1" s="835">
        <v>0</v>
      </c>
      <c r="AC1" s="90" t="s">
        <v>567</v>
      </c>
      <c r="AD1" s="835">
        <v>215</v>
      </c>
    </row>
    <row r="2" spans="1:33" ht="12.75" customHeight="1" x14ac:dyDescent="0.3">
      <c r="A2" s="96"/>
      <c r="B2" s="1450" t="s">
        <v>73</v>
      </c>
      <c r="C2" s="1460"/>
      <c r="D2" s="1460"/>
      <c r="E2" s="1460"/>
      <c r="F2" s="1460"/>
      <c r="G2" s="1460"/>
      <c r="H2" s="1460"/>
      <c r="I2" s="1460"/>
      <c r="J2" s="1460"/>
      <c r="K2" s="1460"/>
      <c r="L2" s="292"/>
      <c r="M2" s="99"/>
      <c r="N2" s="99"/>
      <c r="O2" s="99"/>
      <c r="P2" s="99"/>
      <c r="Q2" s="99"/>
      <c r="AE2" s="1452"/>
      <c r="AF2" s="1460"/>
      <c r="AG2" s="1460"/>
    </row>
    <row r="3" spans="1:33" ht="12.75" customHeight="1" x14ac:dyDescent="0.3">
      <c r="A3" s="96"/>
      <c r="B3" s="1444"/>
      <c r="C3" s="1444"/>
      <c r="D3" s="1444"/>
      <c r="E3" s="1444"/>
      <c r="F3" s="1444"/>
      <c r="G3" s="1444"/>
      <c r="H3" s="1444"/>
      <c r="I3" s="1444"/>
      <c r="J3" s="1444"/>
      <c r="K3" s="1444"/>
      <c r="L3" s="292"/>
      <c r="M3" s="99"/>
      <c r="N3" s="99"/>
      <c r="O3" s="99"/>
      <c r="P3" s="99"/>
      <c r="Q3" s="99"/>
      <c r="AE3" s="1460"/>
      <c r="AF3" s="1460"/>
      <c r="AG3" s="1460"/>
    </row>
    <row r="4" spans="1:33" ht="35.25" customHeight="1" x14ac:dyDescent="0.25">
      <c r="A4" s="90" t="s">
        <v>1</v>
      </c>
      <c r="B4" s="90" t="s">
        <v>245</v>
      </c>
      <c r="C4" s="106" t="s">
        <v>246</v>
      </c>
      <c r="D4" s="90" t="s">
        <v>235</v>
      </c>
      <c r="E4" s="217" t="s">
        <v>238</v>
      </c>
      <c r="F4" s="107" t="s">
        <v>247</v>
      </c>
      <c r="G4" s="90" t="s">
        <v>248</v>
      </c>
      <c r="H4" s="106" t="s">
        <v>339</v>
      </c>
      <c r="I4" s="90" t="s">
        <v>250</v>
      </c>
      <c r="J4" s="90" t="s">
        <v>251</v>
      </c>
      <c r="K4" s="90" t="s">
        <v>252</v>
      </c>
      <c r="L4" s="90" t="s">
        <v>253</v>
      </c>
      <c r="M4" s="99"/>
      <c r="N4" s="99"/>
      <c r="O4" s="99"/>
    </row>
    <row r="5" spans="1:33" ht="14.25" customHeight="1" x14ac:dyDescent="0.25">
      <c r="A5" s="218"/>
      <c r="B5" s="649"/>
      <c r="C5" s="650"/>
      <c r="D5" s="218"/>
      <c r="E5" s="651"/>
      <c r="F5" s="218"/>
      <c r="G5" s="218"/>
      <c r="H5" s="650"/>
      <c r="I5" s="218"/>
      <c r="J5" s="218"/>
      <c r="K5" s="218"/>
      <c r="L5" s="218"/>
    </row>
    <row r="6" spans="1:33" ht="14.25" customHeight="1" x14ac:dyDescent="0.3">
      <c r="A6" s="157" t="s">
        <v>13</v>
      </c>
      <c r="B6" s="22" t="s">
        <v>12</v>
      </c>
      <c r="C6" s="114" t="s">
        <v>14</v>
      </c>
      <c r="D6" s="124">
        <v>75</v>
      </c>
      <c r="E6" s="115">
        <f t="shared" ref="E6:E24" si="0">$G$1</f>
        <v>10.876666666666667</v>
      </c>
      <c r="F6" s="126">
        <v>1</v>
      </c>
      <c r="G6" s="120">
        <f t="shared" ref="G6:G24" si="1">D6*E6</f>
        <v>815.75</v>
      </c>
      <c r="H6" s="119">
        <f t="shared" ref="H6:H24" si="2">G6*F6</f>
        <v>815.75</v>
      </c>
      <c r="I6" s="218">
        <f>VLOOKUP(B6,All_Ingredients!$A$1:$F$149,6,FALSE())</f>
        <v>0.9</v>
      </c>
      <c r="J6" s="218">
        <f>VLOOKUP(B6,All_Ingredients!$A$1:$J$149,10,FALSE())</f>
        <v>3</v>
      </c>
      <c r="K6" s="121">
        <f t="shared" ref="K6:K24" si="3">(H6/I6)/1000</f>
        <v>0.90638888888888891</v>
      </c>
      <c r="L6" s="121">
        <f t="shared" ref="L6:L24" si="4">K6*J6</f>
        <v>2.7191666666666667</v>
      </c>
    </row>
    <row r="7" spans="1:33" ht="14.25" customHeight="1" x14ac:dyDescent="0.3">
      <c r="A7" s="127" t="s">
        <v>13</v>
      </c>
      <c r="B7" s="22" t="s">
        <v>762</v>
      </c>
      <c r="C7" s="123" t="s">
        <v>14</v>
      </c>
      <c r="D7" s="124">
        <v>25</v>
      </c>
      <c r="E7" s="115">
        <f t="shared" si="0"/>
        <v>10.876666666666667</v>
      </c>
      <c r="F7" s="126">
        <v>1</v>
      </c>
      <c r="G7" s="120">
        <f t="shared" si="1"/>
        <v>271.91666666666669</v>
      </c>
      <c r="H7" s="119">
        <f t="shared" si="2"/>
        <v>271.91666666666669</v>
      </c>
      <c r="I7" s="218">
        <f>VLOOKUP(B7,All_Ingredients!$A$1:$F$149,6,FALSE())</f>
        <v>1</v>
      </c>
      <c r="J7" s="218">
        <f>VLOOKUP(B7,All_Ingredients!$A$1:$J$149,10,FALSE())</f>
        <v>10.5</v>
      </c>
      <c r="K7" s="121">
        <f t="shared" si="3"/>
        <v>0.2719166666666667</v>
      </c>
      <c r="L7" s="121">
        <f t="shared" si="4"/>
        <v>2.8551250000000001</v>
      </c>
    </row>
    <row r="8" spans="1:33" ht="14.25" customHeight="1" x14ac:dyDescent="0.3">
      <c r="A8" s="127" t="s">
        <v>13</v>
      </c>
      <c r="B8" s="22" t="s">
        <v>17</v>
      </c>
      <c r="C8" s="123" t="s">
        <v>14</v>
      </c>
      <c r="D8" s="124">
        <v>125</v>
      </c>
      <c r="E8" s="115">
        <f t="shared" si="0"/>
        <v>10.876666666666667</v>
      </c>
      <c r="F8" s="126">
        <v>1</v>
      </c>
      <c r="G8" s="120">
        <f t="shared" si="1"/>
        <v>1359.5833333333333</v>
      </c>
      <c r="H8" s="119">
        <f t="shared" si="2"/>
        <v>1359.5833333333333</v>
      </c>
      <c r="I8" s="218">
        <f>VLOOKUP(B8,All_Ingredients!$A$1:$F$149,6,FALSE())</f>
        <v>0.98</v>
      </c>
      <c r="J8" s="218">
        <f>VLOOKUP(B8,All_Ingredients!$A$1:$J$149,10,FALSE())</f>
        <v>3.5</v>
      </c>
      <c r="K8" s="121">
        <f t="shared" si="3"/>
        <v>1.3873299319727892</v>
      </c>
      <c r="L8" s="121">
        <f t="shared" si="4"/>
        <v>4.8556547619047619</v>
      </c>
    </row>
    <row r="9" spans="1:33" ht="14.25" customHeight="1" x14ac:dyDescent="0.3">
      <c r="A9" s="127" t="s">
        <v>192</v>
      </c>
      <c r="B9" s="22" t="s">
        <v>731</v>
      </c>
      <c r="C9" s="123" t="s">
        <v>14</v>
      </c>
      <c r="D9" s="272">
        <v>150</v>
      </c>
      <c r="E9" s="115">
        <f t="shared" si="0"/>
        <v>10.876666666666667</v>
      </c>
      <c r="F9" s="126">
        <v>1</v>
      </c>
      <c r="G9" s="120">
        <f t="shared" si="1"/>
        <v>1631.5</v>
      </c>
      <c r="H9" s="119">
        <f t="shared" si="2"/>
        <v>1631.5</v>
      </c>
      <c r="I9" s="218">
        <f>VLOOKUP(B9,All_Ingredients!$A$1:$F$149,6,FALSE())</f>
        <v>1</v>
      </c>
      <c r="J9" s="218">
        <f>VLOOKUP(B9,All_Ingredients!$A$1:$J$149,10,FALSE())</f>
        <v>8.1520833333333336</v>
      </c>
      <c r="K9" s="121">
        <f t="shared" si="3"/>
        <v>1.6315</v>
      </c>
      <c r="L9" s="121">
        <f t="shared" si="4"/>
        <v>13.300123958333334</v>
      </c>
    </row>
    <row r="10" spans="1:33" ht="14.25" customHeight="1" x14ac:dyDescent="0.3">
      <c r="A10" s="127" t="s">
        <v>95</v>
      </c>
      <c r="B10" s="22" t="s">
        <v>108</v>
      </c>
      <c r="C10" s="123" t="s">
        <v>14</v>
      </c>
      <c r="D10" s="124">
        <v>3</v>
      </c>
      <c r="E10" s="115">
        <f t="shared" si="0"/>
        <v>10.876666666666667</v>
      </c>
      <c r="F10" s="126">
        <v>1</v>
      </c>
      <c r="G10" s="120">
        <f t="shared" si="1"/>
        <v>32.630000000000003</v>
      </c>
      <c r="H10" s="119">
        <f t="shared" si="2"/>
        <v>32.630000000000003</v>
      </c>
      <c r="I10" s="218">
        <f>VLOOKUP(B10,All_Ingredients!$A$1:$F$149,6,FALSE())</f>
        <v>1</v>
      </c>
      <c r="J10" s="218">
        <f>VLOOKUP(B10,All_Ingredients!$A$1:$J$149,10,FALSE())</f>
        <v>8</v>
      </c>
      <c r="K10" s="121">
        <f t="shared" si="3"/>
        <v>3.2629999999999999E-2</v>
      </c>
      <c r="L10" s="121">
        <f t="shared" si="4"/>
        <v>0.26103999999999999</v>
      </c>
    </row>
    <row r="11" spans="1:33" ht="14.25" customHeight="1" x14ac:dyDescent="0.3">
      <c r="A11" s="127" t="s">
        <v>95</v>
      </c>
      <c r="B11" s="22" t="s">
        <v>106</v>
      </c>
      <c r="C11" s="123" t="s">
        <v>14</v>
      </c>
      <c r="D11" s="124">
        <v>6</v>
      </c>
      <c r="E11" s="115">
        <f t="shared" si="0"/>
        <v>10.876666666666667</v>
      </c>
      <c r="F11" s="126">
        <v>1</v>
      </c>
      <c r="G11" s="120">
        <f t="shared" si="1"/>
        <v>65.260000000000005</v>
      </c>
      <c r="H11" s="119">
        <f t="shared" si="2"/>
        <v>65.260000000000005</v>
      </c>
      <c r="I11" s="218">
        <f>VLOOKUP(B11,All_Ingredients!$A$1:$F$149,6,FALSE())</f>
        <v>1</v>
      </c>
      <c r="J11" s="218">
        <f>VLOOKUP(B11,All_Ingredients!$A$1:$J$149,10,FALSE())</f>
        <v>15</v>
      </c>
      <c r="K11" s="121">
        <f t="shared" si="3"/>
        <v>6.5259999999999999E-2</v>
      </c>
      <c r="L11" s="121">
        <f t="shared" si="4"/>
        <v>0.97889999999999999</v>
      </c>
    </row>
    <row r="12" spans="1:33" ht="14.25" customHeight="1" x14ac:dyDescent="0.3">
      <c r="A12" s="127" t="s">
        <v>95</v>
      </c>
      <c r="B12" s="22" t="s">
        <v>123</v>
      </c>
      <c r="C12" s="123" t="s">
        <v>14</v>
      </c>
      <c r="D12" s="124">
        <v>2</v>
      </c>
      <c r="E12" s="115">
        <f t="shared" si="0"/>
        <v>10.876666666666667</v>
      </c>
      <c r="F12" s="126">
        <v>1</v>
      </c>
      <c r="G12" s="120">
        <f t="shared" si="1"/>
        <v>21.753333333333334</v>
      </c>
      <c r="H12" s="119">
        <f t="shared" si="2"/>
        <v>21.753333333333334</v>
      </c>
      <c r="I12" s="218">
        <f>VLOOKUP(B12,All_Ingredients!$A$1:$F$149,6,FALSE())</f>
        <v>1</v>
      </c>
      <c r="J12" s="218">
        <f>VLOOKUP(B12,All_Ingredients!$A$1:$J$149,10,FALSE())</f>
        <v>14</v>
      </c>
      <c r="K12" s="121">
        <f t="shared" si="3"/>
        <v>2.1753333333333333E-2</v>
      </c>
      <c r="L12" s="121">
        <f t="shared" si="4"/>
        <v>0.30454666666666663</v>
      </c>
    </row>
    <row r="13" spans="1:33" ht="14.25" customHeight="1" x14ac:dyDescent="0.35">
      <c r="A13" s="127" t="s">
        <v>192</v>
      </c>
      <c r="B13" s="22" t="s">
        <v>200</v>
      </c>
      <c r="C13" s="992" t="s">
        <v>161</v>
      </c>
      <c r="D13" s="124">
        <v>65</v>
      </c>
      <c r="E13" s="115">
        <f t="shared" si="0"/>
        <v>10.876666666666667</v>
      </c>
      <c r="F13" s="126">
        <v>1</v>
      </c>
      <c r="G13" s="120">
        <f t="shared" si="1"/>
        <v>706.98333333333335</v>
      </c>
      <c r="H13" s="119">
        <f t="shared" si="2"/>
        <v>706.98333333333335</v>
      </c>
      <c r="I13" s="218">
        <f>VLOOKUP(B13,All_Ingredients!$A$1:$F$149,6,FALSE())</f>
        <v>1</v>
      </c>
      <c r="J13" s="218">
        <f>VLOOKUP(B13,All_Ingredients!$A$1:$J$149,10,FALSE())</f>
        <v>3.25</v>
      </c>
      <c r="K13" s="121">
        <f t="shared" si="3"/>
        <v>0.7069833333333333</v>
      </c>
      <c r="L13" s="121">
        <f t="shared" si="4"/>
        <v>2.297695833333333</v>
      </c>
    </row>
    <row r="14" spans="1:33" ht="14.25" customHeight="1" x14ac:dyDescent="0.3">
      <c r="A14" s="127" t="s">
        <v>95</v>
      </c>
      <c r="B14" s="22" t="s">
        <v>100</v>
      </c>
      <c r="C14" s="123" t="s">
        <v>14</v>
      </c>
      <c r="D14" s="124">
        <v>1</v>
      </c>
      <c r="E14" s="115">
        <f t="shared" si="0"/>
        <v>10.876666666666667</v>
      </c>
      <c r="F14" s="126">
        <v>1</v>
      </c>
      <c r="G14" s="120">
        <f t="shared" si="1"/>
        <v>10.876666666666667</v>
      </c>
      <c r="H14" s="119">
        <f t="shared" si="2"/>
        <v>10.876666666666667</v>
      </c>
      <c r="I14" s="218">
        <f>VLOOKUP(B14,All_Ingredients!$A$1:$F$149,6,FALSE())</f>
        <v>1</v>
      </c>
      <c r="J14" s="218">
        <f>VLOOKUP(B14,All_Ingredients!$A$1:$J$149,10,FALSE())</f>
        <v>31</v>
      </c>
      <c r="K14" s="121">
        <f t="shared" si="3"/>
        <v>1.0876666666666666E-2</v>
      </c>
      <c r="L14" s="121">
        <f t="shared" si="4"/>
        <v>0.33717666666666668</v>
      </c>
    </row>
    <row r="15" spans="1:33" ht="14.25" customHeight="1" x14ac:dyDescent="0.3">
      <c r="A15" s="127" t="s">
        <v>95</v>
      </c>
      <c r="B15" s="22" t="s">
        <v>140</v>
      </c>
      <c r="C15" s="123" t="s">
        <v>14</v>
      </c>
      <c r="D15" s="124">
        <v>5</v>
      </c>
      <c r="E15" s="115">
        <f t="shared" si="0"/>
        <v>10.876666666666667</v>
      </c>
      <c r="F15" s="126">
        <v>1</v>
      </c>
      <c r="G15" s="120">
        <f t="shared" si="1"/>
        <v>54.383333333333333</v>
      </c>
      <c r="H15" s="119">
        <f t="shared" si="2"/>
        <v>54.383333333333333</v>
      </c>
      <c r="I15" s="218">
        <f>VLOOKUP(B15,All_Ingredients!$A$1:$F$149,6,FALSE())</f>
        <v>1</v>
      </c>
      <c r="J15" s="218">
        <f>VLOOKUP(B15,All_Ingredients!$A$1:$J$149,10,FALSE())</f>
        <v>15.277777777777779</v>
      </c>
      <c r="K15" s="121">
        <f t="shared" si="3"/>
        <v>5.4383333333333332E-2</v>
      </c>
      <c r="L15" s="121">
        <f t="shared" si="4"/>
        <v>0.8308564814814815</v>
      </c>
    </row>
    <row r="16" spans="1:33" ht="14.25" customHeight="1" x14ac:dyDescent="0.3">
      <c r="A16" s="127" t="s">
        <v>192</v>
      </c>
      <c r="B16" s="22" t="s">
        <v>194</v>
      </c>
      <c r="C16" s="123" t="s">
        <v>161</v>
      </c>
      <c r="D16" s="124">
        <v>20</v>
      </c>
      <c r="E16" s="115">
        <f t="shared" si="0"/>
        <v>10.876666666666667</v>
      </c>
      <c r="F16" s="126">
        <v>1</v>
      </c>
      <c r="G16" s="120">
        <f t="shared" si="1"/>
        <v>217.53333333333333</v>
      </c>
      <c r="H16" s="119">
        <f t="shared" si="2"/>
        <v>217.53333333333333</v>
      </c>
      <c r="I16" s="218">
        <f>VLOOKUP(B16,All_Ingredients!$A$1:$F$149,6,FALSE())</f>
        <v>1</v>
      </c>
      <c r="J16" s="218">
        <f>VLOOKUP(B16,All_Ingredients!$A$1:$J$149,10,FALSE())</f>
        <v>58.685446009389672</v>
      </c>
      <c r="K16" s="121">
        <f t="shared" si="3"/>
        <v>0.21753333333333333</v>
      </c>
      <c r="L16" s="121">
        <f t="shared" si="4"/>
        <v>12.766040688575899</v>
      </c>
    </row>
    <row r="17" spans="1:29" ht="14.25" customHeight="1" x14ac:dyDescent="0.3">
      <c r="A17" s="127" t="s">
        <v>188</v>
      </c>
      <c r="B17" s="22" t="s">
        <v>189</v>
      </c>
      <c r="C17" s="123" t="s">
        <v>14</v>
      </c>
      <c r="D17" s="124">
        <v>12</v>
      </c>
      <c r="E17" s="115">
        <f t="shared" si="0"/>
        <v>10.876666666666667</v>
      </c>
      <c r="F17" s="126">
        <v>1</v>
      </c>
      <c r="G17" s="120">
        <f t="shared" si="1"/>
        <v>130.52000000000001</v>
      </c>
      <c r="H17" s="119">
        <f t="shared" si="2"/>
        <v>130.52000000000001</v>
      </c>
      <c r="I17" s="218">
        <f>VLOOKUP(B17,All_Ingredients!$A$1:$F$149,6,FALSE())</f>
        <v>0.9</v>
      </c>
      <c r="J17" s="218">
        <f>VLOOKUP(B17,All_Ingredients!$A$1:$J$149,10,FALSE())</f>
        <v>2.3199999999999998</v>
      </c>
      <c r="K17" s="121">
        <f t="shared" si="3"/>
        <v>0.14502222222222225</v>
      </c>
      <c r="L17" s="121">
        <f t="shared" si="4"/>
        <v>0.33645155555555561</v>
      </c>
    </row>
    <row r="18" spans="1:29" ht="14.25" customHeight="1" x14ac:dyDescent="0.3">
      <c r="A18" s="127" t="s">
        <v>13</v>
      </c>
      <c r="B18" s="22" t="s">
        <v>17</v>
      </c>
      <c r="C18" s="123" t="s">
        <v>14</v>
      </c>
      <c r="D18" s="124">
        <v>125</v>
      </c>
      <c r="E18" s="115">
        <f t="shared" si="0"/>
        <v>10.876666666666667</v>
      </c>
      <c r="F18" s="126">
        <v>1</v>
      </c>
      <c r="G18" s="120">
        <f t="shared" si="1"/>
        <v>1359.5833333333333</v>
      </c>
      <c r="H18" s="119">
        <f t="shared" si="2"/>
        <v>1359.5833333333333</v>
      </c>
      <c r="I18" s="218">
        <f>VLOOKUP(B18,All_Ingredients!$A$1:$F$149,6,FALSE())</f>
        <v>0.98</v>
      </c>
      <c r="J18" s="218">
        <f>VLOOKUP(B18,All_Ingredients!$A$1:$J$149,10,FALSE())</f>
        <v>3.5</v>
      </c>
      <c r="K18" s="121">
        <f t="shared" si="3"/>
        <v>1.3873299319727892</v>
      </c>
      <c r="L18" s="121">
        <f t="shared" si="4"/>
        <v>4.8556547619047619</v>
      </c>
    </row>
    <row r="19" spans="1:29" ht="14.25" customHeight="1" x14ac:dyDescent="0.3">
      <c r="A19" s="127" t="s">
        <v>13</v>
      </c>
      <c r="B19" s="22" t="s">
        <v>23</v>
      </c>
      <c r="C19" s="123" t="s">
        <v>14</v>
      </c>
      <c r="D19" s="124">
        <v>1500</v>
      </c>
      <c r="E19" s="115">
        <f t="shared" si="0"/>
        <v>10.876666666666667</v>
      </c>
      <c r="F19" s="126">
        <v>1</v>
      </c>
      <c r="G19" s="120">
        <f t="shared" si="1"/>
        <v>16315</v>
      </c>
      <c r="H19" s="119">
        <f t="shared" si="2"/>
        <v>16315</v>
      </c>
      <c r="I19" s="218">
        <f>VLOOKUP(B19,All_Ingredients!$A$1:$F$149,6,FALSE())</f>
        <v>0.82</v>
      </c>
      <c r="J19" s="218">
        <f>VLOOKUP(B19,All_Ingredients!$A$1:$J$149,10,FALSE())</f>
        <v>3</v>
      </c>
      <c r="K19" s="121">
        <f t="shared" si="3"/>
        <v>19.896341463414636</v>
      </c>
      <c r="L19" s="121">
        <f t="shared" si="4"/>
        <v>59.689024390243908</v>
      </c>
    </row>
    <row r="20" spans="1:29" ht="14.25" customHeight="1" x14ac:dyDescent="0.3">
      <c r="A20" s="127" t="s">
        <v>13</v>
      </c>
      <c r="B20" s="22" t="s">
        <v>28</v>
      </c>
      <c r="C20" s="123" t="s">
        <v>14</v>
      </c>
      <c r="D20" s="124">
        <v>50</v>
      </c>
      <c r="E20" s="115">
        <f t="shared" si="0"/>
        <v>10.876666666666667</v>
      </c>
      <c r="F20" s="126">
        <v>1</v>
      </c>
      <c r="G20" s="120">
        <f t="shared" si="1"/>
        <v>543.83333333333337</v>
      </c>
      <c r="H20" s="119">
        <f t="shared" si="2"/>
        <v>543.83333333333337</v>
      </c>
      <c r="I20" s="218">
        <f>VLOOKUP(B20,All_Ingredients!$A$1:$F$149,6,FALSE())</f>
        <v>0.73</v>
      </c>
      <c r="J20" s="218">
        <f>VLOOKUP(B20,All_Ingredients!$A$1:$J$149,10,FALSE())</f>
        <v>8.5</v>
      </c>
      <c r="K20" s="121">
        <f t="shared" si="3"/>
        <v>0.74497716894977184</v>
      </c>
      <c r="L20" s="121">
        <f t="shared" si="4"/>
        <v>6.3323059360730607</v>
      </c>
    </row>
    <row r="21" spans="1:29" ht="14.25" customHeight="1" x14ac:dyDescent="0.3">
      <c r="A21" s="127" t="s">
        <v>13</v>
      </c>
      <c r="B21" s="22" t="s">
        <v>30</v>
      </c>
      <c r="C21" s="123" t="s">
        <v>14</v>
      </c>
      <c r="D21" s="124">
        <v>50</v>
      </c>
      <c r="E21" s="115">
        <f t="shared" si="0"/>
        <v>10.876666666666667</v>
      </c>
      <c r="F21" s="126">
        <v>1</v>
      </c>
      <c r="G21" s="120">
        <f t="shared" si="1"/>
        <v>543.83333333333337</v>
      </c>
      <c r="H21" s="119">
        <f t="shared" si="2"/>
        <v>543.83333333333337</v>
      </c>
      <c r="I21" s="218">
        <f>VLOOKUP(B21,All_Ingredients!$A$1:$F$149,6,FALSE())</f>
        <v>0.71</v>
      </c>
      <c r="J21" s="218">
        <f>VLOOKUP(B21,All_Ingredients!$A$1:$J$149,10,FALSE())</f>
        <v>8.5</v>
      </c>
      <c r="K21" s="121">
        <f t="shared" si="3"/>
        <v>0.76596244131455404</v>
      </c>
      <c r="L21" s="121">
        <f t="shared" si="4"/>
        <v>6.5106807511737097</v>
      </c>
    </row>
    <row r="22" spans="1:29" ht="14.25" customHeight="1" x14ac:dyDescent="0.3">
      <c r="A22" s="127" t="s">
        <v>13</v>
      </c>
      <c r="B22" s="22" t="s">
        <v>32</v>
      </c>
      <c r="C22" s="123" t="s">
        <v>14</v>
      </c>
      <c r="D22" s="124">
        <v>50</v>
      </c>
      <c r="E22" s="115">
        <f t="shared" si="0"/>
        <v>10.876666666666667</v>
      </c>
      <c r="F22" s="126">
        <v>1</v>
      </c>
      <c r="G22" s="120">
        <f t="shared" si="1"/>
        <v>543.83333333333337</v>
      </c>
      <c r="H22" s="119">
        <f t="shared" si="2"/>
        <v>543.83333333333337</v>
      </c>
      <c r="I22" s="218">
        <f>VLOOKUP(B22,All_Ingredients!$A$1:$F$149,6,FALSE())</f>
        <v>0.69</v>
      </c>
      <c r="J22" s="218">
        <f>VLOOKUP(B22,All_Ingredients!$A$1:$J$149,10,FALSE())</f>
        <v>4</v>
      </c>
      <c r="K22" s="121">
        <f t="shared" si="3"/>
        <v>0.78816425120772948</v>
      </c>
      <c r="L22" s="121">
        <f t="shared" si="4"/>
        <v>3.1526570048309179</v>
      </c>
    </row>
    <row r="23" spans="1:29" ht="14.25" customHeight="1" x14ac:dyDescent="0.3">
      <c r="A23" s="127" t="s">
        <v>13</v>
      </c>
      <c r="B23" s="442" t="s">
        <v>21</v>
      </c>
      <c r="C23" s="418" t="s">
        <v>14</v>
      </c>
      <c r="D23" s="419">
        <v>300</v>
      </c>
      <c r="E23" s="443">
        <f t="shared" si="0"/>
        <v>10.876666666666667</v>
      </c>
      <c r="F23" s="444">
        <v>1</v>
      </c>
      <c r="G23" s="445">
        <f t="shared" si="1"/>
        <v>3263</v>
      </c>
      <c r="H23" s="446">
        <f t="shared" si="2"/>
        <v>3263</v>
      </c>
      <c r="I23" s="218">
        <f>VLOOKUP(B23,All_Ingredients!$A$1:$F$149,6,FALSE())</f>
        <v>0.9</v>
      </c>
      <c r="J23" s="218">
        <f>VLOOKUP(B23,All_Ingredients!$A$1:$J$149,10,FALSE())</f>
        <v>2.2999999999999998</v>
      </c>
      <c r="K23" s="121">
        <f t="shared" si="3"/>
        <v>3.6255555555555556</v>
      </c>
      <c r="L23" s="121">
        <f t="shared" si="4"/>
        <v>8.3387777777777767</v>
      </c>
    </row>
    <row r="24" spans="1:29" ht="14.25" customHeight="1" x14ac:dyDescent="0.3">
      <c r="A24" s="127" t="s">
        <v>154</v>
      </c>
      <c r="B24" s="322" t="s">
        <v>153</v>
      </c>
      <c r="C24" s="123" t="s">
        <v>14</v>
      </c>
      <c r="D24" s="124">
        <v>40</v>
      </c>
      <c r="E24" s="115">
        <f t="shared" si="0"/>
        <v>10.876666666666667</v>
      </c>
      <c r="F24" s="126">
        <v>1</v>
      </c>
      <c r="G24" s="120">
        <f t="shared" si="1"/>
        <v>435.06666666666666</v>
      </c>
      <c r="H24" s="119">
        <f t="shared" si="2"/>
        <v>435.06666666666666</v>
      </c>
      <c r="I24" s="218">
        <f>VLOOKUP(B24,All_Ingredients!$A$1:$F$149,6,FALSE())</f>
        <v>1</v>
      </c>
      <c r="J24" s="218">
        <f>VLOOKUP(B24,All_Ingredients!$A$1:$J$149,10,FALSE())</f>
        <v>30</v>
      </c>
      <c r="K24" s="121">
        <f t="shared" si="3"/>
        <v>0.43506666666666666</v>
      </c>
      <c r="L24" s="121">
        <f t="shared" si="4"/>
        <v>13.052</v>
      </c>
      <c r="Z24" s="1208"/>
    </row>
    <row r="25" spans="1:29" ht="14.25" customHeight="1" x14ac:dyDescent="0.3">
      <c r="B25" s="348"/>
      <c r="C25" s="132"/>
      <c r="D25" s="253"/>
      <c r="E25" s="224"/>
      <c r="F25" s="135"/>
      <c r="R25" s="1467" t="s">
        <v>388</v>
      </c>
      <c r="S25" s="1444"/>
      <c r="T25" s="1444"/>
      <c r="U25" s="1444"/>
      <c r="Z25" s="140" t="s">
        <v>256</v>
      </c>
      <c r="AA25" s="141">
        <v>1</v>
      </c>
      <c r="AB25" s="140" t="s">
        <v>253</v>
      </c>
      <c r="AC25" s="142">
        <f>(T35/T32)*AA25</f>
        <v>1.2018560732564066E-2</v>
      </c>
    </row>
    <row r="26" spans="1:29" ht="14.25" customHeight="1" x14ac:dyDescent="0.3">
      <c r="E26" s="99"/>
      <c r="F26" s="99"/>
      <c r="R26" s="1467" t="s">
        <v>342</v>
      </c>
      <c r="S26" s="1444"/>
      <c r="T26" s="1444"/>
      <c r="U26" s="1444"/>
    </row>
    <row r="27" spans="1:29" ht="14.25" customHeight="1" x14ac:dyDescent="0.3">
      <c r="E27" s="99"/>
      <c r="F27" s="99"/>
      <c r="R27" s="144" t="s">
        <v>258</v>
      </c>
      <c r="S27" s="145"/>
      <c r="T27" s="145" t="s">
        <v>343</v>
      </c>
      <c r="U27" s="145" t="s">
        <v>261</v>
      </c>
    </row>
    <row r="28" spans="1:29" ht="14.25" customHeight="1" x14ac:dyDescent="0.3">
      <c r="E28" s="99"/>
      <c r="F28" s="99"/>
      <c r="R28" s="147" t="s">
        <v>267</v>
      </c>
      <c r="S28" s="148"/>
      <c r="T28" s="148"/>
      <c r="U28" s="1342">
        <f>$Z$1</f>
        <v>32630</v>
      </c>
    </row>
    <row r="29" spans="1:29" ht="21.75" customHeight="1" x14ac:dyDescent="0.3">
      <c r="E29" s="99"/>
      <c r="F29" s="99"/>
      <c r="R29" s="147" t="s">
        <v>268</v>
      </c>
      <c r="S29" s="154"/>
      <c r="T29" s="148">
        <f>U28*(1/3)</f>
        <v>10876.666666666666</v>
      </c>
      <c r="U29" s="754">
        <f>T29</f>
        <v>10876.666666666666</v>
      </c>
    </row>
    <row r="30" spans="1:29" ht="25.25" customHeight="1" x14ac:dyDescent="0.3">
      <c r="B30" s="99"/>
      <c r="E30" s="99"/>
      <c r="F30" s="99"/>
      <c r="R30" s="147" t="s">
        <v>269</v>
      </c>
      <c r="S30" s="154"/>
      <c r="T30" s="148">
        <f>$AB$1*0.3</f>
        <v>0</v>
      </c>
      <c r="U30" s="754">
        <f>T30</f>
        <v>0</v>
      </c>
    </row>
    <row r="31" spans="1:29" ht="14.25" customHeight="1" x14ac:dyDescent="0.3">
      <c r="B31" s="99"/>
      <c r="E31" s="99"/>
      <c r="F31" s="99"/>
      <c r="R31" s="147" t="s">
        <v>271</v>
      </c>
      <c r="S31" s="154"/>
      <c r="T31" s="148"/>
      <c r="U31" s="148"/>
    </row>
    <row r="32" spans="1:29" ht="14.25" customHeight="1" x14ac:dyDescent="0.3">
      <c r="B32" s="99"/>
      <c r="E32" s="99"/>
      <c r="F32" s="99"/>
      <c r="R32" s="159" t="s">
        <v>261</v>
      </c>
      <c r="S32" s="148"/>
      <c r="T32" s="148">
        <f>SUM(_xlfn._TRO_LEADING(T28:T30))</f>
        <v>10876.666666666666</v>
      </c>
      <c r="U32" s="148">
        <f>SUM(U29:U30)</f>
        <v>10876.666666666666</v>
      </c>
    </row>
    <row r="33" spans="2:21" ht="14.25" customHeight="1" x14ac:dyDescent="0.3">
      <c r="B33" s="99"/>
      <c r="E33" s="99"/>
      <c r="F33" s="99"/>
      <c r="R33" s="160" t="s">
        <v>272</v>
      </c>
      <c r="S33" s="154"/>
      <c r="T33" s="1359"/>
      <c r="U33" s="154"/>
    </row>
    <row r="34" spans="2:21" ht="14.25" customHeight="1" x14ac:dyDescent="0.3">
      <c r="B34" s="99"/>
      <c r="E34" s="99"/>
      <c r="F34" s="99"/>
      <c r="R34" s="161" t="s">
        <v>273</v>
      </c>
      <c r="S34" s="154"/>
      <c r="T34" s="148"/>
      <c r="U34" s="154"/>
    </row>
    <row r="35" spans="2:21" ht="14.25" customHeight="1" x14ac:dyDescent="0.3">
      <c r="B35" s="99"/>
      <c r="E35" s="99"/>
      <c r="F35" s="99"/>
      <c r="R35" s="162" t="s">
        <v>253</v>
      </c>
      <c r="S35" s="1125"/>
      <c r="T35" s="1125">
        <f>SUM(L6:L23)</f>
        <v>130.72187890118849</v>
      </c>
      <c r="U35" s="1184">
        <f>S35+T35</f>
        <v>130.72187890118849</v>
      </c>
    </row>
    <row r="36" spans="2:21" x14ac:dyDescent="0.3">
      <c r="B36" s="99"/>
      <c r="E36" s="99"/>
      <c r="F36" s="99"/>
    </row>
    <row r="50" spans="1:8" x14ac:dyDescent="0.3">
      <c r="B50" s="275"/>
      <c r="C50" s="144" t="s">
        <v>237</v>
      </c>
      <c r="D50" s="144" t="s">
        <v>283</v>
      </c>
    </row>
    <row r="51" spans="1:8" ht="14" customHeight="1" x14ac:dyDescent="0.3">
      <c r="B51" s="179" t="s">
        <v>287</v>
      </c>
      <c r="C51" s="180">
        <f>10/$K$1</f>
        <v>10</v>
      </c>
      <c r="D51" s="181">
        <f>$C$1*10</f>
        <v>10000</v>
      </c>
    </row>
    <row r="52" spans="1:8" ht="14" customHeight="1" x14ac:dyDescent="0.3">
      <c r="B52" s="230" t="s">
        <v>266</v>
      </c>
      <c r="C52" s="231">
        <f>$I$1</f>
        <v>10.876666666666667</v>
      </c>
      <c r="D52" s="232">
        <f>$E$1</f>
        <v>10876.666666666666</v>
      </c>
    </row>
    <row r="53" spans="1:8" x14ac:dyDescent="0.3">
      <c r="B53" s="230" t="s">
        <v>288</v>
      </c>
      <c r="C53" s="233">
        <f>MIN(C52, C51)</f>
        <v>10</v>
      </c>
      <c r="D53" s="232">
        <f>(C53*$K$1)*$C$1</f>
        <v>10000</v>
      </c>
    </row>
    <row r="54" spans="1:8" x14ac:dyDescent="0.3">
      <c r="B54" s="230" t="s">
        <v>289</v>
      </c>
      <c r="C54" s="233">
        <f>MIN(MAX(C52-C53,0),C51)</f>
        <v>0.87666666666666693</v>
      </c>
      <c r="D54" s="232">
        <f>(C54*$K$1)*$C$1</f>
        <v>876.66666666666697</v>
      </c>
    </row>
    <row r="55" spans="1:8" x14ac:dyDescent="0.3">
      <c r="B55" s="230" t="s">
        <v>290</v>
      </c>
      <c r="C55" s="233">
        <f>MIN(MAX(C52-C53-C54,0),C51)</f>
        <v>0</v>
      </c>
      <c r="D55" s="232">
        <f>(C55*$K$1)*$C$1</f>
        <v>0</v>
      </c>
    </row>
    <row r="62" spans="1:8" ht="17.75" customHeight="1" x14ac:dyDescent="0.3"/>
    <row r="63" spans="1:8" ht="17.75" customHeight="1" x14ac:dyDescent="0.3">
      <c r="A63" s="922"/>
      <c r="B63" s="1438" t="str">
        <f>"  خضار المسقعة 1 / " &amp; COUNTIF($C$52:$C$53, "&gt;0")</f>
        <v xml:space="preserve">  خضار المسقعة 1 / 2</v>
      </c>
      <c r="C63" s="1439"/>
      <c r="D63" s="1439"/>
      <c r="E63" s="1439"/>
      <c r="F63" s="1439"/>
      <c r="G63" s="1439"/>
      <c r="H63" s="1439"/>
    </row>
    <row r="64" spans="1:8" x14ac:dyDescent="0.3">
      <c r="A64" s="922"/>
      <c r="B64" s="1436" t="str">
        <f>" Moussaka Vegi 1 / " &amp; COUNTIF($C$52:$C$53, "&gt;0")</f>
        <v xml:space="preserve"> Moussaka Vegi 1 / 2</v>
      </c>
      <c r="C64" s="1437"/>
      <c r="D64" s="1437"/>
      <c r="E64" s="1437"/>
      <c r="F64" s="1437"/>
      <c r="G64" s="1437"/>
      <c r="H64" s="1437"/>
    </row>
    <row r="65" spans="1:8" ht="48.5" customHeight="1" x14ac:dyDescent="0.25">
      <c r="A65" s="90"/>
      <c r="B65" s="242" t="s">
        <v>245</v>
      </c>
      <c r="C65" s="243" t="s">
        <v>246</v>
      </c>
      <c r="D65" s="244" t="s">
        <v>235</v>
      </c>
      <c r="E65" s="217" t="s">
        <v>238</v>
      </c>
      <c r="F65" s="217" t="s">
        <v>247</v>
      </c>
      <c r="G65" s="244" t="s">
        <v>248</v>
      </c>
      <c r="H65" s="217" t="s">
        <v>249</v>
      </c>
    </row>
    <row r="66" spans="1:8" ht="14.25" customHeight="1" x14ac:dyDescent="0.3">
      <c r="A66" s="127" t="s">
        <v>13</v>
      </c>
      <c r="B66" s="322" t="str">
        <f t="shared" ref="B66:D84" si="5">B6</f>
        <v>Onion - بصل</v>
      </c>
      <c r="C66" s="123" t="str">
        <f t="shared" si="5"/>
        <v>gm</v>
      </c>
      <c r="D66" s="124">
        <f t="shared" si="5"/>
        <v>75</v>
      </c>
      <c r="E66" s="115">
        <f>$C$53</f>
        <v>10</v>
      </c>
      <c r="F66" s="126">
        <f t="shared" ref="F66:F84" si="6">F6</f>
        <v>1</v>
      </c>
      <c r="G66" s="118">
        <f t="shared" ref="G66:G84" si="7">D66*E66</f>
        <v>750</v>
      </c>
      <c r="H66" s="119">
        <f t="shared" ref="H66:H84" si="8">G66*F66</f>
        <v>750</v>
      </c>
    </row>
    <row r="67" spans="1:8" ht="14.25" customHeight="1" x14ac:dyDescent="0.3">
      <c r="A67" s="127" t="s">
        <v>13</v>
      </c>
      <c r="B67" s="322" t="str">
        <f t="shared" si="5"/>
        <v>Garlic - ثوم مقشر</v>
      </c>
      <c r="C67" s="123" t="str">
        <f t="shared" si="5"/>
        <v>gm</v>
      </c>
      <c r="D67" s="124">
        <f t="shared" si="5"/>
        <v>25</v>
      </c>
      <c r="E67" s="115">
        <f t="shared" ref="E67:E84" si="9">$C$53</f>
        <v>10</v>
      </c>
      <c r="F67" s="126">
        <f t="shared" si="6"/>
        <v>1</v>
      </c>
      <c r="G67" s="118">
        <f t="shared" si="7"/>
        <v>250</v>
      </c>
      <c r="H67" s="119">
        <f t="shared" si="8"/>
        <v>250</v>
      </c>
    </row>
    <row r="68" spans="1:8" ht="14.25" customHeight="1" x14ac:dyDescent="0.3">
      <c r="A68" s="127" t="s">
        <v>13</v>
      </c>
      <c r="B68" s="322" t="str">
        <f t="shared" si="5"/>
        <v>Tomato - طماطم</v>
      </c>
      <c r="C68" s="123" t="str">
        <f t="shared" si="5"/>
        <v>gm</v>
      </c>
      <c r="D68" s="124">
        <f t="shared" si="5"/>
        <v>125</v>
      </c>
      <c r="E68" s="115">
        <f t="shared" si="9"/>
        <v>10</v>
      </c>
      <c r="F68" s="126">
        <f t="shared" si="6"/>
        <v>1</v>
      </c>
      <c r="G68" s="118">
        <f t="shared" si="7"/>
        <v>1250</v>
      </c>
      <c r="H68" s="119">
        <f t="shared" si="8"/>
        <v>1250</v>
      </c>
    </row>
    <row r="69" spans="1:8" ht="14.25" customHeight="1" x14ac:dyDescent="0.3">
      <c r="A69" s="127" t="s">
        <v>192</v>
      </c>
      <c r="B69" s="322" t="str">
        <f t="shared" si="5"/>
        <v>Tomato Paste - صلصة طماطم</v>
      </c>
      <c r="C69" s="123" t="str">
        <f t="shared" si="5"/>
        <v>gm</v>
      </c>
      <c r="D69" s="124">
        <f t="shared" si="5"/>
        <v>150</v>
      </c>
      <c r="E69" s="115">
        <f t="shared" si="9"/>
        <v>10</v>
      </c>
      <c r="F69" s="126">
        <f t="shared" si="6"/>
        <v>1</v>
      </c>
      <c r="G69" s="118">
        <f t="shared" si="7"/>
        <v>1500</v>
      </c>
      <c r="H69" s="119">
        <f t="shared" si="8"/>
        <v>1500</v>
      </c>
    </row>
    <row r="70" spans="1:8" ht="14.25" customHeight="1" x14ac:dyDescent="0.3">
      <c r="A70" s="127" t="s">
        <v>95</v>
      </c>
      <c r="B70" s="322" t="str">
        <f t="shared" si="5"/>
        <v>Coriander Powder - كزبرة مطحونة</v>
      </c>
      <c r="C70" s="123" t="str">
        <f t="shared" si="5"/>
        <v>gm</v>
      </c>
      <c r="D70" s="124">
        <f t="shared" si="5"/>
        <v>3</v>
      </c>
      <c r="E70" s="115">
        <f t="shared" si="9"/>
        <v>10</v>
      </c>
      <c r="F70" s="126">
        <f t="shared" si="6"/>
        <v>1</v>
      </c>
      <c r="G70" s="118">
        <f t="shared" si="7"/>
        <v>30</v>
      </c>
      <c r="H70" s="119">
        <f t="shared" si="8"/>
        <v>30</v>
      </c>
    </row>
    <row r="71" spans="1:8" ht="14.25" customHeight="1" x14ac:dyDescent="0.3">
      <c r="A71" s="127" t="s">
        <v>95</v>
      </c>
      <c r="B71" s="322" t="str">
        <f t="shared" si="5"/>
        <v>Cumin Powder - كمون مطحون</v>
      </c>
      <c r="C71" s="123" t="str">
        <f t="shared" si="5"/>
        <v>gm</v>
      </c>
      <c r="D71" s="124">
        <f t="shared" si="5"/>
        <v>6</v>
      </c>
      <c r="E71" s="115">
        <f t="shared" si="9"/>
        <v>10</v>
      </c>
      <c r="F71" s="126">
        <f t="shared" si="6"/>
        <v>1</v>
      </c>
      <c r="G71" s="118">
        <f t="shared" si="7"/>
        <v>60</v>
      </c>
      <c r="H71" s="119">
        <f t="shared" si="8"/>
        <v>60</v>
      </c>
    </row>
    <row r="72" spans="1:8" ht="14.25" customHeight="1" x14ac:dyDescent="0.3">
      <c r="A72" s="127" t="s">
        <v>95</v>
      </c>
      <c r="B72" s="322" t="str">
        <f t="shared" si="5"/>
        <v>Cinnamon Powder - قرفة مطحونة</v>
      </c>
      <c r="C72" s="123" t="str">
        <f t="shared" si="5"/>
        <v>gm</v>
      </c>
      <c r="D72" s="124">
        <f t="shared" si="5"/>
        <v>2</v>
      </c>
      <c r="E72" s="115">
        <f t="shared" si="9"/>
        <v>10</v>
      </c>
      <c r="F72" s="126">
        <f t="shared" si="6"/>
        <v>1</v>
      </c>
      <c r="G72" s="118">
        <f t="shared" si="7"/>
        <v>20</v>
      </c>
      <c r="H72" s="119">
        <f t="shared" si="8"/>
        <v>20</v>
      </c>
    </row>
    <row r="73" spans="1:8" ht="14.25" customHeight="1" x14ac:dyDescent="0.3">
      <c r="A73" s="127" t="s">
        <v>192</v>
      </c>
      <c r="B73" s="322" t="str">
        <f t="shared" si="5"/>
        <v>Tomato Ketchup - كاتشب طماطم</v>
      </c>
      <c r="C73" s="123" t="str">
        <f t="shared" si="5"/>
        <v>ml</v>
      </c>
      <c r="D73" s="124">
        <f t="shared" si="5"/>
        <v>65</v>
      </c>
      <c r="E73" s="115">
        <f t="shared" si="9"/>
        <v>10</v>
      </c>
      <c r="F73" s="126">
        <f t="shared" si="6"/>
        <v>1</v>
      </c>
      <c r="G73" s="118">
        <f t="shared" si="7"/>
        <v>650</v>
      </c>
      <c r="H73" s="119">
        <f t="shared" si="8"/>
        <v>650</v>
      </c>
    </row>
    <row r="74" spans="1:8" ht="14.25" customHeight="1" x14ac:dyDescent="0.3">
      <c r="A74" s="127" t="s">
        <v>95</v>
      </c>
      <c r="B74" s="322" t="str">
        <f t="shared" si="5"/>
        <v>Black Pepper Powder - فلفل أسود مطحون</v>
      </c>
      <c r="C74" s="123" t="str">
        <f t="shared" si="5"/>
        <v>gm</v>
      </c>
      <c r="D74" s="124">
        <f t="shared" si="5"/>
        <v>1</v>
      </c>
      <c r="E74" s="115">
        <f t="shared" si="9"/>
        <v>10</v>
      </c>
      <c r="F74" s="126">
        <f t="shared" si="6"/>
        <v>1</v>
      </c>
      <c r="G74" s="118">
        <f t="shared" si="7"/>
        <v>10</v>
      </c>
      <c r="H74" s="119">
        <f t="shared" si="8"/>
        <v>10</v>
      </c>
    </row>
    <row r="75" spans="1:8" ht="14.25" customHeight="1" x14ac:dyDescent="0.3">
      <c r="A75" s="127" t="s">
        <v>95</v>
      </c>
      <c r="B75" s="322" t="str">
        <f t="shared" si="5"/>
        <v>Maggi Cubes - مكعبات ماجي</v>
      </c>
      <c r="C75" s="123" t="str">
        <f t="shared" si="5"/>
        <v>gm</v>
      </c>
      <c r="D75" s="124">
        <f t="shared" si="5"/>
        <v>5</v>
      </c>
      <c r="E75" s="115">
        <f t="shared" si="9"/>
        <v>10</v>
      </c>
      <c r="F75" s="126">
        <f t="shared" si="6"/>
        <v>1</v>
      </c>
      <c r="G75" s="118">
        <f t="shared" si="7"/>
        <v>50</v>
      </c>
      <c r="H75" s="119">
        <f t="shared" si="8"/>
        <v>50</v>
      </c>
    </row>
    <row r="76" spans="1:8" ht="14.25" customHeight="1" x14ac:dyDescent="0.3">
      <c r="A76" s="127" t="s">
        <v>192</v>
      </c>
      <c r="B76" s="322" t="str">
        <f t="shared" si="5"/>
        <v>Sriracha Sauce - صوص سريراتشا</v>
      </c>
      <c r="C76" s="123" t="str">
        <f t="shared" si="5"/>
        <v>ml</v>
      </c>
      <c r="D76" s="124">
        <f t="shared" si="5"/>
        <v>20</v>
      </c>
      <c r="E76" s="115">
        <f t="shared" si="9"/>
        <v>10</v>
      </c>
      <c r="F76" s="126">
        <f t="shared" si="6"/>
        <v>1</v>
      </c>
      <c r="G76" s="118">
        <f t="shared" si="7"/>
        <v>200</v>
      </c>
      <c r="H76" s="119">
        <f t="shared" si="8"/>
        <v>200</v>
      </c>
    </row>
    <row r="77" spans="1:8" ht="14.25" customHeight="1" x14ac:dyDescent="0.3">
      <c r="A77" s="127" t="s">
        <v>188</v>
      </c>
      <c r="B77" s="322" t="str">
        <f t="shared" si="5"/>
        <v>Corn Starch - نشا ذرة</v>
      </c>
      <c r="C77" s="123" t="str">
        <f t="shared" si="5"/>
        <v>gm</v>
      </c>
      <c r="D77" s="124">
        <f t="shared" si="5"/>
        <v>12</v>
      </c>
      <c r="E77" s="115">
        <f t="shared" si="9"/>
        <v>10</v>
      </c>
      <c r="F77" s="126">
        <f t="shared" si="6"/>
        <v>1</v>
      </c>
      <c r="G77" s="118">
        <f t="shared" si="7"/>
        <v>120</v>
      </c>
      <c r="H77" s="119">
        <f t="shared" si="8"/>
        <v>120</v>
      </c>
    </row>
    <row r="78" spans="1:8" ht="14.25" customHeight="1" x14ac:dyDescent="0.3">
      <c r="A78" s="127" t="s">
        <v>13</v>
      </c>
      <c r="B78" s="322" t="str">
        <f t="shared" si="5"/>
        <v>Tomato - طماطم</v>
      </c>
      <c r="C78" s="123" t="str">
        <f t="shared" si="5"/>
        <v>gm</v>
      </c>
      <c r="D78" s="124">
        <f t="shared" si="5"/>
        <v>125</v>
      </c>
      <c r="E78" s="115">
        <f t="shared" si="9"/>
        <v>10</v>
      </c>
      <c r="F78" s="126">
        <f t="shared" si="6"/>
        <v>1</v>
      </c>
      <c r="G78" s="118">
        <f t="shared" si="7"/>
        <v>1250</v>
      </c>
      <c r="H78" s="119">
        <f t="shared" si="8"/>
        <v>1250</v>
      </c>
    </row>
    <row r="79" spans="1:8" ht="14.25" customHeight="1" x14ac:dyDescent="0.3">
      <c r="A79" s="127" t="s">
        <v>13</v>
      </c>
      <c r="B79" s="322" t="str">
        <f t="shared" si="5"/>
        <v>Eggplant - باذنجان</v>
      </c>
      <c r="C79" s="123" t="str">
        <f t="shared" si="5"/>
        <v>gm</v>
      </c>
      <c r="D79" s="124">
        <f t="shared" si="5"/>
        <v>1500</v>
      </c>
      <c r="E79" s="115">
        <f t="shared" si="9"/>
        <v>10</v>
      </c>
      <c r="F79" s="126">
        <f t="shared" si="6"/>
        <v>1</v>
      </c>
      <c r="G79" s="118">
        <f t="shared" si="7"/>
        <v>15000</v>
      </c>
      <c r="H79" s="119">
        <f t="shared" si="8"/>
        <v>15000</v>
      </c>
    </row>
    <row r="80" spans="1:8" ht="14.25" customHeight="1" x14ac:dyDescent="0.3">
      <c r="A80" s="127" t="s">
        <v>13</v>
      </c>
      <c r="B80" s="322" t="str">
        <f t="shared" si="5"/>
        <v xml:space="preserve">Red Bell Pepper - فلفل أحمر </v>
      </c>
      <c r="C80" s="123" t="str">
        <f t="shared" si="5"/>
        <v>gm</v>
      </c>
      <c r="D80" s="124">
        <f t="shared" si="5"/>
        <v>50</v>
      </c>
      <c r="E80" s="115">
        <f t="shared" si="9"/>
        <v>10</v>
      </c>
      <c r="F80" s="126">
        <f t="shared" si="6"/>
        <v>1</v>
      </c>
      <c r="G80" s="118">
        <f t="shared" si="7"/>
        <v>500</v>
      </c>
      <c r="H80" s="119">
        <f t="shared" si="8"/>
        <v>500</v>
      </c>
    </row>
    <row r="81" spans="1:8" ht="14.25" customHeight="1" x14ac:dyDescent="0.3">
      <c r="A81" s="127" t="s">
        <v>13</v>
      </c>
      <c r="B81" s="322" t="str">
        <f t="shared" si="5"/>
        <v xml:space="preserve">Yellow Bell Pepper - فلفل أصفر </v>
      </c>
      <c r="C81" s="123" t="str">
        <f t="shared" si="5"/>
        <v>gm</v>
      </c>
      <c r="D81" s="124">
        <f t="shared" si="5"/>
        <v>50</v>
      </c>
      <c r="E81" s="115">
        <f t="shared" si="9"/>
        <v>10</v>
      </c>
      <c r="F81" s="126">
        <f t="shared" si="6"/>
        <v>1</v>
      </c>
      <c r="G81" s="118">
        <f t="shared" si="7"/>
        <v>500</v>
      </c>
      <c r="H81" s="119">
        <f t="shared" si="8"/>
        <v>500</v>
      </c>
    </row>
    <row r="82" spans="1:8" ht="14.25" customHeight="1" x14ac:dyDescent="0.3">
      <c r="A82" s="127" t="s">
        <v>13</v>
      </c>
      <c r="B82" s="322" t="str">
        <f t="shared" si="5"/>
        <v>Green Bell Pepper - فلفل أخضر رومى</v>
      </c>
      <c r="C82" s="123" t="str">
        <f t="shared" si="5"/>
        <v>gm</v>
      </c>
      <c r="D82" s="124">
        <f t="shared" si="5"/>
        <v>50</v>
      </c>
      <c r="E82" s="115">
        <f t="shared" si="9"/>
        <v>10</v>
      </c>
      <c r="F82" s="126">
        <f t="shared" si="6"/>
        <v>1</v>
      </c>
      <c r="G82" s="118">
        <f t="shared" si="7"/>
        <v>500</v>
      </c>
      <c r="H82" s="119">
        <f t="shared" si="8"/>
        <v>500</v>
      </c>
    </row>
    <row r="83" spans="1:8" ht="14.25" customHeight="1" x14ac:dyDescent="0.3">
      <c r="A83" s="127" t="s">
        <v>13</v>
      </c>
      <c r="B83" s="322" t="str">
        <f t="shared" si="5"/>
        <v>Potato - بطاطس</v>
      </c>
      <c r="C83" s="123" t="str">
        <f t="shared" si="5"/>
        <v>gm</v>
      </c>
      <c r="D83" s="124">
        <f t="shared" si="5"/>
        <v>300</v>
      </c>
      <c r="E83" s="115">
        <f t="shared" si="9"/>
        <v>10</v>
      </c>
      <c r="F83" s="126">
        <f t="shared" si="6"/>
        <v>1</v>
      </c>
      <c r="G83" s="118">
        <f t="shared" si="7"/>
        <v>3000</v>
      </c>
      <c r="H83" s="119">
        <f t="shared" si="8"/>
        <v>3000</v>
      </c>
    </row>
    <row r="84" spans="1:8" x14ac:dyDescent="0.3">
      <c r="A84" s="127" t="s">
        <v>154</v>
      </c>
      <c r="B84" s="322" t="str">
        <f t="shared" si="5"/>
        <v>Butter - زبدة</v>
      </c>
      <c r="C84" s="123" t="str">
        <f t="shared" si="5"/>
        <v>gm</v>
      </c>
      <c r="D84" s="124">
        <f t="shared" si="5"/>
        <v>40</v>
      </c>
      <c r="E84" s="115">
        <f t="shared" si="9"/>
        <v>10</v>
      </c>
      <c r="F84" s="126">
        <f t="shared" si="6"/>
        <v>1</v>
      </c>
      <c r="G84" s="118">
        <f t="shared" si="7"/>
        <v>400</v>
      </c>
      <c r="H84" s="119">
        <f t="shared" si="8"/>
        <v>400</v>
      </c>
    </row>
    <row r="85" spans="1:8" ht="20.75" customHeight="1" x14ac:dyDescent="0.3">
      <c r="A85" s="895"/>
      <c r="B85" s="199" t="s">
        <v>277</v>
      </c>
      <c r="E85" s="482"/>
      <c r="G85" s="482"/>
      <c r="H85" s="890"/>
    </row>
    <row r="86" spans="1:8" ht="20" x14ac:dyDescent="0.4">
      <c r="A86" s="895"/>
      <c r="B86" s="198">
        <f>D53</f>
        <v>10000</v>
      </c>
      <c r="D86" s="915"/>
      <c r="E86" s="481"/>
      <c r="F86" s="919"/>
      <c r="G86" s="481"/>
      <c r="H86" s="892"/>
    </row>
    <row r="88" spans="1:8" x14ac:dyDescent="0.3">
      <c r="A88" s="922"/>
      <c r="B88" s="1438" t="str">
        <f>"  خضار المسقعة 2 / " &amp; COUNTIF($C$52:$C$53, "&gt;0")</f>
        <v xml:space="preserve">  خضار المسقعة 2 / 2</v>
      </c>
      <c r="C88" s="1439"/>
      <c r="D88" s="1439"/>
      <c r="E88" s="1439"/>
      <c r="F88" s="1439"/>
      <c r="G88" s="1439"/>
      <c r="H88" s="1439"/>
    </row>
    <row r="89" spans="1:8" x14ac:dyDescent="0.3">
      <c r="A89" s="922"/>
      <c r="B89" s="1436" t="str">
        <f>" Moussaka Vegi 2 / " &amp; COUNTIF($C$52:$C$53, "&gt;0")</f>
        <v xml:space="preserve"> Moussaka Vegi 2 / 2</v>
      </c>
      <c r="C89" s="1437"/>
      <c r="D89" s="1437"/>
      <c r="E89" s="1437"/>
      <c r="F89" s="1437"/>
      <c r="G89" s="1437"/>
      <c r="H89" s="1437"/>
    </row>
    <row r="90" spans="1:8" ht="47" customHeight="1" x14ac:dyDescent="0.25">
      <c r="A90" s="90"/>
      <c r="B90" s="242" t="s">
        <v>245</v>
      </c>
      <c r="C90" s="243" t="s">
        <v>246</v>
      </c>
      <c r="D90" s="244" t="s">
        <v>235</v>
      </c>
      <c r="E90" s="217" t="s">
        <v>238</v>
      </c>
      <c r="F90" s="217" t="s">
        <v>247</v>
      </c>
      <c r="G90" s="244" t="s">
        <v>248</v>
      </c>
      <c r="H90" s="217" t="s">
        <v>249</v>
      </c>
    </row>
    <row r="91" spans="1:8" x14ac:dyDescent="0.3">
      <c r="A91" s="127" t="s">
        <v>13</v>
      </c>
      <c r="B91" s="322" t="str">
        <f t="shared" ref="B91:D109" si="10">B6</f>
        <v>Onion - بصل</v>
      </c>
      <c r="C91" s="322" t="str">
        <f t="shared" si="10"/>
        <v>gm</v>
      </c>
      <c r="D91" s="322">
        <f t="shared" si="10"/>
        <v>75</v>
      </c>
      <c r="E91" s="196">
        <f>$C$54</f>
        <v>0.87666666666666693</v>
      </c>
      <c r="F91" s="126">
        <f>F6</f>
        <v>1</v>
      </c>
      <c r="G91" s="118">
        <f t="shared" ref="G91:G109" si="11">D91*E91</f>
        <v>65.750000000000014</v>
      </c>
      <c r="H91" s="119">
        <f t="shared" ref="H91:H109" si="12">G91*F91</f>
        <v>65.750000000000014</v>
      </c>
    </row>
    <row r="92" spans="1:8" x14ac:dyDescent="0.3">
      <c r="A92" s="127" t="s">
        <v>13</v>
      </c>
      <c r="B92" s="322" t="str">
        <f t="shared" si="10"/>
        <v>Garlic - ثوم مقشر</v>
      </c>
      <c r="C92" s="322" t="str">
        <f t="shared" si="10"/>
        <v>gm</v>
      </c>
      <c r="D92" s="322">
        <f t="shared" si="10"/>
        <v>25</v>
      </c>
      <c r="E92" s="196">
        <f t="shared" ref="E92:E109" si="13">$C$54</f>
        <v>0.87666666666666693</v>
      </c>
      <c r="F92" s="126">
        <f t="shared" ref="F92:F109" si="14">F7</f>
        <v>1</v>
      </c>
      <c r="G92" s="118">
        <f t="shared" si="11"/>
        <v>21.916666666666671</v>
      </c>
      <c r="H92" s="119">
        <f t="shared" si="12"/>
        <v>21.916666666666671</v>
      </c>
    </row>
    <row r="93" spans="1:8" x14ac:dyDescent="0.3">
      <c r="A93" s="127" t="s">
        <v>13</v>
      </c>
      <c r="B93" s="322" t="str">
        <f t="shared" si="10"/>
        <v>Tomato - طماطم</v>
      </c>
      <c r="C93" s="322" t="str">
        <f t="shared" si="10"/>
        <v>gm</v>
      </c>
      <c r="D93" s="322">
        <f t="shared" si="10"/>
        <v>125</v>
      </c>
      <c r="E93" s="196">
        <f t="shared" si="13"/>
        <v>0.87666666666666693</v>
      </c>
      <c r="F93" s="126">
        <f t="shared" si="14"/>
        <v>1</v>
      </c>
      <c r="G93" s="118">
        <f t="shared" si="11"/>
        <v>109.58333333333337</v>
      </c>
      <c r="H93" s="119">
        <f t="shared" si="12"/>
        <v>109.58333333333337</v>
      </c>
    </row>
    <row r="94" spans="1:8" x14ac:dyDescent="0.3">
      <c r="A94" s="127" t="s">
        <v>192</v>
      </c>
      <c r="B94" s="322" t="str">
        <f t="shared" si="10"/>
        <v>Tomato Paste - صلصة طماطم</v>
      </c>
      <c r="C94" s="322" t="str">
        <f t="shared" si="10"/>
        <v>gm</v>
      </c>
      <c r="D94" s="322">
        <f t="shared" si="10"/>
        <v>150</v>
      </c>
      <c r="E94" s="196">
        <f t="shared" si="13"/>
        <v>0.87666666666666693</v>
      </c>
      <c r="F94" s="126">
        <f t="shared" si="14"/>
        <v>1</v>
      </c>
      <c r="G94" s="118">
        <f t="shared" si="11"/>
        <v>131.50000000000003</v>
      </c>
      <c r="H94" s="119">
        <f t="shared" si="12"/>
        <v>131.50000000000003</v>
      </c>
    </row>
    <row r="95" spans="1:8" x14ac:dyDescent="0.3">
      <c r="A95" s="127" t="s">
        <v>95</v>
      </c>
      <c r="B95" s="322" t="str">
        <f t="shared" si="10"/>
        <v>Coriander Powder - كزبرة مطحونة</v>
      </c>
      <c r="C95" s="322" t="str">
        <f t="shared" si="10"/>
        <v>gm</v>
      </c>
      <c r="D95" s="322">
        <f t="shared" si="10"/>
        <v>3</v>
      </c>
      <c r="E95" s="196">
        <f t="shared" si="13"/>
        <v>0.87666666666666693</v>
      </c>
      <c r="F95" s="126">
        <f t="shared" si="14"/>
        <v>1</v>
      </c>
      <c r="G95" s="118">
        <f t="shared" si="11"/>
        <v>2.6300000000000008</v>
      </c>
      <c r="H95" s="119">
        <f t="shared" si="12"/>
        <v>2.6300000000000008</v>
      </c>
    </row>
    <row r="96" spans="1:8" x14ac:dyDescent="0.3">
      <c r="A96" s="127" t="s">
        <v>95</v>
      </c>
      <c r="B96" s="322" t="str">
        <f t="shared" si="10"/>
        <v>Cumin Powder - كمون مطحون</v>
      </c>
      <c r="C96" s="322" t="str">
        <f t="shared" si="10"/>
        <v>gm</v>
      </c>
      <c r="D96" s="322">
        <f t="shared" si="10"/>
        <v>6</v>
      </c>
      <c r="E96" s="196">
        <f t="shared" si="13"/>
        <v>0.87666666666666693</v>
      </c>
      <c r="F96" s="126">
        <f t="shared" si="14"/>
        <v>1</v>
      </c>
      <c r="G96" s="118">
        <f t="shared" si="11"/>
        <v>5.2600000000000016</v>
      </c>
      <c r="H96" s="119">
        <f t="shared" si="12"/>
        <v>5.2600000000000016</v>
      </c>
    </row>
    <row r="97" spans="1:8" x14ac:dyDescent="0.3">
      <c r="A97" s="127" t="s">
        <v>95</v>
      </c>
      <c r="B97" s="322" t="str">
        <f t="shared" si="10"/>
        <v>Cinnamon Powder - قرفة مطحونة</v>
      </c>
      <c r="C97" s="322" t="str">
        <f t="shared" si="10"/>
        <v>gm</v>
      </c>
      <c r="D97" s="322">
        <f t="shared" si="10"/>
        <v>2</v>
      </c>
      <c r="E97" s="196">
        <f t="shared" si="13"/>
        <v>0.87666666666666693</v>
      </c>
      <c r="F97" s="126">
        <f t="shared" si="14"/>
        <v>1</v>
      </c>
      <c r="G97" s="118">
        <f t="shared" si="11"/>
        <v>1.7533333333333339</v>
      </c>
      <c r="H97" s="119">
        <f t="shared" si="12"/>
        <v>1.7533333333333339</v>
      </c>
    </row>
    <row r="98" spans="1:8" x14ac:dyDescent="0.3">
      <c r="A98" s="127" t="s">
        <v>192</v>
      </c>
      <c r="B98" s="322" t="str">
        <f t="shared" si="10"/>
        <v>Tomato Ketchup - كاتشب طماطم</v>
      </c>
      <c r="C98" s="322" t="str">
        <f t="shared" si="10"/>
        <v>ml</v>
      </c>
      <c r="D98" s="322">
        <f t="shared" si="10"/>
        <v>65</v>
      </c>
      <c r="E98" s="196">
        <f t="shared" si="13"/>
        <v>0.87666666666666693</v>
      </c>
      <c r="F98" s="126">
        <f t="shared" si="14"/>
        <v>1</v>
      </c>
      <c r="G98" s="118">
        <f t="shared" si="11"/>
        <v>56.983333333333348</v>
      </c>
      <c r="H98" s="119">
        <f t="shared" si="12"/>
        <v>56.983333333333348</v>
      </c>
    </row>
    <row r="99" spans="1:8" x14ac:dyDescent="0.3">
      <c r="A99" s="127" t="s">
        <v>95</v>
      </c>
      <c r="B99" s="322" t="str">
        <f t="shared" si="10"/>
        <v>Black Pepper Powder - فلفل أسود مطحون</v>
      </c>
      <c r="C99" s="322" t="str">
        <f t="shared" si="10"/>
        <v>gm</v>
      </c>
      <c r="D99" s="322">
        <f t="shared" si="10"/>
        <v>1</v>
      </c>
      <c r="E99" s="196">
        <f t="shared" si="13"/>
        <v>0.87666666666666693</v>
      </c>
      <c r="F99" s="126">
        <f t="shared" si="14"/>
        <v>1</v>
      </c>
      <c r="G99" s="118">
        <f t="shared" si="11"/>
        <v>0.87666666666666693</v>
      </c>
      <c r="H99" s="119">
        <f t="shared" si="12"/>
        <v>0.87666666666666693</v>
      </c>
    </row>
    <row r="100" spans="1:8" x14ac:dyDescent="0.3">
      <c r="A100" s="127" t="s">
        <v>95</v>
      </c>
      <c r="B100" s="322" t="str">
        <f t="shared" si="10"/>
        <v>Maggi Cubes - مكعبات ماجي</v>
      </c>
      <c r="C100" s="322" t="str">
        <f t="shared" si="10"/>
        <v>gm</v>
      </c>
      <c r="D100" s="322">
        <f t="shared" si="10"/>
        <v>5</v>
      </c>
      <c r="E100" s="196">
        <f t="shared" si="13"/>
        <v>0.87666666666666693</v>
      </c>
      <c r="F100" s="126">
        <f t="shared" si="14"/>
        <v>1</v>
      </c>
      <c r="G100" s="118">
        <f t="shared" si="11"/>
        <v>4.3833333333333346</v>
      </c>
      <c r="H100" s="119">
        <f t="shared" si="12"/>
        <v>4.3833333333333346</v>
      </c>
    </row>
    <row r="101" spans="1:8" x14ac:dyDescent="0.3">
      <c r="A101" s="127" t="s">
        <v>192</v>
      </c>
      <c r="B101" s="322" t="str">
        <f t="shared" si="10"/>
        <v>Sriracha Sauce - صوص سريراتشا</v>
      </c>
      <c r="C101" s="322" t="str">
        <f t="shared" si="10"/>
        <v>ml</v>
      </c>
      <c r="D101" s="322">
        <f t="shared" si="10"/>
        <v>20</v>
      </c>
      <c r="E101" s="196">
        <f t="shared" si="13"/>
        <v>0.87666666666666693</v>
      </c>
      <c r="F101" s="126">
        <f t="shared" si="14"/>
        <v>1</v>
      </c>
      <c r="G101" s="118">
        <f t="shared" si="11"/>
        <v>17.533333333333339</v>
      </c>
      <c r="H101" s="119">
        <f t="shared" si="12"/>
        <v>17.533333333333339</v>
      </c>
    </row>
    <row r="102" spans="1:8" x14ac:dyDescent="0.3">
      <c r="A102" s="127" t="s">
        <v>188</v>
      </c>
      <c r="B102" s="322" t="str">
        <f t="shared" si="10"/>
        <v>Corn Starch - نشا ذرة</v>
      </c>
      <c r="C102" s="322" t="str">
        <f t="shared" si="10"/>
        <v>gm</v>
      </c>
      <c r="D102" s="322">
        <f t="shared" si="10"/>
        <v>12</v>
      </c>
      <c r="E102" s="196">
        <f t="shared" si="13"/>
        <v>0.87666666666666693</v>
      </c>
      <c r="F102" s="126">
        <f t="shared" si="14"/>
        <v>1</v>
      </c>
      <c r="G102" s="118">
        <f t="shared" si="11"/>
        <v>10.520000000000003</v>
      </c>
      <c r="H102" s="119">
        <f t="shared" si="12"/>
        <v>10.520000000000003</v>
      </c>
    </row>
    <row r="103" spans="1:8" x14ac:dyDescent="0.3">
      <c r="A103" s="127" t="s">
        <v>13</v>
      </c>
      <c r="B103" s="322" t="str">
        <f t="shared" si="10"/>
        <v>Tomato - طماطم</v>
      </c>
      <c r="C103" s="322" t="str">
        <f t="shared" si="10"/>
        <v>gm</v>
      </c>
      <c r="D103" s="322">
        <f t="shared" si="10"/>
        <v>125</v>
      </c>
      <c r="E103" s="196">
        <f t="shared" si="13"/>
        <v>0.87666666666666693</v>
      </c>
      <c r="F103" s="126">
        <f t="shared" si="14"/>
        <v>1</v>
      </c>
      <c r="G103" s="118">
        <f t="shared" si="11"/>
        <v>109.58333333333337</v>
      </c>
      <c r="H103" s="119">
        <f t="shared" si="12"/>
        <v>109.58333333333337</v>
      </c>
    </row>
    <row r="104" spans="1:8" x14ac:dyDescent="0.3">
      <c r="A104" s="127" t="s">
        <v>13</v>
      </c>
      <c r="B104" s="322" t="str">
        <f t="shared" si="10"/>
        <v>Eggplant - باذنجان</v>
      </c>
      <c r="C104" s="322" t="str">
        <f t="shared" si="10"/>
        <v>gm</v>
      </c>
      <c r="D104" s="322">
        <f t="shared" si="10"/>
        <v>1500</v>
      </c>
      <c r="E104" s="196">
        <f t="shared" si="13"/>
        <v>0.87666666666666693</v>
      </c>
      <c r="F104" s="126">
        <f t="shared" si="14"/>
        <v>1</v>
      </c>
      <c r="G104" s="118">
        <f t="shared" si="11"/>
        <v>1315.0000000000005</v>
      </c>
      <c r="H104" s="119">
        <f t="shared" si="12"/>
        <v>1315.0000000000005</v>
      </c>
    </row>
    <row r="105" spans="1:8" x14ac:dyDescent="0.3">
      <c r="A105" s="127" t="s">
        <v>13</v>
      </c>
      <c r="B105" s="322" t="str">
        <f t="shared" si="10"/>
        <v xml:space="preserve">Red Bell Pepper - فلفل أحمر </v>
      </c>
      <c r="C105" s="322" t="str">
        <f t="shared" si="10"/>
        <v>gm</v>
      </c>
      <c r="D105" s="322">
        <f t="shared" si="10"/>
        <v>50</v>
      </c>
      <c r="E105" s="196">
        <f t="shared" si="13"/>
        <v>0.87666666666666693</v>
      </c>
      <c r="F105" s="126">
        <f t="shared" si="14"/>
        <v>1</v>
      </c>
      <c r="G105" s="118">
        <f t="shared" si="11"/>
        <v>43.833333333333343</v>
      </c>
      <c r="H105" s="119">
        <f t="shared" si="12"/>
        <v>43.833333333333343</v>
      </c>
    </row>
    <row r="106" spans="1:8" x14ac:dyDescent="0.3">
      <c r="A106" s="127" t="s">
        <v>13</v>
      </c>
      <c r="B106" s="322" t="str">
        <f t="shared" si="10"/>
        <v xml:space="preserve">Yellow Bell Pepper - فلفل أصفر </v>
      </c>
      <c r="C106" s="322" t="str">
        <f t="shared" si="10"/>
        <v>gm</v>
      </c>
      <c r="D106" s="322">
        <f t="shared" si="10"/>
        <v>50</v>
      </c>
      <c r="E106" s="196">
        <f t="shared" si="13"/>
        <v>0.87666666666666693</v>
      </c>
      <c r="F106" s="126">
        <f t="shared" si="14"/>
        <v>1</v>
      </c>
      <c r="G106" s="118">
        <f t="shared" si="11"/>
        <v>43.833333333333343</v>
      </c>
      <c r="H106" s="119">
        <f t="shared" si="12"/>
        <v>43.833333333333343</v>
      </c>
    </row>
    <row r="107" spans="1:8" x14ac:dyDescent="0.3">
      <c r="A107" s="127" t="s">
        <v>13</v>
      </c>
      <c r="B107" s="322" t="str">
        <f t="shared" si="10"/>
        <v>Green Bell Pepper - فلفل أخضر رومى</v>
      </c>
      <c r="C107" s="322" t="str">
        <f t="shared" si="10"/>
        <v>gm</v>
      </c>
      <c r="D107" s="322">
        <f t="shared" si="10"/>
        <v>50</v>
      </c>
      <c r="E107" s="196">
        <f t="shared" si="13"/>
        <v>0.87666666666666693</v>
      </c>
      <c r="F107" s="126">
        <f t="shared" si="14"/>
        <v>1</v>
      </c>
      <c r="G107" s="118">
        <f t="shared" si="11"/>
        <v>43.833333333333343</v>
      </c>
      <c r="H107" s="119">
        <f t="shared" si="12"/>
        <v>43.833333333333343</v>
      </c>
    </row>
    <row r="108" spans="1:8" x14ac:dyDescent="0.3">
      <c r="A108" s="127" t="s">
        <v>13</v>
      </c>
      <c r="B108" s="322" t="str">
        <f t="shared" si="10"/>
        <v>Potato - بطاطس</v>
      </c>
      <c r="C108" s="322" t="str">
        <f t="shared" si="10"/>
        <v>gm</v>
      </c>
      <c r="D108" s="322">
        <f t="shared" si="10"/>
        <v>300</v>
      </c>
      <c r="E108" s="196">
        <f t="shared" si="13"/>
        <v>0.87666666666666693</v>
      </c>
      <c r="F108" s="126">
        <f t="shared" si="14"/>
        <v>1</v>
      </c>
      <c r="G108" s="118">
        <f t="shared" si="11"/>
        <v>263.00000000000006</v>
      </c>
      <c r="H108" s="119">
        <f t="shared" si="12"/>
        <v>263.00000000000006</v>
      </c>
    </row>
    <row r="109" spans="1:8" x14ac:dyDescent="0.3">
      <c r="A109" s="127" t="s">
        <v>154</v>
      </c>
      <c r="B109" s="322" t="str">
        <f t="shared" si="10"/>
        <v>Butter - زبدة</v>
      </c>
      <c r="C109" s="322" t="str">
        <f t="shared" si="10"/>
        <v>gm</v>
      </c>
      <c r="D109" s="322">
        <f t="shared" si="10"/>
        <v>40</v>
      </c>
      <c r="E109" s="196">
        <f t="shared" si="13"/>
        <v>0.87666666666666693</v>
      </c>
      <c r="F109" s="126">
        <f t="shared" si="14"/>
        <v>1</v>
      </c>
      <c r="G109" s="118">
        <f t="shared" si="11"/>
        <v>35.066666666666677</v>
      </c>
      <c r="H109" s="119">
        <f t="shared" si="12"/>
        <v>35.066666666666677</v>
      </c>
    </row>
    <row r="110" spans="1:8" ht="18" x14ac:dyDescent="0.3">
      <c r="A110" s="895"/>
      <c r="B110" s="199" t="s">
        <v>277</v>
      </c>
      <c r="D110" s="869"/>
      <c r="E110" s="890"/>
      <c r="F110" s="869"/>
      <c r="G110" s="890"/>
      <c r="H110" s="890"/>
    </row>
    <row r="111" spans="1:8" ht="20" x14ac:dyDescent="0.4">
      <c r="A111" s="895"/>
      <c r="B111" s="198">
        <f>D54</f>
        <v>876.66666666666697</v>
      </c>
      <c r="D111" s="894"/>
      <c r="E111" s="891"/>
      <c r="F111" s="863"/>
      <c r="G111" s="892"/>
      <c r="H111" s="892"/>
    </row>
  </sheetData>
  <mergeCells count="8">
    <mergeCell ref="B88:H88"/>
    <mergeCell ref="B89:H89"/>
    <mergeCell ref="B64:H64"/>
    <mergeCell ref="AE2:AG3"/>
    <mergeCell ref="B63:H63"/>
    <mergeCell ref="R26:U26"/>
    <mergeCell ref="R25:U25"/>
    <mergeCell ref="B2:K3"/>
  </mergeCells>
  <printOptions horizontalCentered="1"/>
  <pageMargins left="0.5" right="0.5" top="1" bottom="0.5" header="0.3" footer="0.511811023622047"/>
  <pageSetup paperSize="9" scale="29" orientation="portrait" r:id="rId1"/>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7" tint="-0.249977111117893"/>
    <pageSetUpPr fitToPage="1"/>
  </sheetPr>
  <dimension ref="A1:AG103"/>
  <sheetViews>
    <sheetView topLeftCell="H1" zoomScale="85" zoomScaleNormal="85" workbookViewId="0">
      <selection activeCell="R52" sqref="Q52:R53"/>
    </sheetView>
  </sheetViews>
  <sheetFormatPr defaultColWidth="12.5" defaultRowHeight="14" x14ac:dyDescent="0.3"/>
  <cols>
    <col min="1" max="1" width="12.5" style="78" customWidth="1"/>
    <col min="2" max="2" width="39.8320312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3" width="15.4140625" style="14" customWidth="1"/>
    <col min="14" max="17" width="12.5" style="14" customWidth="1"/>
    <col min="18" max="18" width="30.5" style="14" customWidth="1"/>
    <col min="19" max="19" width="12.5" style="14" customWidth="1"/>
    <col min="20" max="27" width="12.5" style="14"/>
    <col min="28" max="28" width="11.75" style="14" bestFit="1" customWidth="1"/>
    <col min="29" max="29" width="13.25" style="14" bestFit="1" customWidth="1"/>
    <col min="30" max="16384" width="12.5" style="14"/>
  </cols>
  <sheetData>
    <row r="1" spans="1:33" ht="35.25" customHeight="1" x14ac:dyDescent="0.3">
      <c r="B1" s="79" t="s">
        <v>235</v>
      </c>
      <c r="C1" s="80">
        <v>1000</v>
      </c>
      <c r="D1" s="81" t="s">
        <v>236</v>
      </c>
      <c r="E1" s="116">
        <f>T32</f>
        <v>11587.239299999999</v>
      </c>
      <c r="F1" s="79" t="s">
        <v>237</v>
      </c>
      <c r="G1" s="212">
        <f>E1/C1</f>
        <v>11.587239299999998</v>
      </c>
      <c r="H1" s="79" t="s">
        <v>238</v>
      </c>
      <c r="I1" s="447">
        <f>G1/K1</f>
        <v>11.587239299999998</v>
      </c>
      <c r="J1" s="85" t="s">
        <v>239</v>
      </c>
      <c r="K1" s="139">
        <v>1</v>
      </c>
      <c r="L1" s="99"/>
      <c r="M1" s="88"/>
      <c r="N1" s="89"/>
      <c r="O1" s="90" t="s">
        <v>240</v>
      </c>
      <c r="P1" s="91" t="s">
        <v>293</v>
      </c>
      <c r="Q1" s="92" t="s">
        <v>242</v>
      </c>
      <c r="R1" s="91">
        <v>0.66</v>
      </c>
      <c r="Y1" s="90" t="s">
        <v>463</v>
      </c>
      <c r="Z1" s="835">
        <v>32630</v>
      </c>
      <c r="AA1" s="90" t="s">
        <v>578</v>
      </c>
      <c r="AB1" s="835">
        <v>0</v>
      </c>
      <c r="AC1" s="90" t="s">
        <v>567</v>
      </c>
      <c r="AD1" s="835">
        <v>215</v>
      </c>
    </row>
    <row r="2" spans="1:33" ht="12.75" customHeight="1" x14ac:dyDescent="0.3">
      <c r="A2" s="96"/>
      <c r="B2" s="1450"/>
      <c r="C2" s="1460"/>
      <c r="D2" s="1460"/>
      <c r="E2" s="1460"/>
      <c r="F2" s="1460"/>
      <c r="G2" s="1460"/>
      <c r="H2" s="1460"/>
      <c r="I2" s="1460"/>
      <c r="J2" s="1460"/>
      <c r="K2" s="1460"/>
      <c r="L2" s="292"/>
      <c r="M2" s="99"/>
      <c r="N2" s="99"/>
      <c r="O2" s="99"/>
      <c r="P2" s="99"/>
      <c r="Q2" s="99"/>
      <c r="R2" s="99"/>
      <c r="AE2" s="1452"/>
      <c r="AF2" s="1460"/>
      <c r="AG2" s="1460"/>
    </row>
    <row r="3" spans="1:33" ht="12.75" customHeight="1" x14ac:dyDescent="0.3">
      <c r="A3" s="96"/>
      <c r="B3" s="1444"/>
      <c r="C3" s="1444"/>
      <c r="D3" s="1444"/>
      <c r="E3" s="1444"/>
      <c r="F3" s="1444"/>
      <c r="G3" s="1444"/>
      <c r="H3" s="1444"/>
      <c r="I3" s="1444"/>
      <c r="J3" s="1444"/>
      <c r="K3" s="1444"/>
      <c r="L3" s="292"/>
      <c r="M3" s="99"/>
      <c r="N3" s="99"/>
      <c r="O3" s="99"/>
      <c r="P3" s="99"/>
      <c r="Q3" s="99"/>
      <c r="R3" s="99"/>
      <c r="AE3" s="1460"/>
      <c r="AF3" s="1460"/>
      <c r="AG3" s="1460"/>
    </row>
    <row r="4" spans="1:33" ht="48.5" customHeight="1" x14ac:dyDescent="0.25">
      <c r="A4" s="242" t="s">
        <v>1</v>
      </c>
      <c r="B4" s="242" t="s">
        <v>245</v>
      </c>
      <c r="C4" s="243" t="s">
        <v>246</v>
      </c>
      <c r="D4" s="244" t="s">
        <v>235</v>
      </c>
      <c r="E4" s="217" t="s">
        <v>238</v>
      </c>
      <c r="F4" s="217" t="s">
        <v>247</v>
      </c>
      <c r="G4" s="244" t="s">
        <v>248</v>
      </c>
      <c r="H4" s="217" t="s">
        <v>249</v>
      </c>
      <c r="I4" s="90" t="s">
        <v>250</v>
      </c>
      <c r="J4" s="90" t="s">
        <v>251</v>
      </c>
      <c r="K4" s="90" t="s">
        <v>252</v>
      </c>
      <c r="L4" s="90" t="s">
        <v>253</v>
      </c>
      <c r="M4" s="99"/>
      <c r="N4" s="99"/>
      <c r="O4" s="99"/>
      <c r="P4" s="99"/>
    </row>
    <row r="5" spans="1:33" ht="14.25" customHeight="1" x14ac:dyDescent="0.3">
      <c r="A5" s="448" t="s">
        <v>225</v>
      </c>
      <c r="B5" s="221" t="s">
        <v>230</v>
      </c>
      <c r="C5" s="114" t="s">
        <v>14</v>
      </c>
      <c r="D5" s="120">
        <f>I51/10</f>
        <v>2751.8181818181815</v>
      </c>
      <c r="E5" s="84">
        <f>H52</f>
        <v>11.586147285541239</v>
      </c>
      <c r="F5" s="126">
        <v>1</v>
      </c>
      <c r="G5" s="120">
        <f t="shared" ref="G5:G19" si="0">D5*E5</f>
        <v>31882.970757575753</v>
      </c>
      <c r="H5" s="119">
        <f t="shared" ref="H5:H19" si="1">G5*F5</f>
        <v>31882.970757575753</v>
      </c>
      <c r="I5" s="80">
        <f>VLOOKUP(B5,All_Ingredients!$A$1:$F$149,6,FALSE())</f>
        <v>0.99</v>
      </c>
      <c r="J5" s="118">
        <f>VLOOKUP(B5,All_Ingredients!$A$1:$J$149,10,FALSE())</f>
        <v>11.75</v>
      </c>
      <c r="K5" s="121">
        <f>(H5/I5)/1000</f>
        <v>32.205020967248231</v>
      </c>
      <c r="L5" s="121">
        <f>K5*J5</f>
        <v>378.40899636516673</v>
      </c>
      <c r="M5" s="99"/>
      <c r="N5" s="99"/>
      <c r="O5" s="99"/>
      <c r="P5" s="99"/>
    </row>
    <row r="6" spans="1:33" ht="14.25" customHeight="1" x14ac:dyDescent="0.3">
      <c r="A6" s="127" t="s">
        <v>13</v>
      </c>
      <c r="B6" s="221" t="s">
        <v>12</v>
      </c>
      <c r="C6" s="123" t="s">
        <v>14</v>
      </c>
      <c r="D6" s="124">
        <v>416</v>
      </c>
      <c r="E6" s="115">
        <f>$G$1</f>
        <v>11.587239299999998</v>
      </c>
      <c r="F6" s="126">
        <v>1</v>
      </c>
      <c r="G6" s="120">
        <f t="shared" si="0"/>
        <v>4820.291548799999</v>
      </c>
      <c r="H6" s="119">
        <f t="shared" si="1"/>
        <v>4820.291548799999</v>
      </c>
      <c r="I6" s="80">
        <f>VLOOKUP(B6,All_Ingredients!$A$1:$F$149,6,FALSE())</f>
        <v>0.9</v>
      </c>
      <c r="J6" s="118">
        <f>VLOOKUP(B6,All_Ingredients!$A$1:$J$149,10,FALSE())</f>
        <v>3</v>
      </c>
      <c r="K6" s="121">
        <f t="shared" ref="K6:K19" si="2">(H6/I6)/1000</f>
        <v>5.3558794986666651</v>
      </c>
      <c r="L6" s="121">
        <f t="shared" ref="L6:L19" si="3">K6*J6</f>
        <v>16.067638495999994</v>
      </c>
    </row>
    <row r="7" spans="1:33" ht="14.25" customHeight="1" x14ac:dyDescent="0.3">
      <c r="A7" s="127" t="s">
        <v>154</v>
      </c>
      <c r="B7" s="221" t="s">
        <v>153</v>
      </c>
      <c r="C7" s="123" t="s">
        <v>14</v>
      </c>
      <c r="D7" s="124">
        <v>25</v>
      </c>
      <c r="E7" s="115">
        <f t="shared" ref="E7:E19" si="4">$G$1</f>
        <v>11.587239299999998</v>
      </c>
      <c r="F7" s="126">
        <v>1</v>
      </c>
      <c r="G7" s="120">
        <f t="shared" si="0"/>
        <v>289.68098249999997</v>
      </c>
      <c r="H7" s="119">
        <f t="shared" si="1"/>
        <v>289.68098249999997</v>
      </c>
      <c r="I7" s="80">
        <f>VLOOKUP(B7,All_Ingredients!$A$1:$F$149,6,FALSE())</f>
        <v>1</v>
      </c>
      <c r="J7" s="118">
        <f>VLOOKUP(B7,All_Ingredients!$A$1:$J$149,10,FALSE())</f>
        <v>30</v>
      </c>
      <c r="K7" s="121">
        <f t="shared" si="2"/>
        <v>0.28968098249999996</v>
      </c>
      <c r="L7" s="121">
        <f t="shared" si="3"/>
        <v>8.6904294749999984</v>
      </c>
    </row>
    <row r="8" spans="1:33" ht="14.25" customHeight="1" x14ac:dyDescent="0.3">
      <c r="A8" s="127" t="s">
        <v>13</v>
      </c>
      <c r="B8" s="221" t="s">
        <v>17</v>
      </c>
      <c r="C8" s="123" t="s">
        <v>14</v>
      </c>
      <c r="D8" s="124">
        <v>416</v>
      </c>
      <c r="E8" s="115">
        <f t="shared" si="4"/>
        <v>11.587239299999998</v>
      </c>
      <c r="F8" s="126">
        <v>1</v>
      </c>
      <c r="G8" s="120">
        <f t="shared" si="0"/>
        <v>4820.291548799999</v>
      </c>
      <c r="H8" s="119">
        <f t="shared" si="1"/>
        <v>4820.291548799999</v>
      </c>
      <c r="I8" s="80">
        <f>VLOOKUP(B8,All_Ingredients!$A$1:$F$149,6,FALSE())</f>
        <v>0.98</v>
      </c>
      <c r="J8" s="118">
        <f>VLOOKUP(B8,All_Ingredients!$A$1:$J$149,10,FALSE())</f>
        <v>3.5</v>
      </c>
      <c r="K8" s="121">
        <f t="shared" si="2"/>
        <v>4.918664845714285</v>
      </c>
      <c r="L8" s="121">
        <f t="shared" si="3"/>
        <v>17.215326959999999</v>
      </c>
    </row>
    <row r="9" spans="1:33" ht="14.25" customHeight="1" x14ac:dyDescent="0.3">
      <c r="A9" s="127" t="s">
        <v>95</v>
      </c>
      <c r="B9" s="221" t="s">
        <v>106</v>
      </c>
      <c r="C9" s="123" t="s">
        <v>14</v>
      </c>
      <c r="D9" s="124">
        <v>8</v>
      </c>
      <c r="E9" s="115">
        <f t="shared" si="4"/>
        <v>11.587239299999998</v>
      </c>
      <c r="F9" s="126">
        <v>1</v>
      </c>
      <c r="G9" s="120">
        <f t="shared" si="0"/>
        <v>92.697914399999988</v>
      </c>
      <c r="H9" s="119">
        <f t="shared" si="1"/>
        <v>92.697914399999988</v>
      </c>
      <c r="I9" s="80">
        <f>VLOOKUP(B9,All_Ingredients!$A$1:$F$149,6,FALSE())</f>
        <v>1</v>
      </c>
      <c r="J9" s="118">
        <f>VLOOKUP(B9,All_Ingredients!$A$1:$J$149,10,FALSE())</f>
        <v>15</v>
      </c>
      <c r="K9" s="121">
        <f t="shared" si="2"/>
        <v>9.2697914399999984E-2</v>
      </c>
      <c r="L9" s="121">
        <f t="shared" si="3"/>
        <v>1.3904687159999998</v>
      </c>
    </row>
    <row r="10" spans="1:33" ht="14.25" customHeight="1" x14ac:dyDescent="0.3">
      <c r="A10" s="127" t="s">
        <v>95</v>
      </c>
      <c r="B10" s="221" t="s">
        <v>108</v>
      </c>
      <c r="C10" s="123" t="s">
        <v>14</v>
      </c>
      <c r="D10" s="124">
        <v>16</v>
      </c>
      <c r="E10" s="115">
        <f t="shared" si="4"/>
        <v>11.587239299999998</v>
      </c>
      <c r="F10" s="126">
        <v>1</v>
      </c>
      <c r="G10" s="120">
        <f t="shared" si="0"/>
        <v>185.39582879999998</v>
      </c>
      <c r="H10" s="119">
        <f t="shared" si="1"/>
        <v>185.39582879999998</v>
      </c>
      <c r="I10" s="80">
        <f>VLOOKUP(B10,All_Ingredients!$A$1:$F$149,6,FALSE())</f>
        <v>1</v>
      </c>
      <c r="J10" s="118">
        <f>VLOOKUP(B10,All_Ingredients!$A$1:$J$149,10,FALSE())</f>
        <v>8</v>
      </c>
      <c r="K10" s="121">
        <f t="shared" si="2"/>
        <v>0.18539582879999997</v>
      </c>
      <c r="L10" s="121">
        <f t="shared" si="3"/>
        <v>1.4831666303999997</v>
      </c>
      <c r="Q10" s="449" t="s">
        <v>389</v>
      </c>
      <c r="R10" s="337" t="s">
        <v>390</v>
      </c>
      <c r="S10" s="337" t="s">
        <v>391</v>
      </c>
    </row>
    <row r="11" spans="1:33" ht="14.25" customHeight="1" x14ac:dyDescent="0.3">
      <c r="A11" s="127" t="s">
        <v>95</v>
      </c>
      <c r="B11" s="221" t="s">
        <v>123</v>
      </c>
      <c r="C11" s="123" t="s">
        <v>14</v>
      </c>
      <c r="D11" s="124">
        <v>8</v>
      </c>
      <c r="E11" s="115">
        <f t="shared" si="4"/>
        <v>11.587239299999998</v>
      </c>
      <c r="F11" s="126">
        <v>1</v>
      </c>
      <c r="G11" s="120">
        <f t="shared" si="0"/>
        <v>92.697914399999988</v>
      </c>
      <c r="H11" s="119">
        <f t="shared" si="1"/>
        <v>92.697914399999988</v>
      </c>
      <c r="I11" s="80">
        <f>VLOOKUP(B11,All_Ingredients!$A$1:$F$149,6,FALSE())</f>
        <v>1</v>
      </c>
      <c r="J11" s="118">
        <f>VLOOKUP(B11,All_Ingredients!$A$1:$J$149,10,FALSE())</f>
        <v>14</v>
      </c>
      <c r="K11" s="121">
        <f t="shared" si="2"/>
        <v>9.2697914399999984E-2</v>
      </c>
      <c r="L11" s="121">
        <f t="shared" si="3"/>
        <v>1.2977708015999998</v>
      </c>
      <c r="Q11" s="14">
        <v>17500</v>
      </c>
      <c r="R11" s="14">
        <v>11750</v>
      </c>
      <c r="S11" s="14">
        <v>18220</v>
      </c>
    </row>
    <row r="12" spans="1:33" ht="14.25" customHeight="1" x14ac:dyDescent="0.3">
      <c r="A12" s="127" t="s">
        <v>95</v>
      </c>
      <c r="B12" s="221" t="s">
        <v>100</v>
      </c>
      <c r="C12" s="123" t="s">
        <v>14</v>
      </c>
      <c r="D12" s="124">
        <v>10</v>
      </c>
      <c r="E12" s="115">
        <f t="shared" si="4"/>
        <v>11.587239299999998</v>
      </c>
      <c r="F12" s="126">
        <v>1</v>
      </c>
      <c r="G12" s="120">
        <f t="shared" si="0"/>
        <v>115.87239299999999</v>
      </c>
      <c r="H12" s="119">
        <f t="shared" si="1"/>
        <v>115.87239299999999</v>
      </c>
      <c r="I12" s="80">
        <f>VLOOKUP(B12,All_Ingredients!$A$1:$F$149,6,FALSE())</f>
        <v>1</v>
      </c>
      <c r="J12" s="118">
        <f>VLOOKUP(B12,All_Ingredients!$A$1:$J$149,10,FALSE())</f>
        <v>31</v>
      </c>
      <c r="K12" s="121">
        <f t="shared" si="2"/>
        <v>0.11587239299999999</v>
      </c>
      <c r="L12" s="121">
        <f t="shared" si="3"/>
        <v>3.5920441829999996</v>
      </c>
      <c r="R12" s="14">
        <f>S11-R11</f>
        <v>6470</v>
      </c>
    </row>
    <row r="13" spans="1:33" ht="14.25" customHeight="1" x14ac:dyDescent="0.3">
      <c r="A13" s="127" t="s">
        <v>192</v>
      </c>
      <c r="B13" s="221" t="s">
        <v>731</v>
      </c>
      <c r="C13" s="123" t="s">
        <v>14</v>
      </c>
      <c r="D13" s="124">
        <v>900</v>
      </c>
      <c r="E13" s="115">
        <f t="shared" si="4"/>
        <v>11.587239299999998</v>
      </c>
      <c r="F13" s="126">
        <v>1</v>
      </c>
      <c r="G13" s="120">
        <f t="shared" si="0"/>
        <v>10428.515369999999</v>
      </c>
      <c r="H13" s="119">
        <f t="shared" si="1"/>
        <v>10428.515369999999</v>
      </c>
      <c r="I13" s="80">
        <f>VLOOKUP(B13,All_Ingredients!$A$1:$F$149,6,FALSE())</f>
        <v>1</v>
      </c>
      <c r="J13" s="118">
        <f>VLOOKUP(B13,All_Ingredients!$A$1:$J$149,10,FALSE())</f>
        <v>8.1520833333333336</v>
      </c>
      <c r="K13" s="121">
        <f t="shared" si="2"/>
        <v>10.42851537</v>
      </c>
      <c r="L13" s="121">
        <f t="shared" si="3"/>
        <v>85.014126339187499</v>
      </c>
      <c r="R13" s="390">
        <f>R12/S11</f>
        <v>0.35510428100987923</v>
      </c>
    </row>
    <row r="14" spans="1:33" ht="14.25" customHeight="1" x14ac:dyDescent="0.3">
      <c r="A14" s="127" t="s">
        <v>95</v>
      </c>
      <c r="B14" s="221" t="s">
        <v>94</v>
      </c>
      <c r="C14" s="123" t="s">
        <v>14</v>
      </c>
      <c r="D14" s="124">
        <v>11</v>
      </c>
      <c r="E14" s="115">
        <f t="shared" si="4"/>
        <v>11.587239299999998</v>
      </c>
      <c r="F14" s="126">
        <v>0.75</v>
      </c>
      <c r="G14" s="120">
        <f t="shared" si="0"/>
        <v>127.45963229999998</v>
      </c>
      <c r="H14" s="119">
        <f t="shared" si="1"/>
        <v>95.594724224999993</v>
      </c>
      <c r="I14" s="80">
        <f>VLOOKUP(B14,All_Ingredients!$A$1:$F$149,6,FALSE())</f>
        <v>1</v>
      </c>
      <c r="J14" s="118">
        <f>VLOOKUP(B14,All_Ingredients!$A$1:$J$149,10,FALSE())</f>
        <v>0.74</v>
      </c>
      <c r="K14" s="121">
        <f t="shared" si="2"/>
        <v>9.5594724224999997E-2</v>
      </c>
      <c r="L14" s="121">
        <f t="shared" si="3"/>
        <v>7.0740095926499991E-2</v>
      </c>
      <c r="R14" s="413">
        <f>R11/S11</f>
        <v>0.64489571899012077</v>
      </c>
    </row>
    <row r="15" spans="1:33" ht="14.25" customHeight="1" x14ac:dyDescent="0.3">
      <c r="A15" s="127" t="s">
        <v>95</v>
      </c>
      <c r="B15" s="221" t="s">
        <v>140</v>
      </c>
      <c r="C15" s="123" t="s">
        <v>14</v>
      </c>
      <c r="D15" s="124">
        <v>20</v>
      </c>
      <c r="E15" s="115">
        <f t="shared" si="4"/>
        <v>11.587239299999998</v>
      </c>
      <c r="F15" s="126">
        <v>1</v>
      </c>
      <c r="G15" s="120">
        <f t="shared" si="0"/>
        <v>231.74478599999998</v>
      </c>
      <c r="H15" s="119">
        <f t="shared" si="1"/>
        <v>231.74478599999998</v>
      </c>
      <c r="I15" s="80">
        <f>VLOOKUP(B15,All_Ingredients!$A$1:$F$149,6,FALSE())</f>
        <v>1</v>
      </c>
      <c r="J15" s="118">
        <f>VLOOKUP(B15,All_Ingredients!$A$1:$J$149,10,FALSE())</f>
        <v>15.277777777777779</v>
      </c>
      <c r="K15" s="121">
        <f t="shared" si="2"/>
        <v>0.23174478599999998</v>
      </c>
      <c r="L15" s="121">
        <f t="shared" si="3"/>
        <v>3.5405453416666663</v>
      </c>
    </row>
    <row r="16" spans="1:33" ht="14.25" customHeight="1" x14ac:dyDescent="0.3">
      <c r="A16" s="127" t="s">
        <v>206</v>
      </c>
      <c r="B16" s="221" t="s">
        <v>210</v>
      </c>
      <c r="C16" s="123" t="s">
        <v>161</v>
      </c>
      <c r="D16" s="124">
        <v>33</v>
      </c>
      <c r="E16" s="115">
        <f t="shared" si="4"/>
        <v>11.587239299999998</v>
      </c>
      <c r="F16" s="126">
        <v>1</v>
      </c>
      <c r="G16" s="120">
        <f t="shared" si="0"/>
        <v>382.37889689999997</v>
      </c>
      <c r="H16" s="119">
        <f t="shared" si="1"/>
        <v>382.37889689999997</v>
      </c>
      <c r="I16" s="80">
        <f>VLOOKUP(B16,All_Ingredients!$A$1:$F$149,6,FALSE())</f>
        <v>1</v>
      </c>
      <c r="J16" s="118">
        <f>VLOOKUP(B16,All_Ingredients!$A$1:$J$149,10,FALSE())</f>
        <v>2.1621621621621623</v>
      </c>
      <c r="K16" s="121">
        <f t="shared" si="2"/>
        <v>0.38237889689999999</v>
      </c>
      <c r="L16" s="121">
        <f t="shared" si="3"/>
        <v>0.82676518248648645</v>
      </c>
    </row>
    <row r="17" spans="1:30" ht="14.25" customHeight="1" x14ac:dyDescent="0.3">
      <c r="A17" s="127" t="s">
        <v>13</v>
      </c>
      <c r="B17" s="221" t="s">
        <v>762</v>
      </c>
      <c r="C17" s="123" t="s">
        <v>14</v>
      </c>
      <c r="D17" s="124">
        <v>25</v>
      </c>
      <c r="E17" s="115">
        <f t="shared" si="4"/>
        <v>11.587239299999998</v>
      </c>
      <c r="F17" s="126">
        <v>1</v>
      </c>
      <c r="G17" s="120">
        <f t="shared" si="0"/>
        <v>289.68098249999997</v>
      </c>
      <c r="H17" s="119">
        <f t="shared" si="1"/>
        <v>289.68098249999997</v>
      </c>
      <c r="I17" s="80">
        <f>VLOOKUP(B17,All_Ingredients!$A$1:$F$149,6,FALSE())</f>
        <v>1</v>
      </c>
      <c r="J17" s="118">
        <f>VLOOKUP(B17,All_Ingredients!$A$1:$J$149,10,FALSE())</f>
        <v>10.5</v>
      </c>
      <c r="K17" s="121">
        <f t="shared" si="2"/>
        <v>0.28968098249999996</v>
      </c>
      <c r="L17" s="121">
        <f t="shared" si="3"/>
        <v>3.0416503162499997</v>
      </c>
    </row>
    <row r="18" spans="1:30" ht="14.25" customHeight="1" x14ac:dyDescent="0.3">
      <c r="A18" s="127" t="s">
        <v>192</v>
      </c>
      <c r="B18" s="221" t="s">
        <v>194</v>
      </c>
      <c r="C18" s="123" t="s">
        <v>161</v>
      </c>
      <c r="D18" s="124">
        <v>20</v>
      </c>
      <c r="E18" s="115">
        <f t="shared" si="4"/>
        <v>11.587239299999998</v>
      </c>
      <c r="F18" s="126">
        <v>1</v>
      </c>
      <c r="G18" s="120">
        <f t="shared" si="0"/>
        <v>231.74478599999998</v>
      </c>
      <c r="H18" s="119">
        <f t="shared" si="1"/>
        <v>231.74478599999998</v>
      </c>
      <c r="I18" s="80">
        <f>VLOOKUP(B18,All_Ingredients!$A$1:$F$149,6,FALSE())</f>
        <v>1</v>
      </c>
      <c r="J18" s="118">
        <f>VLOOKUP(B18,All_Ingredients!$A$1:$J$149,10,FALSE())</f>
        <v>58.685446009389672</v>
      </c>
      <c r="K18" s="121">
        <f t="shared" si="2"/>
        <v>0.23174478599999998</v>
      </c>
      <c r="L18" s="121">
        <f t="shared" si="3"/>
        <v>13.600046126760562</v>
      </c>
    </row>
    <row r="19" spans="1:30" ht="14.25" customHeight="1" x14ac:dyDescent="0.3">
      <c r="A19" s="127" t="s">
        <v>192</v>
      </c>
      <c r="B19" s="221" t="s">
        <v>187</v>
      </c>
      <c r="C19" s="123" t="s">
        <v>14</v>
      </c>
      <c r="D19" s="124">
        <v>40</v>
      </c>
      <c r="E19" s="115">
        <f t="shared" si="4"/>
        <v>11.587239299999998</v>
      </c>
      <c r="F19" s="126">
        <v>1</v>
      </c>
      <c r="G19" s="120">
        <f t="shared" si="0"/>
        <v>463.48957199999995</v>
      </c>
      <c r="H19" s="119">
        <f t="shared" si="1"/>
        <v>463.48957199999995</v>
      </c>
      <c r="I19" s="80">
        <f>VLOOKUP(B19,All_Ingredients!$A$1:$F$149,6,FALSE())</f>
        <v>1</v>
      </c>
      <c r="J19" s="118">
        <f>VLOOKUP(B19,All_Ingredients!$A$1:$J$149,10,FALSE())</f>
        <v>1.7</v>
      </c>
      <c r="K19" s="121">
        <f t="shared" si="2"/>
        <v>0.46348957199999996</v>
      </c>
      <c r="L19" s="121">
        <f t="shared" si="3"/>
        <v>0.78793227239999997</v>
      </c>
    </row>
    <row r="20" spans="1:30" ht="14.25" customHeight="1" x14ac:dyDescent="0.3">
      <c r="B20" s="221"/>
      <c r="C20" s="123"/>
      <c r="D20" s="124"/>
      <c r="E20" s="332"/>
      <c r="F20" s="135"/>
      <c r="G20" s="139"/>
      <c r="H20" s="137"/>
      <c r="I20" s="91"/>
      <c r="J20" s="138"/>
      <c r="L20" s="296"/>
    </row>
    <row r="21" spans="1:30" ht="14.25" customHeight="1" x14ac:dyDescent="0.3">
      <c r="L21" s="296"/>
    </row>
    <row r="22" spans="1:30" ht="14.25" customHeight="1" x14ac:dyDescent="0.3">
      <c r="L22" s="296"/>
    </row>
    <row r="23" spans="1:30" ht="14.25" customHeight="1" x14ac:dyDescent="0.3">
      <c r="L23" s="296"/>
    </row>
    <row r="24" spans="1:30" ht="14.25" customHeight="1" x14ac:dyDescent="0.3">
      <c r="L24" s="296"/>
      <c r="Z24" s="1208"/>
    </row>
    <row r="25" spans="1:30" ht="14.25" customHeight="1" x14ac:dyDescent="0.3">
      <c r="L25" s="296"/>
      <c r="R25" s="1467" t="s">
        <v>392</v>
      </c>
      <c r="S25" s="1444"/>
      <c r="T25" s="1444"/>
      <c r="U25" s="1444"/>
      <c r="Z25" s="140" t="s">
        <v>256</v>
      </c>
      <c r="AA25" s="141">
        <v>1</v>
      </c>
      <c r="AB25" s="140" t="s">
        <v>253</v>
      </c>
      <c r="AC25" s="1210">
        <f>AD30*AA25</f>
        <v>1.639304907201718E-2</v>
      </c>
    </row>
    <row r="26" spans="1:30" ht="14.25" customHeight="1" x14ac:dyDescent="0.3">
      <c r="L26" s="296"/>
      <c r="R26" s="1467" t="s">
        <v>836</v>
      </c>
      <c r="S26" s="1444"/>
      <c r="T26" s="1444"/>
      <c r="U26" s="1444"/>
    </row>
    <row r="27" spans="1:30" ht="23.25" customHeight="1" thickBot="1" x14ac:dyDescent="0.35">
      <c r="B27" s="99"/>
      <c r="E27" s="99"/>
      <c r="F27" s="99"/>
      <c r="L27" s="296"/>
      <c r="R27" s="144" t="s">
        <v>258</v>
      </c>
      <c r="S27" s="145" t="s">
        <v>387</v>
      </c>
      <c r="T27" s="145" t="s">
        <v>260</v>
      </c>
      <c r="U27" s="145" t="s">
        <v>261</v>
      </c>
      <c r="V27" s="145" t="s">
        <v>817</v>
      </c>
      <c r="Z27" s="140" t="s">
        <v>262</v>
      </c>
      <c r="AA27" s="146" t="s">
        <v>263</v>
      </c>
      <c r="AB27" s="146" t="s">
        <v>264</v>
      </c>
      <c r="AC27" s="1167" t="s">
        <v>817</v>
      </c>
      <c r="AD27" s="146" t="s">
        <v>266</v>
      </c>
    </row>
    <row r="28" spans="1:30" ht="24" customHeight="1" thickBot="1" x14ac:dyDescent="0.35">
      <c r="B28" s="99"/>
      <c r="E28" s="99"/>
      <c r="F28" s="99"/>
      <c r="R28" s="147" t="s">
        <v>267</v>
      </c>
      <c r="S28" s="1330">
        <f>U28*S40</f>
        <v>21042.760699999999</v>
      </c>
      <c r="T28" s="754">
        <f>U28*U40</f>
        <v>11587.239299999999</v>
      </c>
      <c r="U28" s="760">
        <f>$Z$1</f>
        <v>32630</v>
      </c>
      <c r="V28" s="148">
        <f>H37</f>
        <v>215</v>
      </c>
      <c r="Z28" s="150"/>
      <c r="AA28" s="151">
        <f>AA25*$S$40</f>
        <v>0.64488999999999996</v>
      </c>
      <c r="AB28" s="151">
        <f>AA25*$U$40</f>
        <v>0.35510999999999998</v>
      </c>
      <c r="AC28" s="1169"/>
      <c r="AD28" s="153">
        <f>SUM(AA28:AB28)</f>
        <v>1</v>
      </c>
    </row>
    <row r="29" spans="1:30" ht="14.25" customHeight="1" thickBot="1" x14ac:dyDescent="0.35">
      <c r="R29" s="147" t="s">
        <v>268</v>
      </c>
      <c r="S29" s="756"/>
      <c r="T29" s="754"/>
      <c r="U29" s="148">
        <f>T29</f>
        <v>0</v>
      </c>
      <c r="V29" s="148"/>
      <c r="Z29" s="150"/>
      <c r="AA29" s="155">
        <f>AA28/$AD$28</f>
        <v>0.64488999999999996</v>
      </c>
      <c r="AB29" s="155">
        <f>AB28/$AD$28</f>
        <v>0.35510999999999998</v>
      </c>
      <c r="AC29" s="1173"/>
      <c r="AD29" s="155">
        <f>AD28/$AD$28</f>
        <v>1</v>
      </c>
    </row>
    <row r="30" spans="1:30" ht="14.25" customHeight="1" thickBot="1" x14ac:dyDescent="0.35">
      <c r="R30" s="147" t="s">
        <v>269</v>
      </c>
      <c r="S30" s="1318">
        <f>U30*S40</f>
        <v>0</v>
      </c>
      <c r="T30" s="754">
        <f>U30*U40</f>
        <v>0</v>
      </c>
      <c r="U30" s="1329">
        <f>$AB$1</f>
        <v>0</v>
      </c>
      <c r="V30" s="1124"/>
      <c r="Z30" s="140" t="s">
        <v>270</v>
      </c>
      <c r="AA30" s="156">
        <f>S35/(S28)</f>
        <v>1.7982858891949796E-2</v>
      </c>
      <c r="AB30" s="157">
        <f>T35/T32</f>
        <v>1.3448476779475655E-2</v>
      </c>
      <c r="AC30" s="1180">
        <f>V35/U32</f>
        <v>2.0394612028078165E-5</v>
      </c>
      <c r="AD30" s="1182">
        <f>SUMPRODUCT(AA30:AB30,AA29:AB29)+AC30</f>
        <v>1.639304907201718E-2</v>
      </c>
    </row>
    <row r="31" spans="1:30" ht="14.25" customHeight="1" thickBot="1" x14ac:dyDescent="0.35">
      <c r="R31" s="147" t="s">
        <v>271</v>
      </c>
      <c r="S31" s="154"/>
      <c r="T31" s="148"/>
      <c r="U31" s="148"/>
      <c r="V31" s="148"/>
    </row>
    <row r="32" spans="1:30" ht="14.25" customHeight="1" thickBot="1" x14ac:dyDescent="0.35">
      <c r="B32" s="99"/>
      <c r="E32" s="99"/>
      <c r="F32" s="99"/>
      <c r="R32" s="159" t="s">
        <v>261</v>
      </c>
      <c r="S32" s="148">
        <f>SUM(S28:S30)</f>
        <v>21042.760699999999</v>
      </c>
      <c r="T32" s="148">
        <f>SUM(T28:T30)</f>
        <v>11587.239299999999</v>
      </c>
      <c r="U32" s="148">
        <f>SUM(U28:U30)</f>
        <v>32630</v>
      </c>
      <c r="V32" s="148">
        <f>SUM(V28:V30)</f>
        <v>215</v>
      </c>
    </row>
    <row r="33" spans="2:23" ht="14.25" customHeight="1" thickBot="1" x14ac:dyDescent="0.35">
      <c r="B33" s="99"/>
      <c r="E33" s="99"/>
      <c r="F33" s="99"/>
      <c r="R33" s="160" t="s">
        <v>272</v>
      </c>
      <c r="S33" s="154"/>
      <c r="T33" s="154"/>
      <c r="U33" s="154">
        <f>F82</f>
        <v>0</v>
      </c>
      <c r="V33" s="154"/>
    </row>
    <row r="34" spans="2:23" ht="14.25" customHeight="1" thickBot="1" x14ac:dyDescent="0.35">
      <c r="B34" s="99"/>
      <c r="E34" s="99"/>
      <c r="F34" s="99"/>
      <c r="R34" s="161" t="s">
        <v>273</v>
      </c>
      <c r="S34" s="154"/>
      <c r="T34" s="148"/>
      <c r="U34" s="148"/>
      <c r="V34" s="154"/>
    </row>
    <row r="35" spans="2:23" ht="18.75" customHeight="1" thickBot="1" x14ac:dyDescent="0.35">
      <c r="B35" s="1484" t="s">
        <v>665</v>
      </c>
      <c r="C35" s="1484"/>
      <c r="D35" s="1484"/>
      <c r="E35" s="1484"/>
      <c r="F35" s="1484"/>
      <c r="G35" s="870"/>
      <c r="H35" s="870"/>
      <c r="I35" s="877"/>
      <c r="J35" s="877"/>
      <c r="K35" s="877"/>
      <c r="L35" s="877"/>
      <c r="R35" s="162" t="s">
        <v>253</v>
      </c>
      <c r="S35" s="1125">
        <f>$L$5</f>
        <v>378.40899636516673</v>
      </c>
      <c r="T35" s="1125">
        <f>SUM(L6:L18)</f>
        <v>155.83071866427773</v>
      </c>
      <c r="U35" s="1213">
        <f>S35+T35+V35</f>
        <v>534.90519121992065</v>
      </c>
      <c r="V35" s="1184">
        <f>SUM(L37)</f>
        <v>0.66547619047619055</v>
      </c>
    </row>
    <row r="36" spans="2:23" ht="46.5" x14ac:dyDescent="0.3">
      <c r="B36" s="848" t="s">
        <v>245</v>
      </c>
      <c r="C36" s="848" t="s">
        <v>321</v>
      </c>
      <c r="D36" s="850" t="s">
        <v>645</v>
      </c>
      <c r="E36" s="847" t="s">
        <v>646</v>
      </c>
      <c r="F36" s="850" t="s">
        <v>647</v>
      </c>
      <c r="G36" s="870"/>
      <c r="H36" s="850" t="s">
        <v>647</v>
      </c>
      <c r="I36" s="850" t="s">
        <v>250</v>
      </c>
      <c r="J36" s="850" t="s">
        <v>251</v>
      </c>
      <c r="K36" s="850" t="s">
        <v>252</v>
      </c>
      <c r="L36" s="850" t="s">
        <v>253</v>
      </c>
    </row>
    <row r="37" spans="2:23" x14ac:dyDescent="0.3">
      <c r="B37" s="843" t="s">
        <v>19</v>
      </c>
      <c r="C37" s="844" t="s">
        <v>14</v>
      </c>
      <c r="D37" s="845">
        <v>1</v>
      </c>
      <c r="E37" s="843">
        <f>$AD$1</f>
        <v>215</v>
      </c>
      <c r="F37" s="843">
        <f>D37*E37</f>
        <v>215</v>
      </c>
      <c r="H37" s="843">
        <f>F37</f>
        <v>215</v>
      </c>
      <c r="I37" s="843">
        <f>VLOOKUP(B37,All_Ingredients!$A$1:$F$149,6,FALSE())</f>
        <v>0.84</v>
      </c>
      <c r="J37" s="843">
        <f>VLOOKUP(B37,All_Ingredients!$A$1:$J$149,10,FALSE())</f>
        <v>2.6</v>
      </c>
      <c r="K37" s="843">
        <f>(H37/I37)/1000</f>
        <v>0.25595238095238099</v>
      </c>
      <c r="L37" s="843">
        <f t="shared" ref="L37" si="5">K37*J37</f>
        <v>0.66547619047619055</v>
      </c>
    </row>
    <row r="38" spans="2:23" ht="14.25" customHeight="1" x14ac:dyDescent="0.3">
      <c r="S38" s="450"/>
    </row>
    <row r="40" spans="2:23" ht="22.25" customHeight="1" x14ac:dyDescent="0.3">
      <c r="R40" s="164" t="s">
        <v>274</v>
      </c>
      <c r="S40" s="451">
        <v>0.64488999999999996</v>
      </c>
      <c r="T40" s="164" t="s">
        <v>275</v>
      </c>
      <c r="U40" s="451">
        <v>0.35510999999999998</v>
      </c>
      <c r="V40" s="1273">
        <f>S40+U40</f>
        <v>1</v>
      </c>
    </row>
    <row r="41" spans="2:23" ht="14.25" customHeight="1" x14ac:dyDescent="0.3">
      <c r="U41" s="168"/>
    </row>
    <row r="42" spans="2:23" ht="14.25" customHeight="1" x14ac:dyDescent="0.3"/>
    <row r="43" spans="2:23" ht="14.25" customHeight="1" x14ac:dyDescent="0.3">
      <c r="Q43" s="169" t="s">
        <v>276</v>
      </c>
      <c r="R43" s="169" t="s">
        <v>277</v>
      </c>
      <c r="S43" s="169" t="s">
        <v>278</v>
      </c>
      <c r="T43" s="169" t="s">
        <v>279</v>
      </c>
      <c r="U43" s="169" t="s">
        <v>280</v>
      </c>
      <c r="V43" s="169" t="s">
        <v>281</v>
      </c>
      <c r="W43" s="257" t="s">
        <v>282</v>
      </c>
    </row>
    <row r="44" spans="2:23" ht="14.25" customHeight="1" x14ac:dyDescent="0.3">
      <c r="Q44" s="171">
        <v>28162</v>
      </c>
      <c r="R44" s="172">
        <f>D51</f>
        <v>10000</v>
      </c>
      <c r="S44" s="173">
        <v>1</v>
      </c>
      <c r="T44" s="173">
        <v>0</v>
      </c>
      <c r="U44" s="241">
        <f>R44*S44</f>
        <v>10000</v>
      </c>
      <c r="V44" s="175">
        <f>R44*T44</f>
        <v>0</v>
      </c>
      <c r="W44" s="259">
        <f>Q44-U44</f>
        <v>18162</v>
      </c>
    </row>
    <row r="46" spans="2:23" ht="14" customHeight="1" x14ac:dyDescent="0.3"/>
    <row r="47" spans="2:23" ht="14" customHeight="1" x14ac:dyDescent="0.3"/>
    <row r="50" spans="1:10" x14ac:dyDescent="0.3">
      <c r="B50" s="275"/>
      <c r="C50" s="144" t="s">
        <v>237</v>
      </c>
      <c r="D50" s="144" t="s">
        <v>283</v>
      </c>
      <c r="E50" s="99"/>
      <c r="F50" s="99"/>
      <c r="G50" s="144" t="s">
        <v>284</v>
      </c>
      <c r="H50" s="144" t="s">
        <v>237</v>
      </c>
      <c r="I50" s="144" t="s">
        <v>285</v>
      </c>
      <c r="J50" s="144" t="s">
        <v>286</v>
      </c>
    </row>
    <row r="51" spans="1:10" x14ac:dyDescent="0.3">
      <c r="B51" s="179" t="s">
        <v>287</v>
      </c>
      <c r="C51" s="180">
        <f>10/$K$1</f>
        <v>10</v>
      </c>
      <c r="D51" s="181">
        <f>$C$1*10</f>
        <v>10000</v>
      </c>
      <c r="E51" s="182"/>
      <c r="F51" s="99"/>
      <c r="G51" s="179" t="s">
        <v>287</v>
      </c>
      <c r="H51" s="276">
        <f>I51/$D$5</f>
        <v>10</v>
      </c>
      <c r="I51" s="180">
        <f>J51/$R$1</f>
        <v>27518.181818181816</v>
      </c>
      <c r="J51" s="180">
        <f>$W$44</f>
        <v>18162</v>
      </c>
    </row>
    <row r="52" spans="1:10" x14ac:dyDescent="0.3">
      <c r="B52" s="230" t="s">
        <v>266</v>
      </c>
      <c r="C52" s="231">
        <f>$I$1</f>
        <v>11.587239299999998</v>
      </c>
      <c r="D52" s="232">
        <f>$E$1</f>
        <v>11587.239299999999</v>
      </c>
      <c r="E52" s="99"/>
      <c r="F52" s="99"/>
      <c r="G52" s="147" t="s">
        <v>266</v>
      </c>
      <c r="H52" s="209">
        <f>I52/$D$5</f>
        <v>11.586147285541239</v>
      </c>
      <c r="I52" s="175">
        <f>J52/$R$1</f>
        <v>31882.970757575753</v>
      </c>
      <c r="J52" s="183">
        <f>$S$32</f>
        <v>21042.760699999999</v>
      </c>
    </row>
    <row r="53" spans="1:10" x14ac:dyDescent="0.3">
      <c r="B53" s="230" t="s">
        <v>288</v>
      </c>
      <c r="C53" s="233">
        <f>MIN(C52, C51)</f>
        <v>10</v>
      </c>
      <c r="D53" s="232">
        <f>(C53*$K$1)*$C$1</f>
        <v>10000</v>
      </c>
      <c r="E53" s="99"/>
      <c r="F53" s="99"/>
      <c r="G53" s="147" t="s">
        <v>288</v>
      </c>
      <c r="H53" s="186">
        <f>MIN(H52,H51)</f>
        <v>10</v>
      </c>
      <c r="I53" s="175">
        <f>J53/$R$1</f>
        <v>27518.181818181816</v>
      </c>
      <c r="J53" s="175">
        <f>MIN(J52,J51)</f>
        <v>18162</v>
      </c>
    </row>
    <row r="54" spans="1:10" x14ac:dyDescent="0.3">
      <c r="B54" s="230" t="s">
        <v>289</v>
      </c>
      <c r="C54" s="233">
        <f>MIN(MAX(C52-C53,0),C51)</f>
        <v>1.5872392999999985</v>
      </c>
      <c r="D54" s="232">
        <f>(C54*$K$1)*$C$1</f>
        <v>1587.2392999999984</v>
      </c>
      <c r="E54" s="99"/>
      <c r="F54" s="99"/>
      <c r="G54" s="147" t="s">
        <v>289</v>
      </c>
      <c r="H54" s="186">
        <f>MIN(MAX(H52-H53),H51)</f>
        <v>1.5861472855412391</v>
      </c>
      <c r="I54" s="175">
        <f>J54/$R$1</f>
        <v>4364.7889393939377</v>
      </c>
      <c r="J54" s="175">
        <f>MIN(MAX(J52-J53),J51)</f>
        <v>2880.7606999999989</v>
      </c>
    </row>
    <row r="55" spans="1:10" x14ac:dyDescent="0.3">
      <c r="B55" s="230" t="s">
        <v>290</v>
      </c>
      <c r="C55" s="233">
        <f>MIN(MAX(C52-C53-C54,0),C51)</f>
        <v>0</v>
      </c>
      <c r="D55" s="232">
        <f>(C55*$K$1)*$C$1</f>
        <v>0</v>
      </c>
      <c r="E55" s="99"/>
      <c r="F55" s="99"/>
      <c r="G55" s="144" t="s">
        <v>290</v>
      </c>
      <c r="H55" s="186">
        <f>MIN(MAX(H52-H53-H54),H51)</f>
        <v>0</v>
      </c>
      <c r="I55" s="175">
        <f>J55/$R$1</f>
        <v>0</v>
      </c>
      <c r="J55" s="175">
        <f>MIN(MAX(J52-J53-J54),J51)</f>
        <v>0</v>
      </c>
    </row>
    <row r="63" spans="1:10" ht="18" customHeight="1" x14ac:dyDescent="0.3">
      <c r="A63" s="922"/>
      <c r="B63" s="1438" t="str">
        <f>" صوص لحم المسقعة 1 / " &amp; COUNTIF($C$53:$C$55, "&gt;0")</f>
        <v xml:space="preserve"> صوص لحم المسقعة 1 / 2</v>
      </c>
      <c r="C63" s="1439"/>
      <c r="D63" s="1439"/>
      <c r="E63" s="1439"/>
      <c r="F63" s="1439"/>
      <c r="G63" s="1439"/>
      <c r="H63" s="1439"/>
    </row>
    <row r="64" spans="1:10" ht="25.5" customHeight="1" x14ac:dyDescent="0.3">
      <c r="A64" s="922"/>
      <c r="B64" s="1436" t="str">
        <f>" Sauce of Moussaka Meet 1 / " &amp; COUNTIF($C$53:$C$55, "&gt;0")</f>
        <v xml:space="preserve"> Sauce of Moussaka Meet 1 / 2</v>
      </c>
      <c r="C64" s="1437"/>
      <c r="D64" s="1437"/>
      <c r="E64" s="1437"/>
      <c r="F64" s="1437"/>
      <c r="G64" s="1437"/>
      <c r="H64" s="1437"/>
    </row>
    <row r="65" spans="1:10" ht="43.25" customHeight="1" x14ac:dyDescent="0.25">
      <c r="A65" s="242"/>
      <c r="B65" s="242" t="s">
        <v>245</v>
      </c>
      <c r="C65" s="243" t="s">
        <v>246</v>
      </c>
      <c r="D65" s="244" t="s">
        <v>235</v>
      </c>
      <c r="E65" s="217" t="s">
        <v>238</v>
      </c>
      <c r="F65" s="217" t="s">
        <v>247</v>
      </c>
      <c r="G65" s="244" t="s">
        <v>248</v>
      </c>
      <c r="H65" s="217" t="s">
        <v>249</v>
      </c>
    </row>
    <row r="66" spans="1:10" ht="14.25" customHeight="1" x14ac:dyDescent="0.3">
      <c r="A66" s="127" t="s">
        <v>225</v>
      </c>
      <c r="B66" s="293" t="str">
        <f t="shared" ref="B66:D80" si="6">B5</f>
        <v>Indian Meat Tammam Mafroom - مفروم هندى</v>
      </c>
      <c r="C66" s="123" t="str">
        <f t="shared" si="6"/>
        <v>gm</v>
      </c>
      <c r="D66" s="115">
        <f t="shared" si="6"/>
        <v>2751.8181818181815</v>
      </c>
      <c r="E66" s="196">
        <f>H53</f>
        <v>10</v>
      </c>
      <c r="F66" s="126">
        <f t="shared" ref="F66:F80" si="7">F5</f>
        <v>1</v>
      </c>
      <c r="G66" s="118">
        <f t="shared" ref="G66:G79" si="8">D66*E66</f>
        <v>27518.181818181816</v>
      </c>
      <c r="H66" s="119">
        <f t="shared" ref="H66:H79" si="9">G66*F66</f>
        <v>27518.181818181816</v>
      </c>
    </row>
    <row r="67" spans="1:10" ht="14.25" customHeight="1" x14ac:dyDescent="0.3">
      <c r="A67" s="127" t="s">
        <v>13</v>
      </c>
      <c r="B67" s="293" t="str">
        <f t="shared" si="6"/>
        <v>Onion - بصل</v>
      </c>
      <c r="C67" s="123" t="str">
        <f t="shared" si="6"/>
        <v>gm</v>
      </c>
      <c r="D67" s="124">
        <f t="shared" si="6"/>
        <v>416</v>
      </c>
      <c r="E67" s="196">
        <f t="shared" ref="E67:E80" si="10">$C$53</f>
        <v>10</v>
      </c>
      <c r="F67" s="126">
        <f t="shared" si="7"/>
        <v>1</v>
      </c>
      <c r="G67" s="118">
        <f t="shared" si="8"/>
        <v>4160</v>
      </c>
      <c r="H67" s="119">
        <f t="shared" si="9"/>
        <v>4160</v>
      </c>
    </row>
    <row r="68" spans="1:10" ht="14.25" customHeight="1" x14ac:dyDescent="0.3">
      <c r="A68" s="127" t="s">
        <v>154</v>
      </c>
      <c r="B68" s="293" t="str">
        <f t="shared" si="6"/>
        <v>Butter - زبدة</v>
      </c>
      <c r="C68" s="123" t="str">
        <f t="shared" si="6"/>
        <v>gm</v>
      </c>
      <c r="D68" s="124">
        <f t="shared" si="6"/>
        <v>25</v>
      </c>
      <c r="E68" s="196">
        <f t="shared" si="10"/>
        <v>10</v>
      </c>
      <c r="F68" s="126">
        <f t="shared" si="7"/>
        <v>1</v>
      </c>
      <c r="G68" s="118">
        <f t="shared" si="8"/>
        <v>250</v>
      </c>
      <c r="H68" s="119">
        <f t="shared" si="9"/>
        <v>250</v>
      </c>
    </row>
    <row r="69" spans="1:10" ht="14.25" customHeight="1" x14ac:dyDescent="0.3">
      <c r="A69" s="127" t="s">
        <v>13</v>
      </c>
      <c r="B69" s="293" t="str">
        <f t="shared" si="6"/>
        <v>Tomato - طماطم</v>
      </c>
      <c r="C69" s="123" t="str">
        <f t="shared" si="6"/>
        <v>gm</v>
      </c>
      <c r="D69" s="124">
        <f t="shared" si="6"/>
        <v>416</v>
      </c>
      <c r="E69" s="196">
        <f t="shared" si="10"/>
        <v>10</v>
      </c>
      <c r="F69" s="126">
        <f t="shared" si="7"/>
        <v>1</v>
      </c>
      <c r="G69" s="118">
        <f t="shared" si="8"/>
        <v>4160</v>
      </c>
      <c r="H69" s="119">
        <f t="shared" si="9"/>
        <v>4160</v>
      </c>
    </row>
    <row r="70" spans="1:10" ht="14.25" customHeight="1" x14ac:dyDescent="0.3">
      <c r="A70" s="127" t="s">
        <v>95</v>
      </c>
      <c r="B70" s="293" t="str">
        <f t="shared" si="6"/>
        <v>Cumin Powder - كمون مطحون</v>
      </c>
      <c r="C70" s="123" t="str">
        <f t="shared" si="6"/>
        <v>gm</v>
      </c>
      <c r="D70" s="124">
        <f t="shared" si="6"/>
        <v>8</v>
      </c>
      <c r="E70" s="196">
        <f t="shared" si="10"/>
        <v>10</v>
      </c>
      <c r="F70" s="126">
        <f t="shared" si="7"/>
        <v>1</v>
      </c>
      <c r="G70" s="118">
        <f t="shared" si="8"/>
        <v>80</v>
      </c>
      <c r="H70" s="119">
        <f t="shared" si="9"/>
        <v>80</v>
      </c>
    </row>
    <row r="71" spans="1:10" ht="14.25" customHeight="1" x14ac:dyDescent="0.3">
      <c r="A71" s="127" t="s">
        <v>95</v>
      </c>
      <c r="B71" s="293" t="str">
        <f t="shared" si="6"/>
        <v>Coriander Powder - كزبرة مطحونة</v>
      </c>
      <c r="C71" s="123" t="str">
        <f t="shared" si="6"/>
        <v>gm</v>
      </c>
      <c r="D71" s="124">
        <f t="shared" si="6"/>
        <v>16</v>
      </c>
      <c r="E71" s="196">
        <f t="shared" si="10"/>
        <v>10</v>
      </c>
      <c r="F71" s="126">
        <f t="shared" si="7"/>
        <v>1</v>
      </c>
      <c r="G71" s="118">
        <f t="shared" si="8"/>
        <v>160</v>
      </c>
      <c r="H71" s="119">
        <f t="shared" si="9"/>
        <v>160</v>
      </c>
    </row>
    <row r="72" spans="1:10" ht="14.25" customHeight="1" x14ac:dyDescent="0.3">
      <c r="A72" s="127" t="s">
        <v>95</v>
      </c>
      <c r="B72" s="293" t="str">
        <f t="shared" si="6"/>
        <v>Cinnamon Powder - قرفة مطحونة</v>
      </c>
      <c r="C72" s="123" t="str">
        <f t="shared" si="6"/>
        <v>gm</v>
      </c>
      <c r="D72" s="124">
        <f t="shared" si="6"/>
        <v>8</v>
      </c>
      <c r="E72" s="196">
        <f t="shared" si="10"/>
        <v>10</v>
      </c>
      <c r="F72" s="126">
        <f t="shared" si="7"/>
        <v>1</v>
      </c>
      <c r="G72" s="118">
        <f t="shared" si="8"/>
        <v>80</v>
      </c>
      <c r="H72" s="119">
        <f t="shared" si="9"/>
        <v>80</v>
      </c>
    </row>
    <row r="73" spans="1:10" ht="14.25" customHeight="1" x14ac:dyDescent="0.3">
      <c r="A73" s="127" t="s">
        <v>95</v>
      </c>
      <c r="B73" s="293" t="str">
        <f t="shared" si="6"/>
        <v>Black Pepper Powder - فلفل أسود مطحون</v>
      </c>
      <c r="C73" s="123" t="str">
        <f t="shared" si="6"/>
        <v>gm</v>
      </c>
      <c r="D73" s="124">
        <f t="shared" si="6"/>
        <v>10</v>
      </c>
      <c r="E73" s="196">
        <f t="shared" si="10"/>
        <v>10</v>
      </c>
      <c r="F73" s="126">
        <f t="shared" si="7"/>
        <v>1</v>
      </c>
      <c r="G73" s="118">
        <f t="shared" si="8"/>
        <v>100</v>
      </c>
      <c r="H73" s="119">
        <f t="shared" si="9"/>
        <v>100</v>
      </c>
    </row>
    <row r="74" spans="1:10" ht="14.25" customHeight="1" x14ac:dyDescent="0.3">
      <c r="A74" s="127" t="s">
        <v>192</v>
      </c>
      <c r="B74" s="293" t="str">
        <f t="shared" si="6"/>
        <v>Tomato Paste - صلصة طماطم</v>
      </c>
      <c r="C74" s="123" t="str">
        <f t="shared" si="6"/>
        <v>gm</v>
      </c>
      <c r="D74" s="124">
        <f t="shared" si="6"/>
        <v>900</v>
      </c>
      <c r="E74" s="196">
        <f t="shared" si="10"/>
        <v>10</v>
      </c>
      <c r="F74" s="126">
        <f t="shared" si="7"/>
        <v>1</v>
      </c>
      <c r="G74" s="118">
        <f t="shared" si="8"/>
        <v>9000</v>
      </c>
      <c r="H74" s="119">
        <f t="shared" si="9"/>
        <v>9000</v>
      </c>
    </row>
    <row r="75" spans="1:10" ht="14.25" customHeight="1" x14ac:dyDescent="0.3">
      <c r="A75" s="127" t="s">
        <v>95</v>
      </c>
      <c r="B75" s="293" t="str">
        <f t="shared" si="6"/>
        <v>Salt - ملح</v>
      </c>
      <c r="C75" s="123" t="str">
        <f t="shared" si="6"/>
        <v>gm</v>
      </c>
      <c r="D75" s="124">
        <f t="shared" si="6"/>
        <v>11</v>
      </c>
      <c r="E75" s="196">
        <f t="shared" si="10"/>
        <v>10</v>
      </c>
      <c r="F75" s="126">
        <f t="shared" si="7"/>
        <v>0.75</v>
      </c>
      <c r="G75" s="118">
        <f t="shared" si="8"/>
        <v>110</v>
      </c>
      <c r="H75" s="119">
        <f t="shared" si="9"/>
        <v>82.5</v>
      </c>
    </row>
    <row r="76" spans="1:10" ht="14.25" customHeight="1" x14ac:dyDescent="0.3">
      <c r="A76" s="127" t="s">
        <v>95</v>
      </c>
      <c r="B76" s="293" t="str">
        <f t="shared" si="6"/>
        <v>Maggi Cubes - مكعبات ماجي</v>
      </c>
      <c r="C76" s="123" t="str">
        <f t="shared" si="6"/>
        <v>gm</v>
      </c>
      <c r="D76" s="124">
        <f t="shared" si="6"/>
        <v>20</v>
      </c>
      <c r="E76" s="196">
        <f t="shared" si="10"/>
        <v>10</v>
      </c>
      <c r="F76" s="126">
        <f t="shared" si="7"/>
        <v>1</v>
      </c>
      <c r="G76" s="118">
        <f t="shared" si="8"/>
        <v>200</v>
      </c>
      <c r="H76" s="119">
        <f t="shared" si="9"/>
        <v>200</v>
      </c>
    </row>
    <row r="77" spans="1:10" ht="14.25" customHeight="1" x14ac:dyDescent="0.3">
      <c r="A77" s="127" t="s">
        <v>206</v>
      </c>
      <c r="B77" s="293" t="str">
        <f t="shared" si="6"/>
        <v>Vinegar - خل</v>
      </c>
      <c r="C77" s="123" t="str">
        <f t="shared" si="6"/>
        <v>ml</v>
      </c>
      <c r="D77" s="124">
        <f t="shared" si="6"/>
        <v>33</v>
      </c>
      <c r="E77" s="196">
        <f t="shared" si="10"/>
        <v>10</v>
      </c>
      <c r="F77" s="126">
        <f t="shared" si="7"/>
        <v>1</v>
      </c>
      <c r="G77" s="118">
        <f t="shared" si="8"/>
        <v>330</v>
      </c>
      <c r="H77" s="119">
        <f t="shared" si="9"/>
        <v>330</v>
      </c>
    </row>
    <row r="78" spans="1:10" ht="14.25" customHeight="1" x14ac:dyDescent="0.3">
      <c r="A78" s="127" t="s">
        <v>13</v>
      </c>
      <c r="B78" s="293" t="str">
        <f t="shared" si="6"/>
        <v>Garlic - ثوم مقشر</v>
      </c>
      <c r="C78" s="123" t="str">
        <f t="shared" si="6"/>
        <v>gm</v>
      </c>
      <c r="D78" s="124">
        <f t="shared" si="6"/>
        <v>25</v>
      </c>
      <c r="E78" s="196">
        <f t="shared" si="10"/>
        <v>10</v>
      </c>
      <c r="F78" s="126">
        <f t="shared" si="7"/>
        <v>1</v>
      </c>
      <c r="G78" s="118">
        <f t="shared" si="8"/>
        <v>250</v>
      </c>
      <c r="H78" s="119">
        <f t="shared" si="9"/>
        <v>250</v>
      </c>
    </row>
    <row r="79" spans="1:10" ht="14.25" customHeight="1" x14ac:dyDescent="0.3">
      <c r="A79" s="127" t="s">
        <v>192</v>
      </c>
      <c r="B79" s="293" t="str">
        <f t="shared" si="6"/>
        <v>Sriracha Sauce - صوص سريراتشا</v>
      </c>
      <c r="C79" s="123" t="str">
        <f t="shared" si="6"/>
        <v>ml</v>
      </c>
      <c r="D79" s="124">
        <f t="shared" si="6"/>
        <v>20</v>
      </c>
      <c r="E79" s="196">
        <f t="shared" si="10"/>
        <v>10</v>
      </c>
      <c r="F79" s="126">
        <f t="shared" si="7"/>
        <v>1</v>
      </c>
      <c r="G79" s="118">
        <f t="shared" si="8"/>
        <v>200</v>
      </c>
      <c r="H79" s="119">
        <f t="shared" si="9"/>
        <v>200</v>
      </c>
    </row>
    <row r="80" spans="1:10" ht="20.25" customHeight="1" x14ac:dyDescent="0.4">
      <c r="A80" s="127" t="s">
        <v>192</v>
      </c>
      <c r="B80" s="293" t="str">
        <f t="shared" si="6"/>
        <v>Flour - دقيق</v>
      </c>
      <c r="C80" s="123" t="str">
        <f t="shared" si="6"/>
        <v>gm</v>
      </c>
      <c r="D80" s="124">
        <f t="shared" si="6"/>
        <v>40</v>
      </c>
      <c r="E80" s="196">
        <f t="shared" si="10"/>
        <v>10</v>
      </c>
      <c r="F80" s="126">
        <f t="shared" si="7"/>
        <v>1</v>
      </c>
      <c r="G80" s="118">
        <f>D80*E80</f>
        <v>400</v>
      </c>
      <c r="H80" s="119">
        <f>G80*F80</f>
        <v>400</v>
      </c>
      <c r="I80" s="203"/>
      <c r="J80" s="202"/>
    </row>
    <row r="81" spans="1:8" ht="18" x14ac:dyDescent="0.3">
      <c r="A81" s="210"/>
      <c r="B81" s="197" t="s">
        <v>291</v>
      </c>
      <c r="C81" s="199" t="s">
        <v>277</v>
      </c>
      <c r="E81" s="199" t="s">
        <v>292</v>
      </c>
      <c r="G81" s="878" t="s">
        <v>268</v>
      </c>
      <c r="H81" s="878" t="s">
        <v>703</v>
      </c>
    </row>
    <row r="82" spans="1:8" ht="20" x14ac:dyDescent="0.4">
      <c r="A82" s="210"/>
      <c r="B82" s="198">
        <f>$J$53</f>
        <v>18162</v>
      </c>
      <c r="C82" s="198">
        <f>E82+G82</f>
        <v>10000</v>
      </c>
      <c r="D82" s="915"/>
      <c r="E82" s="198">
        <f>$D$53*$S$44</f>
        <v>10000</v>
      </c>
      <c r="F82" s="919"/>
      <c r="G82" s="198">
        <f>$D$53*$T$44</f>
        <v>0</v>
      </c>
      <c r="H82" s="198">
        <f>B82+E82</f>
        <v>28162</v>
      </c>
    </row>
    <row r="84" spans="1:8" x14ac:dyDescent="0.3">
      <c r="A84" s="922"/>
      <c r="B84" s="1438" t="str">
        <f>" صوص لحم المسقعة 2 / " &amp; COUNTIF($C$53:$C$55, "&gt;0")</f>
        <v xml:space="preserve"> صوص لحم المسقعة 2 / 2</v>
      </c>
      <c r="C84" s="1439"/>
      <c r="D84" s="1439"/>
      <c r="E84" s="1439"/>
      <c r="F84" s="1439"/>
      <c r="G84" s="1439"/>
      <c r="H84" s="1439"/>
    </row>
    <row r="85" spans="1:8" x14ac:dyDescent="0.3">
      <c r="A85" s="922"/>
      <c r="B85" s="1436" t="str">
        <f>" Sauce of Moussaka Meet 2 / " &amp; COUNTIF($C$53:$C$55, "&gt;0")</f>
        <v xml:space="preserve"> Sauce of Moussaka Meet 2 / 2</v>
      </c>
      <c r="C85" s="1437"/>
      <c r="D85" s="1437"/>
      <c r="E85" s="1437"/>
      <c r="F85" s="1437"/>
      <c r="G85" s="1437"/>
      <c r="H85" s="1437"/>
    </row>
    <row r="86" spans="1:8" ht="45" customHeight="1" x14ac:dyDescent="0.25">
      <c r="A86" s="242"/>
      <c r="B86" s="242" t="s">
        <v>245</v>
      </c>
      <c r="C86" s="243" t="s">
        <v>246</v>
      </c>
      <c r="D86" s="244" t="s">
        <v>235</v>
      </c>
      <c r="E86" s="217" t="s">
        <v>238</v>
      </c>
      <c r="F86" s="217" t="s">
        <v>247</v>
      </c>
      <c r="G86" s="244" t="s">
        <v>248</v>
      </c>
      <c r="H86" s="217" t="s">
        <v>249</v>
      </c>
    </row>
    <row r="87" spans="1:8" x14ac:dyDescent="0.3">
      <c r="A87" s="127" t="s">
        <v>225</v>
      </c>
      <c r="B87" s="293" t="str">
        <f t="shared" ref="B87:D101" si="11">B5</f>
        <v>Indian Meat Tammam Mafroom - مفروم هندى</v>
      </c>
      <c r="C87" s="293" t="str">
        <f t="shared" si="11"/>
        <v>gm</v>
      </c>
      <c r="D87" s="495">
        <f t="shared" si="11"/>
        <v>2751.8181818181815</v>
      </c>
      <c r="E87" s="196">
        <f>$H$54</f>
        <v>1.5861472855412391</v>
      </c>
      <c r="F87" s="126">
        <f>F5</f>
        <v>1</v>
      </c>
      <c r="G87" s="118">
        <f t="shared" ref="G87:G100" si="12">D87*E87</f>
        <v>4364.7889393939367</v>
      </c>
      <c r="H87" s="119">
        <f t="shared" ref="H87:H100" si="13">G87*F87</f>
        <v>4364.7889393939367</v>
      </c>
    </row>
    <row r="88" spans="1:8" x14ac:dyDescent="0.3">
      <c r="A88" s="127" t="s">
        <v>13</v>
      </c>
      <c r="B88" s="293" t="str">
        <f t="shared" si="11"/>
        <v>Onion - بصل</v>
      </c>
      <c r="C88" s="293" t="str">
        <f t="shared" si="11"/>
        <v>gm</v>
      </c>
      <c r="D88" s="293">
        <f t="shared" si="11"/>
        <v>416</v>
      </c>
      <c r="E88" s="196">
        <f t="shared" ref="E88:E101" si="14">$C$54</f>
        <v>1.5872392999999985</v>
      </c>
      <c r="F88" s="126">
        <f t="shared" ref="F88:F101" si="15">F6</f>
        <v>1</v>
      </c>
      <c r="G88" s="118">
        <f t="shared" si="12"/>
        <v>660.29154879999942</v>
      </c>
      <c r="H88" s="119">
        <f t="shared" si="13"/>
        <v>660.29154879999942</v>
      </c>
    </row>
    <row r="89" spans="1:8" x14ac:dyDescent="0.3">
      <c r="A89" s="127" t="s">
        <v>154</v>
      </c>
      <c r="B89" s="293" t="str">
        <f t="shared" si="11"/>
        <v>Butter - زبدة</v>
      </c>
      <c r="C89" s="293" t="str">
        <f t="shared" si="11"/>
        <v>gm</v>
      </c>
      <c r="D89" s="293">
        <f t="shared" si="11"/>
        <v>25</v>
      </c>
      <c r="E89" s="196">
        <f t="shared" si="14"/>
        <v>1.5872392999999985</v>
      </c>
      <c r="F89" s="126">
        <f t="shared" si="15"/>
        <v>1</v>
      </c>
      <c r="G89" s="118">
        <f t="shared" si="12"/>
        <v>39.680982499999963</v>
      </c>
      <c r="H89" s="119">
        <f t="shared" si="13"/>
        <v>39.680982499999963</v>
      </c>
    </row>
    <row r="90" spans="1:8" x14ac:dyDescent="0.3">
      <c r="A90" s="127" t="s">
        <v>13</v>
      </c>
      <c r="B90" s="293" t="str">
        <f t="shared" si="11"/>
        <v>Tomato - طماطم</v>
      </c>
      <c r="C90" s="293" t="str">
        <f t="shared" si="11"/>
        <v>gm</v>
      </c>
      <c r="D90" s="293">
        <f t="shared" si="11"/>
        <v>416</v>
      </c>
      <c r="E90" s="196">
        <f t="shared" si="14"/>
        <v>1.5872392999999985</v>
      </c>
      <c r="F90" s="126">
        <f t="shared" si="15"/>
        <v>1</v>
      </c>
      <c r="G90" s="118">
        <f t="shared" si="12"/>
        <v>660.29154879999942</v>
      </c>
      <c r="H90" s="119">
        <f t="shared" si="13"/>
        <v>660.29154879999942</v>
      </c>
    </row>
    <row r="91" spans="1:8" x14ac:dyDescent="0.3">
      <c r="A91" s="127" t="s">
        <v>95</v>
      </c>
      <c r="B91" s="293" t="str">
        <f t="shared" si="11"/>
        <v>Cumin Powder - كمون مطحون</v>
      </c>
      <c r="C91" s="293" t="str">
        <f t="shared" si="11"/>
        <v>gm</v>
      </c>
      <c r="D91" s="293">
        <f t="shared" si="11"/>
        <v>8</v>
      </c>
      <c r="E91" s="196">
        <f t="shared" si="14"/>
        <v>1.5872392999999985</v>
      </c>
      <c r="F91" s="126">
        <f t="shared" si="15"/>
        <v>1</v>
      </c>
      <c r="G91" s="118">
        <f t="shared" si="12"/>
        <v>12.697914399999988</v>
      </c>
      <c r="H91" s="119">
        <f t="shared" si="13"/>
        <v>12.697914399999988</v>
      </c>
    </row>
    <row r="92" spans="1:8" x14ac:dyDescent="0.3">
      <c r="A92" s="127" t="s">
        <v>95</v>
      </c>
      <c r="B92" s="293" t="str">
        <f t="shared" si="11"/>
        <v>Coriander Powder - كزبرة مطحونة</v>
      </c>
      <c r="C92" s="293" t="str">
        <f t="shared" si="11"/>
        <v>gm</v>
      </c>
      <c r="D92" s="293">
        <f t="shared" si="11"/>
        <v>16</v>
      </c>
      <c r="E92" s="196">
        <f t="shared" si="14"/>
        <v>1.5872392999999985</v>
      </c>
      <c r="F92" s="126">
        <f t="shared" si="15"/>
        <v>1</v>
      </c>
      <c r="G92" s="118">
        <f t="shared" si="12"/>
        <v>25.395828799999975</v>
      </c>
      <c r="H92" s="119">
        <f t="shared" si="13"/>
        <v>25.395828799999975</v>
      </c>
    </row>
    <row r="93" spans="1:8" x14ac:dyDescent="0.3">
      <c r="A93" s="127" t="s">
        <v>95</v>
      </c>
      <c r="B93" s="293" t="str">
        <f t="shared" si="11"/>
        <v>Cinnamon Powder - قرفة مطحونة</v>
      </c>
      <c r="C93" s="293" t="str">
        <f t="shared" si="11"/>
        <v>gm</v>
      </c>
      <c r="D93" s="293">
        <f t="shared" si="11"/>
        <v>8</v>
      </c>
      <c r="E93" s="196">
        <f t="shared" si="14"/>
        <v>1.5872392999999985</v>
      </c>
      <c r="F93" s="126">
        <f t="shared" si="15"/>
        <v>1</v>
      </c>
      <c r="G93" s="118">
        <f t="shared" si="12"/>
        <v>12.697914399999988</v>
      </c>
      <c r="H93" s="119">
        <f t="shared" si="13"/>
        <v>12.697914399999988</v>
      </c>
    </row>
    <row r="94" spans="1:8" x14ac:dyDescent="0.3">
      <c r="A94" s="127" t="s">
        <v>95</v>
      </c>
      <c r="B94" s="293" t="str">
        <f t="shared" si="11"/>
        <v>Black Pepper Powder - فلفل أسود مطحون</v>
      </c>
      <c r="C94" s="293" t="str">
        <f t="shared" si="11"/>
        <v>gm</v>
      </c>
      <c r="D94" s="293">
        <f t="shared" si="11"/>
        <v>10</v>
      </c>
      <c r="E94" s="196">
        <f t="shared" si="14"/>
        <v>1.5872392999999985</v>
      </c>
      <c r="F94" s="126">
        <f t="shared" si="15"/>
        <v>1</v>
      </c>
      <c r="G94" s="118">
        <f t="shared" si="12"/>
        <v>15.872392999999985</v>
      </c>
      <c r="H94" s="119">
        <f t="shared" si="13"/>
        <v>15.872392999999985</v>
      </c>
    </row>
    <row r="95" spans="1:8" x14ac:dyDescent="0.3">
      <c r="A95" s="127" t="s">
        <v>192</v>
      </c>
      <c r="B95" s="293" t="str">
        <f t="shared" si="11"/>
        <v>Tomato Paste - صلصة طماطم</v>
      </c>
      <c r="C95" s="293" t="str">
        <f t="shared" si="11"/>
        <v>gm</v>
      </c>
      <c r="D95" s="293">
        <f t="shared" si="11"/>
        <v>900</v>
      </c>
      <c r="E95" s="196">
        <f t="shared" si="14"/>
        <v>1.5872392999999985</v>
      </c>
      <c r="F95" s="126">
        <f t="shared" si="15"/>
        <v>1</v>
      </c>
      <c r="G95" s="118">
        <f t="shared" si="12"/>
        <v>1428.5153699999987</v>
      </c>
      <c r="H95" s="119">
        <f t="shared" si="13"/>
        <v>1428.5153699999987</v>
      </c>
    </row>
    <row r="96" spans="1:8" x14ac:dyDescent="0.3">
      <c r="A96" s="127" t="s">
        <v>95</v>
      </c>
      <c r="B96" s="293" t="str">
        <f t="shared" si="11"/>
        <v>Salt - ملح</v>
      </c>
      <c r="C96" s="293" t="str">
        <f t="shared" si="11"/>
        <v>gm</v>
      </c>
      <c r="D96" s="293">
        <f t="shared" si="11"/>
        <v>11</v>
      </c>
      <c r="E96" s="196">
        <f t="shared" si="14"/>
        <v>1.5872392999999985</v>
      </c>
      <c r="F96" s="126">
        <f t="shared" si="15"/>
        <v>0.75</v>
      </c>
      <c r="G96" s="118">
        <f t="shared" si="12"/>
        <v>17.459632299999981</v>
      </c>
      <c r="H96" s="119">
        <f t="shared" si="13"/>
        <v>13.094724224999986</v>
      </c>
    </row>
    <row r="97" spans="1:8" x14ac:dyDescent="0.3">
      <c r="A97" s="127" t="s">
        <v>95</v>
      </c>
      <c r="B97" s="293" t="str">
        <f t="shared" si="11"/>
        <v>Maggi Cubes - مكعبات ماجي</v>
      </c>
      <c r="C97" s="293" t="str">
        <f t="shared" si="11"/>
        <v>gm</v>
      </c>
      <c r="D97" s="293">
        <f t="shared" si="11"/>
        <v>20</v>
      </c>
      <c r="E97" s="196">
        <f t="shared" si="14"/>
        <v>1.5872392999999985</v>
      </c>
      <c r="F97" s="126">
        <f t="shared" si="15"/>
        <v>1</v>
      </c>
      <c r="G97" s="118">
        <f t="shared" si="12"/>
        <v>31.744785999999969</v>
      </c>
      <c r="H97" s="119">
        <f t="shared" si="13"/>
        <v>31.744785999999969</v>
      </c>
    </row>
    <row r="98" spans="1:8" x14ac:dyDescent="0.3">
      <c r="A98" s="127" t="s">
        <v>206</v>
      </c>
      <c r="B98" s="293" t="str">
        <f t="shared" si="11"/>
        <v>Vinegar - خل</v>
      </c>
      <c r="C98" s="293" t="str">
        <f t="shared" si="11"/>
        <v>ml</v>
      </c>
      <c r="D98" s="293">
        <f t="shared" si="11"/>
        <v>33</v>
      </c>
      <c r="E98" s="196">
        <f t="shared" si="14"/>
        <v>1.5872392999999985</v>
      </c>
      <c r="F98" s="126">
        <f t="shared" si="15"/>
        <v>1</v>
      </c>
      <c r="G98" s="118">
        <f t="shared" si="12"/>
        <v>52.378896899999951</v>
      </c>
      <c r="H98" s="119">
        <f t="shared" si="13"/>
        <v>52.378896899999951</v>
      </c>
    </row>
    <row r="99" spans="1:8" x14ac:dyDescent="0.3">
      <c r="A99" s="127" t="s">
        <v>13</v>
      </c>
      <c r="B99" s="293" t="str">
        <f t="shared" si="11"/>
        <v>Garlic - ثوم مقشر</v>
      </c>
      <c r="C99" s="293" t="str">
        <f t="shared" si="11"/>
        <v>gm</v>
      </c>
      <c r="D99" s="293">
        <f t="shared" si="11"/>
        <v>25</v>
      </c>
      <c r="E99" s="196">
        <f t="shared" si="14"/>
        <v>1.5872392999999985</v>
      </c>
      <c r="F99" s="126">
        <f t="shared" si="15"/>
        <v>1</v>
      </c>
      <c r="G99" s="118">
        <f t="shared" si="12"/>
        <v>39.680982499999963</v>
      </c>
      <c r="H99" s="119">
        <f t="shared" si="13"/>
        <v>39.680982499999963</v>
      </c>
    </row>
    <row r="100" spans="1:8" x14ac:dyDescent="0.3">
      <c r="A100" s="127" t="s">
        <v>192</v>
      </c>
      <c r="B100" s="293" t="str">
        <f t="shared" si="11"/>
        <v>Sriracha Sauce - صوص سريراتشا</v>
      </c>
      <c r="C100" s="293" t="str">
        <f t="shared" si="11"/>
        <v>ml</v>
      </c>
      <c r="D100" s="293">
        <f t="shared" si="11"/>
        <v>20</v>
      </c>
      <c r="E100" s="196">
        <f t="shared" si="14"/>
        <v>1.5872392999999985</v>
      </c>
      <c r="F100" s="126">
        <f t="shared" si="15"/>
        <v>1</v>
      </c>
      <c r="G100" s="118">
        <f t="shared" si="12"/>
        <v>31.744785999999969</v>
      </c>
      <c r="H100" s="119">
        <f t="shared" si="13"/>
        <v>31.744785999999969</v>
      </c>
    </row>
    <row r="101" spans="1:8" x14ac:dyDescent="0.3">
      <c r="A101" s="127" t="s">
        <v>192</v>
      </c>
      <c r="B101" s="293" t="str">
        <f t="shared" si="11"/>
        <v>Flour - دقيق</v>
      </c>
      <c r="C101" s="293" t="str">
        <f t="shared" si="11"/>
        <v>gm</v>
      </c>
      <c r="D101" s="293">
        <f t="shared" si="11"/>
        <v>40</v>
      </c>
      <c r="E101" s="196">
        <f t="shared" si="14"/>
        <v>1.5872392999999985</v>
      </c>
      <c r="F101" s="126">
        <f t="shared" si="15"/>
        <v>1</v>
      </c>
      <c r="G101" s="118">
        <f>D101*E101</f>
        <v>63.489571999999939</v>
      </c>
      <c r="H101" s="119">
        <f>G101*F101</f>
        <v>63.489571999999939</v>
      </c>
    </row>
    <row r="102" spans="1:8" ht="18" x14ac:dyDescent="0.3">
      <c r="A102" s="210"/>
      <c r="B102" s="197" t="s">
        <v>291</v>
      </c>
      <c r="C102" s="199" t="s">
        <v>277</v>
      </c>
      <c r="E102" s="199" t="s">
        <v>292</v>
      </c>
      <c r="G102" s="878" t="s">
        <v>268</v>
      </c>
      <c r="H102" s="878" t="s">
        <v>703</v>
      </c>
    </row>
    <row r="103" spans="1:8" ht="20" x14ac:dyDescent="0.4">
      <c r="A103" s="210"/>
      <c r="B103" s="198">
        <f>$J$54</f>
        <v>2880.7606999999989</v>
      </c>
      <c r="C103" s="198">
        <f>E103+G103</f>
        <v>1587.2392999999984</v>
      </c>
      <c r="D103" s="915"/>
      <c r="E103" s="198">
        <f>$D$54*$S$44</f>
        <v>1587.2392999999984</v>
      </c>
      <c r="F103" s="919"/>
      <c r="G103" s="198">
        <f>$D$54*$T$44</f>
        <v>0</v>
      </c>
      <c r="H103" s="198">
        <f>B103+E103</f>
        <v>4467.9999999999973</v>
      </c>
    </row>
  </sheetData>
  <mergeCells count="9">
    <mergeCell ref="B84:H84"/>
    <mergeCell ref="B85:H85"/>
    <mergeCell ref="AE2:AG3"/>
    <mergeCell ref="R26:U26"/>
    <mergeCell ref="R25:U25"/>
    <mergeCell ref="B64:H64"/>
    <mergeCell ref="B2:K3"/>
    <mergeCell ref="B63:H63"/>
    <mergeCell ref="B35:F35"/>
  </mergeCells>
  <printOptions horizontalCentered="1"/>
  <pageMargins left="0.5" right="0.5" top="1" bottom="0.5" header="0.3" footer="0.511811023622047"/>
  <pageSetup paperSize="9" scale="28" orientation="portrait" r:id="rId1"/>
  <legacyDrawing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7" tint="-0.249977111117893"/>
    <pageSetUpPr fitToPage="1"/>
  </sheetPr>
  <dimension ref="A1:AG116"/>
  <sheetViews>
    <sheetView topLeftCell="A30" zoomScale="55" zoomScaleNormal="55" workbookViewId="0">
      <selection activeCell="I78" sqref="I78"/>
    </sheetView>
  </sheetViews>
  <sheetFormatPr defaultColWidth="32.83203125" defaultRowHeight="14" x14ac:dyDescent="0.3"/>
  <cols>
    <col min="1" max="1" width="14.9140625" style="78" customWidth="1"/>
    <col min="2" max="2" width="32.83203125" style="14" customWidth="1"/>
    <col min="3" max="3" width="17.25" style="14" customWidth="1"/>
    <col min="4" max="4" width="11.5" style="14" customWidth="1"/>
    <col min="5" max="5" width="14.33203125" style="14" customWidth="1"/>
    <col min="6" max="6" width="15.4140625" style="14" customWidth="1"/>
    <col min="7" max="7" width="18" style="14" customWidth="1"/>
    <col min="8" max="8" width="27.58203125" style="14" customWidth="1"/>
    <col min="9" max="9" width="16.9140625" style="14" customWidth="1"/>
    <col min="10" max="10" width="11" style="14" customWidth="1"/>
    <col min="11" max="11" width="14.58203125" style="14" customWidth="1"/>
    <col min="12" max="12" width="10.33203125" style="14" customWidth="1"/>
    <col min="13" max="14" width="4.5" style="14" customWidth="1"/>
    <col min="15" max="15" width="15.6640625" style="14" customWidth="1"/>
    <col min="16" max="16" width="10.9140625" style="14" customWidth="1"/>
    <col min="17" max="17" width="18.6640625" style="14" customWidth="1"/>
    <col min="18" max="18" width="32.83203125" style="14" customWidth="1"/>
    <col min="19" max="20" width="12.4140625" style="14" customWidth="1"/>
    <col min="21" max="21" width="10.33203125" style="14" customWidth="1"/>
    <col min="22" max="22" width="11" style="14" customWidth="1"/>
    <col min="23" max="23" width="16.1640625" style="14" customWidth="1"/>
    <col min="24" max="24" width="10.5" style="14" customWidth="1"/>
    <col min="25" max="25" width="11.1640625" style="14" customWidth="1"/>
    <col min="26" max="26" width="12.5" style="14" customWidth="1"/>
    <col min="27" max="27" width="10.9140625" style="14" customWidth="1"/>
    <col min="28" max="28" width="11.58203125" style="14" bestFit="1" customWidth="1"/>
    <col min="29" max="29" width="10.08203125" style="14" bestFit="1" customWidth="1"/>
    <col min="30" max="30" width="11" style="14" bestFit="1" customWidth="1"/>
    <col min="31" max="16384" width="32.83203125" style="14"/>
  </cols>
  <sheetData>
    <row r="1" spans="1:33" ht="32.25" customHeight="1" x14ac:dyDescent="0.3">
      <c r="B1" s="79" t="s">
        <v>235</v>
      </c>
      <c r="C1" s="80">
        <v>1000</v>
      </c>
      <c r="D1" s="81" t="s">
        <v>236</v>
      </c>
      <c r="E1" s="116">
        <f>T32</f>
        <v>12562.710999999999</v>
      </c>
      <c r="F1" s="79" t="s">
        <v>237</v>
      </c>
      <c r="G1" s="80">
        <f>E1/C1</f>
        <v>12.562711</v>
      </c>
      <c r="H1" s="79" t="s">
        <v>238</v>
      </c>
      <c r="I1" s="248">
        <f>(G1/K1)</f>
        <v>12.951248453608248</v>
      </c>
      <c r="J1" s="85" t="s">
        <v>239</v>
      </c>
      <c r="K1" s="80">
        <v>0.97</v>
      </c>
      <c r="L1" s="99"/>
      <c r="M1" s="88"/>
      <c r="N1" s="89"/>
      <c r="O1" s="90" t="s">
        <v>240</v>
      </c>
      <c r="P1" s="91" t="s">
        <v>293</v>
      </c>
      <c r="Q1" s="92" t="s">
        <v>242</v>
      </c>
      <c r="R1" s="91">
        <v>0.49</v>
      </c>
      <c r="Y1" s="90" t="s">
        <v>463</v>
      </c>
      <c r="Z1" s="835">
        <v>38430</v>
      </c>
      <c r="AA1" s="90" t="s">
        <v>578</v>
      </c>
      <c r="AB1" s="835">
        <v>500</v>
      </c>
      <c r="AC1" s="90" t="s">
        <v>567</v>
      </c>
      <c r="AD1" s="835">
        <v>268</v>
      </c>
    </row>
    <row r="2" spans="1:33" ht="15.75" customHeight="1" x14ac:dyDescent="0.3">
      <c r="A2" s="96"/>
      <c r="B2" s="1449" t="s">
        <v>393</v>
      </c>
      <c r="C2" s="1466"/>
      <c r="D2" s="1466"/>
      <c r="E2" s="1466"/>
      <c r="F2" s="1466"/>
      <c r="G2" s="1466"/>
      <c r="H2" s="1466"/>
      <c r="I2" s="97"/>
      <c r="J2" s="97"/>
      <c r="K2" s="291"/>
      <c r="L2" s="292"/>
      <c r="M2" s="99"/>
      <c r="N2" s="99"/>
      <c r="O2" s="99"/>
      <c r="P2" s="99"/>
      <c r="Q2" s="99"/>
      <c r="R2" s="99"/>
      <c r="AE2" s="1452"/>
      <c r="AF2" s="1460"/>
      <c r="AG2" s="1460"/>
    </row>
    <row r="3" spans="1:33" ht="15.75" customHeight="1" x14ac:dyDescent="0.3">
      <c r="A3" s="96"/>
      <c r="B3" s="102"/>
      <c r="C3" s="102"/>
      <c r="D3" s="102"/>
      <c r="E3" s="102"/>
      <c r="F3" s="102"/>
      <c r="G3" s="102"/>
      <c r="H3" s="102"/>
      <c r="I3" s="102"/>
      <c r="J3" s="102"/>
      <c r="K3" s="291"/>
      <c r="L3" s="292"/>
      <c r="M3" s="99"/>
      <c r="N3" s="99"/>
      <c r="O3" s="99"/>
      <c r="P3" s="99"/>
      <c r="Q3" s="99"/>
      <c r="R3" s="99"/>
      <c r="AE3" s="1460"/>
      <c r="AF3" s="1460"/>
      <c r="AG3" s="1460"/>
    </row>
    <row r="4" spans="1:33" ht="35.25" customHeight="1" x14ac:dyDescent="0.25">
      <c r="A4" s="90" t="s">
        <v>1</v>
      </c>
      <c r="B4" s="90" t="s">
        <v>245</v>
      </c>
      <c r="C4" s="106" t="s">
        <v>246</v>
      </c>
      <c r="D4" s="90" t="s">
        <v>235</v>
      </c>
      <c r="E4" s="107" t="s">
        <v>238</v>
      </c>
      <c r="F4" s="107" t="s">
        <v>247</v>
      </c>
      <c r="G4" s="90" t="s">
        <v>248</v>
      </c>
      <c r="H4" s="330" t="s">
        <v>339</v>
      </c>
      <c r="I4" s="90" t="s">
        <v>250</v>
      </c>
      <c r="J4" s="90" t="s">
        <v>251</v>
      </c>
      <c r="K4" s="90" t="s">
        <v>252</v>
      </c>
      <c r="L4" s="90" t="s">
        <v>253</v>
      </c>
      <c r="M4" s="99"/>
      <c r="N4" s="99"/>
      <c r="O4" s="99"/>
      <c r="P4" s="99"/>
    </row>
    <row r="5" spans="1:33" ht="14.25" customHeight="1" x14ac:dyDescent="0.25">
      <c r="A5" s="265" t="s">
        <v>225</v>
      </c>
      <c r="B5" s="219" t="s">
        <v>227</v>
      </c>
      <c r="C5" s="114" t="s">
        <v>14</v>
      </c>
      <c r="D5" s="120">
        <f>I51/10</f>
        <v>4283.6734693877552</v>
      </c>
      <c r="E5" s="84">
        <f>H52</f>
        <v>12.561833730347784</v>
      </c>
      <c r="F5" s="298">
        <v>1</v>
      </c>
      <c r="G5" s="118">
        <f t="shared" ref="G5:G26" si="0">D5*E5</f>
        <v>53810.793877551019</v>
      </c>
      <c r="H5" s="119">
        <f t="shared" ref="H5:H26" si="1">G5*F5</f>
        <v>53810.793877551019</v>
      </c>
      <c r="I5" s="80">
        <f>VLOOKUP(B5,All_Ingredients!$A$1:$F$149,6,FALSE())</f>
        <v>0.55000000000000004</v>
      </c>
      <c r="J5" s="118">
        <f>VLOOKUP(B5,All_Ingredients!$A$1:$J$149,10,FALSE())</f>
        <v>14.361111111111111</v>
      </c>
      <c r="K5" s="121">
        <f t="shared" ref="K5" si="2">(H5/I5)/1000</f>
        <v>97.837807050092763</v>
      </c>
      <c r="L5" s="121">
        <f t="shared" ref="L5" si="3">K5*J5</f>
        <v>1405.0596179138322</v>
      </c>
      <c r="M5" s="99"/>
      <c r="N5" s="99"/>
      <c r="O5" s="99"/>
      <c r="P5" s="99"/>
    </row>
    <row r="6" spans="1:33" ht="14.25" customHeight="1" x14ac:dyDescent="0.3">
      <c r="A6" s="127" t="s">
        <v>13</v>
      </c>
      <c r="B6" s="266" t="s">
        <v>12</v>
      </c>
      <c r="C6" s="114" t="s">
        <v>14</v>
      </c>
      <c r="D6" s="124">
        <v>50</v>
      </c>
      <c r="E6" s="196">
        <f t="shared" ref="E6:E26" si="4">$I$1</f>
        <v>12.951248453608248</v>
      </c>
      <c r="F6" s="298">
        <v>0.95</v>
      </c>
      <c r="G6" s="118">
        <f t="shared" si="0"/>
        <v>647.5624226804124</v>
      </c>
      <c r="H6" s="119">
        <f t="shared" si="1"/>
        <v>615.18430154639179</v>
      </c>
      <c r="I6" s="80">
        <f>VLOOKUP(B6,All_Ingredients!$A$1:$F$149,6,FALSE())</f>
        <v>0.9</v>
      </c>
      <c r="J6" s="118">
        <f>VLOOKUP(B6,All_Ingredients!$A$1:$J$149,10,FALSE())</f>
        <v>3</v>
      </c>
      <c r="K6" s="121">
        <f t="shared" ref="K6:K26" si="5">(H6/I6)/1000</f>
        <v>0.6835381128293242</v>
      </c>
      <c r="L6" s="121">
        <f t="shared" ref="L6:L26" si="6">K6*J6</f>
        <v>2.0506143384879727</v>
      </c>
    </row>
    <row r="7" spans="1:33" ht="14.25" customHeight="1" x14ac:dyDescent="0.3">
      <c r="A7" s="127" t="s">
        <v>13</v>
      </c>
      <c r="B7" s="266" t="s">
        <v>762</v>
      </c>
      <c r="C7" s="114" t="s">
        <v>14</v>
      </c>
      <c r="D7" s="124">
        <v>10</v>
      </c>
      <c r="E7" s="196">
        <f t="shared" si="4"/>
        <v>12.951248453608248</v>
      </c>
      <c r="F7" s="298">
        <v>1</v>
      </c>
      <c r="G7" s="118">
        <f t="shared" si="0"/>
        <v>129.51248453608247</v>
      </c>
      <c r="H7" s="119">
        <f t="shared" si="1"/>
        <v>129.51248453608247</v>
      </c>
      <c r="I7" s="80">
        <f>VLOOKUP(B7,All_Ingredients!$A$1:$F$149,6,FALSE())</f>
        <v>1</v>
      </c>
      <c r="J7" s="118">
        <f>VLOOKUP(B7,All_Ingredients!$A$1:$J$149,10,FALSE())</f>
        <v>10.5</v>
      </c>
      <c r="K7" s="121">
        <f t="shared" si="5"/>
        <v>0.12951248453608247</v>
      </c>
      <c r="L7" s="121">
        <f t="shared" si="6"/>
        <v>1.3598810876288658</v>
      </c>
    </row>
    <row r="8" spans="1:33" ht="14.25" customHeight="1" x14ac:dyDescent="0.3">
      <c r="A8" s="127" t="s">
        <v>192</v>
      </c>
      <c r="B8" s="266" t="s">
        <v>202</v>
      </c>
      <c r="C8" s="114" t="s">
        <v>14</v>
      </c>
      <c r="D8" s="272">
        <v>25</v>
      </c>
      <c r="E8" s="196">
        <f t="shared" si="4"/>
        <v>12.951248453608248</v>
      </c>
      <c r="F8" s="298">
        <v>0.9</v>
      </c>
      <c r="G8" s="118">
        <f t="shared" si="0"/>
        <v>323.7812113402062</v>
      </c>
      <c r="H8" s="119">
        <f t="shared" si="1"/>
        <v>291.4030902061856</v>
      </c>
      <c r="I8" s="80">
        <f>VLOOKUP(B8,All_Ingredients!$A$1:$F$149,6,FALSE())</f>
        <v>1</v>
      </c>
      <c r="J8" s="118">
        <f>VLOOKUP(B8,All_Ingredients!$A$1:$J$149,10,FALSE())</f>
        <v>63.333333333333336</v>
      </c>
      <c r="K8" s="121">
        <f t="shared" si="5"/>
        <v>0.2914030902061856</v>
      </c>
      <c r="L8" s="121">
        <f t="shared" si="6"/>
        <v>18.455529046391757</v>
      </c>
    </row>
    <row r="9" spans="1:33" ht="14.25" customHeight="1" x14ac:dyDescent="0.3">
      <c r="A9" s="127" t="s">
        <v>154</v>
      </c>
      <c r="B9" s="266" t="s">
        <v>167</v>
      </c>
      <c r="C9" s="114" t="s">
        <v>161</v>
      </c>
      <c r="D9" s="272">
        <v>500</v>
      </c>
      <c r="E9" s="196">
        <f t="shared" si="4"/>
        <v>12.951248453608248</v>
      </c>
      <c r="F9" s="298">
        <v>1</v>
      </c>
      <c r="G9" s="118">
        <f t="shared" si="0"/>
        <v>6475.6242268041242</v>
      </c>
      <c r="H9" s="119">
        <f t="shared" si="1"/>
        <v>6475.6242268041242</v>
      </c>
      <c r="I9" s="80">
        <f>VLOOKUP(B9,All_Ingredients!$A$1:$F$149,6,FALSE())</f>
        <v>1</v>
      </c>
      <c r="J9" s="118">
        <f>VLOOKUP(B9,All_Ingredients!$A$1:$J$149,10,FALSE())</f>
        <v>12.666666666666666</v>
      </c>
      <c r="K9" s="121">
        <f t="shared" si="5"/>
        <v>6.4756242268041238</v>
      </c>
      <c r="L9" s="121">
        <f t="shared" si="6"/>
        <v>82.024573539518897</v>
      </c>
    </row>
    <row r="10" spans="1:33" ht="14.25" customHeight="1" x14ac:dyDescent="0.3">
      <c r="A10" s="127" t="s">
        <v>154</v>
      </c>
      <c r="B10" s="266" t="s">
        <v>153</v>
      </c>
      <c r="C10" s="114" t="s">
        <v>14</v>
      </c>
      <c r="D10" s="124">
        <v>10</v>
      </c>
      <c r="E10" s="196">
        <f t="shared" si="4"/>
        <v>12.951248453608248</v>
      </c>
      <c r="F10" s="298">
        <v>1</v>
      </c>
      <c r="G10" s="118">
        <f t="shared" si="0"/>
        <v>129.51248453608247</v>
      </c>
      <c r="H10" s="119">
        <f t="shared" si="1"/>
        <v>129.51248453608247</v>
      </c>
      <c r="I10" s="80">
        <f>VLOOKUP(B10,All_Ingredients!$A$1:$F$149,6,FALSE())</f>
        <v>1</v>
      </c>
      <c r="J10" s="118">
        <f>VLOOKUP(B10,All_Ingredients!$A$1:$J$149,10,FALSE())</f>
        <v>30</v>
      </c>
      <c r="K10" s="121">
        <f t="shared" si="5"/>
        <v>0.12951248453608247</v>
      </c>
      <c r="L10" s="121">
        <f t="shared" si="6"/>
        <v>3.8853745360824741</v>
      </c>
    </row>
    <row r="11" spans="1:33" ht="14.25" customHeight="1" x14ac:dyDescent="0.3">
      <c r="A11" s="127" t="s">
        <v>95</v>
      </c>
      <c r="B11" s="266" t="s">
        <v>94</v>
      </c>
      <c r="C11" s="114" t="s">
        <v>14</v>
      </c>
      <c r="D11" s="124">
        <v>5</v>
      </c>
      <c r="E11" s="196">
        <f t="shared" si="4"/>
        <v>12.951248453608248</v>
      </c>
      <c r="F11" s="298">
        <v>0.75</v>
      </c>
      <c r="G11" s="118">
        <f t="shared" si="0"/>
        <v>64.756242268041234</v>
      </c>
      <c r="H11" s="119">
        <f t="shared" si="1"/>
        <v>48.567181701030925</v>
      </c>
      <c r="I11" s="80">
        <f>VLOOKUP(B11,All_Ingredients!$A$1:$F$149,6,FALSE())</f>
        <v>1</v>
      </c>
      <c r="J11" s="118">
        <f>VLOOKUP(B11,All_Ingredients!$A$1:$J$149,10,FALSE())</f>
        <v>0.74</v>
      </c>
      <c r="K11" s="121">
        <f t="shared" si="5"/>
        <v>4.8567181701030929E-2</v>
      </c>
      <c r="L11" s="121">
        <f t="shared" si="6"/>
        <v>3.5939714458762886E-2</v>
      </c>
    </row>
    <row r="12" spans="1:33" ht="14.25" customHeight="1" x14ac:dyDescent="0.3">
      <c r="A12" s="127" t="s">
        <v>154</v>
      </c>
      <c r="B12" s="266" t="s">
        <v>160</v>
      </c>
      <c r="C12" s="114" t="s">
        <v>161</v>
      </c>
      <c r="D12" s="272">
        <v>400</v>
      </c>
      <c r="E12" s="196">
        <f t="shared" si="4"/>
        <v>12.951248453608248</v>
      </c>
      <c r="F12" s="298">
        <v>1</v>
      </c>
      <c r="G12" s="118">
        <f t="shared" si="0"/>
        <v>5180.4993814432992</v>
      </c>
      <c r="H12" s="119">
        <f t="shared" si="1"/>
        <v>5180.4993814432992</v>
      </c>
      <c r="I12" s="80">
        <f>VLOOKUP(B12,All_Ingredients!$A$1:$F$149,6,FALSE())</f>
        <v>1</v>
      </c>
      <c r="J12" s="118">
        <f>VLOOKUP(B12,All_Ingredients!$A$1:$J$149,10,FALSE())</f>
        <v>4.2033333333333331</v>
      </c>
      <c r="K12" s="121">
        <f t="shared" si="5"/>
        <v>5.1804993814432994</v>
      </c>
      <c r="L12" s="121">
        <f t="shared" si="6"/>
        <v>21.775365733333334</v>
      </c>
    </row>
    <row r="13" spans="1:33" ht="14.25" customHeight="1" x14ac:dyDescent="0.3">
      <c r="A13" s="127" t="s">
        <v>206</v>
      </c>
      <c r="B13" s="266" t="s">
        <v>205</v>
      </c>
      <c r="C13" s="114" t="s">
        <v>161</v>
      </c>
      <c r="D13" s="124">
        <v>300</v>
      </c>
      <c r="E13" s="196">
        <f t="shared" si="4"/>
        <v>12.951248453608248</v>
      </c>
      <c r="F13" s="298">
        <v>1</v>
      </c>
      <c r="G13" s="118">
        <f t="shared" si="0"/>
        <v>3885.3745360824742</v>
      </c>
      <c r="H13" s="119">
        <f t="shared" si="1"/>
        <v>3885.3745360824742</v>
      </c>
      <c r="I13" s="80">
        <f>VLOOKUP(B13,All_Ingredients!$A$1:$F$149,6,FALSE())</f>
        <v>1</v>
      </c>
      <c r="J13" s="118">
        <f>VLOOKUP(B13,All_Ingredients!$A$1:$J$149,10,FALSE())</f>
        <v>0</v>
      </c>
      <c r="K13" s="121">
        <f t="shared" si="5"/>
        <v>3.8853745360824741</v>
      </c>
      <c r="L13" s="121">
        <f t="shared" si="6"/>
        <v>0</v>
      </c>
    </row>
    <row r="14" spans="1:33" ht="14.25" customHeight="1" x14ac:dyDescent="0.3">
      <c r="A14" s="127" t="s">
        <v>95</v>
      </c>
      <c r="B14" s="266" t="s">
        <v>100</v>
      </c>
      <c r="C14" s="114" t="s">
        <v>14</v>
      </c>
      <c r="D14" s="124">
        <v>2</v>
      </c>
      <c r="E14" s="196">
        <f t="shared" si="4"/>
        <v>12.951248453608248</v>
      </c>
      <c r="F14" s="298">
        <v>0.75</v>
      </c>
      <c r="G14" s="118">
        <f t="shared" si="0"/>
        <v>25.902496907216495</v>
      </c>
      <c r="H14" s="119">
        <f t="shared" si="1"/>
        <v>19.426872680412373</v>
      </c>
      <c r="I14" s="80">
        <f>VLOOKUP(B14,All_Ingredients!$A$1:$F$149,6,FALSE())</f>
        <v>1</v>
      </c>
      <c r="J14" s="118">
        <f>VLOOKUP(B14,All_Ingredients!$A$1:$J$149,10,FALSE())</f>
        <v>31</v>
      </c>
      <c r="K14" s="121">
        <f t="shared" si="5"/>
        <v>1.9426872680412374E-2</v>
      </c>
      <c r="L14" s="121">
        <f t="shared" si="6"/>
        <v>0.60223305309278363</v>
      </c>
    </row>
    <row r="15" spans="1:33" ht="14.25" customHeight="1" x14ac:dyDescent="0.3">
      <c r="A15" s="127" t="s">
        <v>95</v>
      </c>
      <c r="B15" s="266" t="s">
        <v>140</v>
      </c>
      <c r="C15" s="114" t="s">
        <v>14</v>
      </c>
      <c r="D15" s="272">
        <v>10</v>
      </c>
      <c r="E15" s="196">
        <f t="shared" si="4"/>
        <v>12.951248453608248</v>
      </c>
      <c r="F15" s="298">
        <v>0.6</v>
      </c>
      <c r="G15" s="118">
        <f t="shared" si="0"/>
        <v>129.51248453608247</v>
      </c>
      <c r="H15" s="119">
        <f t="shared" si="1"/>
        <v>77.707490721649478</v>
      </c>
      <c r="I15" s="80">
        <f>VLOOKUP(B15,All_Ingredients!$A$1:$F$149,6,FALSE())</f>
        <v>1</v>
      </c>
      <c r="J15" s="118">
        <f>VLOOKUP(B15,All_Ingredients!$A$1:$J$149,10,FALSE())</f>
        <v>15.277777777777779</v>
      </c>
      <c r="K15" s="121">
        <f t="shared" si="5"/>
        <v>7.770749072164948E-2</v>
      </c>
      <c r="L15" s="121">
        <f t="shared" si="6"/>
        <v>1.1871977749140894</v>
      </c>
    </row>
    <row r="16" spans="1:33" ht="14.25" customHeight="1" x14ac:dyDescent="0.3">
      <c r="A16" s="127" t="s">
        <v>215</v>
      </c>
      <c r="B16" s="266" t="s">
        <v>217</v>
      </c>
      <c r="C16" s="114" t="s">
        <v>14</v>
      </c>
      <c r="D16" s="124">
        <v>1</v>
      </c>
      <c r="E16" s="196">
        <f t="shared" si="4"/>
        <v>12.951248453608248</v>
      </c>
      <c r="F16" s="298">
        <v>0.9</v>
      </c>
      <c r="G16" s="118">
        <f t="shared" si="0"/>
        <v>12.951248453608248</v>
      </c>
      <c r="H16" s="119">
        <f t="shared" si="1"/>
        <v>11.656123608247423</v>
      </c>
      <c r="I16" s="80">
        <f>VLOOKUP(B16,All_Ingredients!$A$1:$F$149,6,FALSE())</f>
        <v>1</v>
      </c>
      <c r="J16" s="118">
        <f>VLOOKUP(B16,All_Ingredients!$A$1:$J$149,10,FALSE())</f>
        <v>40</v>
      </c>
      <c r="K16" s="121">
        <f t="shared" si="5"/>
        <v>1.1656123608247424E-2</v>
      </c>
      <c r="L16" s="121">
        <f t="shared" si="6"/>
        <v>0.46624494432989694</v>
      </c>
    </row>
    <row r="17" spans="1:30" ht="14.25" customHeight="1" x14ac:dyDescent="0.3">
      <c r="A17" s="127" t="s">
        <v>95</v>
      </c>
      <c r="B17" s="221" t="s">
        <v>98</v>
      </c>
      <c r="C17" s="114" t="s">
        <v>14</v>
      </c>
      <c r="D17" s="124">
        <v>2</v>
      </c>
      <c r="E17" s="196">
        <f t="shared" si="4"/>
        <v>12.951248453608248</v>
      </c>
      <c r="F17" s="298">
        <v>1</v>
      </c>
      <c r="G17" s="118">
        <f t="shared" si="0"/>
        <v>25.902496907216495</v>
      </c>
      <c r="H17" s="119">
        <f t="shared" si="1"/>
        <v>25.902496907216495</v>
      </c>
      <c r="I17" s="80">
        <f>VLOOKUP(B17,All_Ingredients!$A$1:$F$149,6,FALSE())</f>
        <v>1</v>
      </c>
      <c r="J17" s="118">
        <f>VLOOKUP(B17,All_Ingredients!$A$1:$J$149,10,FALSE())</f>
        <v>38</v>
      </c>
      <c r="K17" s="121">
        <f t="shared" si="5"/>
        <v>2.5902496907216493E-2</v>
      </c>
      <c r="L17" s="121">
        <f t="shared" si="6"/>
        <v>0.98429488247422681</v>
      </c>
    </row>
    <row r="18" spans="1:30" ht="14.25" customHeight="1" x14ac:dyDescent="0.3">
      <c r="A18" s="127" t="s">
        <v>95</v>
      </c>
      <c r="B18" s="221" t="s">
        <v>121</v>
      </c>
      <c r="C18" s="114" t="s">
        <v>14</v>
      </c>
      <c r="D18" s="124">
        <v>2</v>
      </c>
      <c r="E18" s="196">
        <f t="shared" si="4"/>
        <v>12.951248453608248</v>
      </c>
      <c r="F18" s="298">
        <v>1</v>
      </c>
      <c r="G18" s="118">
        <f t="shared" si="0"/>
        <v>25.902496907216495</v>
      </c>
      <c r="H18" s="119">
        <f t="shared" si="1"/>
        <v>25.902496907216495</v>
      </c>
      <c r="I18" s="80">
        <f>VLOOKUP(B18,All_Ingredients!$A$1:$F$149,6,FALSE())</f>
        <v>1</v>
      </c>
      <c r="J18" s="118">
        <f>VLOOKUP(B18,All_Ingredients!$A$1:$J$149,10,FALSE())</f>
        <v>15</v>
      </c>
      <c r="K18" s="121">
        <f t="shared" si="5"/>
        <v>2.5902496907216493E-2</v>
      </c>
      <c r="L18" s="121">
        <f t="shared" si="6"/>
        <v>0.38853745360824743</v>
      </c>
    </row>
    <row r="19" spans="1:30" ht="14.25" customHeight="1" x14ac:dyDescent="0.3">
      <c r="A19" s="127" t="s">
        <v>95</v>
      </c>
      <c r="B19" s="221" t="s">
        <v>104</v>
      </c>
      <c r="C19" s="114" t="s">
        <v>14</v>
      </c>
      <c r="D19" s="124">
        <v>2</v>
      </c>
      <c r="E19" s="196">
        <f t="shared" si="4"/>
        <v>12.951248453608248</v>
      </c>
      <c r="F19" s="298">
        <v>1</v>
      </c>
      <c r="G19" s="118">
        <f t="shared" si="0"/>
        <v>25.902496907216495</v>
      </c>
      <c r="H19" s="119">
        <f t="shared" si="1"/>
        <v>25.902496907216495</v>
      </c>
      <c r="I19" s="80">
        <f>VLOOKUP(B19,All_Ingredients!$A$1:$F$149,6,FALSE())</f>
        <v>1</v>
      </c>
      <c r="J19" s="118">
        <f>VLOOKUP(B19,All_Ingredients!$A$1:$J$149,10,FALSE())</f>
        <v>19</v>
      </c>
      <c r="K19" s="121">
        <f t="shared" si="5"/>
        <v>2.5902496907216493E-2</v>
      </c>
      <c r="L19" s="121">
        <f t="shared" si="6"/>
        <v>0.4921474412371134</v>
      </c>
    </row>
    <row r="20" spans="1:30" ht="14.25" customHeight="1" x14ac:dyDescent="0.3">
      <c r="A20" s="127" t="s">
        <v>95</v>
      </c>
      <c r="B20" s="221" t="s">
        <v>125</v>
      </c>
      <c r="C20" s="114" t="s">
        <v>14</v>
      </c>
      <c r="D20" s="124">
        <v>2</v>
      </c>
      <c r="E20" s="196">
        <f t="shared" si="4"/>
        <v>12.951248453608248</v>
      </c>
      <c r="F20" s="298">
        <v>1</v>
      </c>
      <c r="G20" s="118">
        <f t="shared" si="0"/>
        <v>25.902496907216495</v>
      </c>
      <c r="H20" s="119">
        <f t="shared" si="1"/>
        <v>25.902496907216495</v>
      </c>
      <c r="I20" s="80">
        <f>VLOOKUP(B20,All_Ingredients!$A$1:$F$149,6,FALSE())</f>
        <v>1</v>
      </c>
      <c r="J20" s="118">
        <f>VLOOKUP(B20,All_Ingredients!$A$1:$J$149,10,FALSE())</f>
        <v>37</v>
      </c>
      <c r="K20" s="121">
        <f t="shared" si="5"/>
        <v>2.5902496907216493E-2</v>
      </c>
      <c r="L20" s="121">
        <f t="shared" si="6"/>
        <v>0.95839238556701023</v>
      </c>
    </row>
    <row r="21" spans="1:30" ht="14.25" customHeight="1" x14ac:dyDescent="0.3">
      <c r="A21" s="127" t="s">
        <v>95</v>
      </c>
      <c r="B21" s="221" t="s">
        <v>127</v>
      </c>
      <c r="C21" s="114" t="s">
        <v>14</v>
      </c>
      <c r="D21" s="124">
        <v>2</v>
      </c>
      <c r="E21" s="196">
        <f t="shared" si="4"/>
        <v>12.951248453608248</v>
      </c>
      <c r="F21" s="298">
        <v>1</v>
      </c>
      <c r="G21" s="118">
        <f t="shared" si="0"/>
        <v>25.902496907216495</v>
      </c>
      <c r="H21" s="119">
        <f t="shared" si="1"/>
        <v>25.902496907216495</v>
      </c>
      <c r="I21" s="80">
        <f>VLOOKUP(B21,All_Ingredients!$A$1:$F$149,6,FALSE())</f>
        <v>1</v>
      </c>
      <c r="J21" s="118">
        <f>VLOOKUP(B21,All_Ingredients!$A$1:$J$149,10,FALSE())</f>
        <v>125</v>
      </c>
      <c r="K21" s="121">
        <f t="shared" si="5"/>
        <v>2.5902496907216493E-2</v>
      </c>
      <c r="L21" s="121">
        <f t="shared" si="6"/>
        <v>3.2378121134020619</v>
      </c>
      <c r="Q21" s="128" t="s">
        <v>394</v>
      </c>
    </row>
    <row r="22" spans="1:30" ht="14.25" customHeight="1" x14ac:dyDescent="0.3">
      <c r="A22" s="127" t="s">
        <v>95</v>
      </c>
      <c r="B22" s="221" t="s">
        <v>130</v>
      </c>
      <c r="C22" s="114" t="s">
        <v>14</v>
      </c>
      <c r="D22" s="124">
        <v>2</v>
      </c>
      <c r="E22" s="196">
        <f t="shared" si="4"/>
        <v>12.951248453608248</v>
      </c>
      <c r="F22" s="298">
        <v>1</v>
      </c>
      <c r="G22" s="118">
        <f t="shared" si="0"/>
        <v>25.902496907216495</v>
      </c>
      <c r="H22" s="119">
        <f t="shared" si="1"/>
        <v>25.902496907216495</v>
      </c>
      <c r="I22" s="80">
        <f>VLOOKUP(B22,All_Ingredients!$A$1:$F$149,6,FALSE())</f>
        <v>1</v>
      </c>
      <c r="J22" s="118">
        <f>VLOOKUP(B22,All_Ingredients!$A$1:$J$149,10,FALSE())</f>
        <v>31.5</v>
      </c>
      <c r="K22" s="121">
        <f t="shared" si="5"/>
        <v>2.5902496907216493E-2</v>
      </c>
      <c r="L22" s="121">
        <f t="shared" si="6"/>
        <v>0.8159286525773195</v>
      </c>
    </row>
    <row r="23" spans="1:30" ht="14.25" customHeight="1" x14ac:dyDescent="0.3">
      <c r="A23" s="127" t="s">
        <v>62</v>
      </c>
      <c r="B23" s="221" t="s">
        <v>791</v>
      </c>
      <c r="C23" s="114" t="s">
        <v>14</v>
      </c>
      <c r="D23" s="124">
        <v>2</v>
      </c>
      <c r="E23" s="196">
        <f t="shared" si="4"/>
        <v>12.951248453608248</v>
      </c>
      <c r="F23" s="298">
        <v>1</v>
      </c>
      <c r="G23" s="118">
        <f t="shared" si="0"/>
        <v>25.902496907216495</v>
      </c>
      <c r="H23" s="119">
        <f t="shared" si="1"/>
        <v>25.902496907216495</v>
      </c>
      <c r="I23" s="80">
        <f>VLOOKUP(B23,All_Ingredients!$A$1:$F$149,6,FALSE())</f>
        <v>0.74</v>
      </c>
      <c r="J23" s="118">
        <f>VLOOKUP(B23,All_Ingredients!$A$1:$J$149,10,FALSE())</f>
        <v>100</v>
      </c>
      <c r="K23" s="121">
        <f t="shared" si="5"/>
        <v>3.5003374198941208E-2</v>
      </c>
      <c r="L23" s="121">
        <f t="shared" si="6"/>
        <v>3.5003374198941208</v>
      </c>
    </row>
    <row r="24" spans="1:30" ht="14.25" customHeight="1" x14ac:dyDescent="0.3">
      <c r="A24" s="127" t="s">
        <v>81</v>
      </c>
      <c r="B24" s="221" t="s">
        <v>91</v>
      </c>
      <c r="C24" s="114" t="s">
        <v>14</v>
      </c>
      <c r="D24" s="124">
        <v>2</v>
      </c>
      <c r="E24" s="196">
        <f t="shared" si="4"/>
        <v>12.951248453608248</v>
      </c>
      <c r="F24" s="298">
        <v>1</v>
      </c>
      <c r="G24" s="452">
        <f t="shared" si="0"/>
        <v>25.902496907216495</v>
      </c>
      <c r="H24" s="446">
        <f t="shared" si="1"/>
        <v>25.902496907216495</v>
      </c>
      <c r="I24" s="80">
        <f>VLOOKUP(B24,All_Ingredients!$A$1:$F$149,6,FALSE())</f>
        <v>1</v>
      </c>
      <c r="J24" s="118">
        <f>VLOOKUP(B24,All_Ingredients!$A$1:$J$149,10,FALSE())</f>
        <v>3.04</v>
      </c>
      <c r="K24" s="121">
        <f t="shared" si="5"/>
        <v>2.5902496907216493E-2</v>
      </c>
      <c r="L24" s="121">
        <f t="shared" si="6"/>
        <v>7.8743590597938146E-2</v>
      </c>
      <c r="Z24" s="1208"/>
    </row>
    <row r="25" spans="1:30" ht="14.25" customHeight="1" x14ac:dyDescent="0.35">
      <c r="A25" s="127" t="s">
        <v>95</v>
      </c>
      <c r="B25" s="266" t="s">
        <v>94</v>
      </c>
      <c r="C25" s="114" t="s">
        <v>14</v>
      </c>
      <c r="D25" s="124">
        <v>5</v>
      </c>
      <c r="E25" s="196">
        <f t="shared" si="4"/>
        <v>12.951248453608248</v>
      </c>
      <c r="F25" s="298">
        <v>1</v>
      </c>
      <c r="G25" s="118">
        <f t="shared" si="0"/>
        <v>64.756242268041234</v>
      </c>
      <c r="H25" s="119">
        <f t="shared" si="1"/>
        <v>64.756242268041234</v>
      </c>
      <c r="I25" s="80">
        <f>VLOOKUP(B25,All_Ingredients!$A$1:$F$149,6,FALSE())</f>
        <v>1</v>
      </c>
      <c r="J25" s="118">
        <f>VLOOKUP(B25,All_Ingredients!$A$1:$J$149,10,FALSE())</f>
        <v>0.74</v>
      </c>
      <c r="K25" s="121">
        <f t="shared" si="5"/>
        <v>6.4756242268041234E-2</v>
      </c>
      <c r="L25" s="121">
        <f t="shared" si="6"/>
        <v>4.7919619278350513E-2</v>
      </c>
      <c r="R25" s="1440" t="s">
        <v>393</v>
      </c>
      <c r="S25" s="1444"/>
      <c r="T25" s="1444"/>
      <c r="U25" s="1444"/>
      <c r="Z25" s="140" t="s">
        <v>256</v>
      </c>
      <c r="AA25" s="141">
        <v>1</v>
      </c>
      <c r="AB25" s="140" t="s">
        <v>253</v>
      </c>
      <c r="AC25" s="142">
        <f>AD30*AA25</f>
        <v>4.1124037133866663E-2</v>
      </c>
    </row>
    <row r="26" spans="1:30" ht="14.25" customHeight="1" x14ac:dyDescent="0.3">
      <c r="B26" s="221" t="s">
        <v>189</v>
      </c>
      <c r="C26" s="123" t="s">
        <v>14</v>
      </c>
      <c r="D26" s="124">
        <v>20</v>
      </c>
      <c r="E26" s="222">
        <f t="shared" si="4"/>
        <v>12.951248453608248</v>
      </c>
      <c r="F26" s="126">
        <v>0.75</v>
      </c>
      <c r="G26" s="118">
        <f t="shared" si="0"/>
        <v>259.02496907216494</v>
      </c>
      <c r="H26" s="119">
        <f t="shared" si="1"/>
        <v>194.2687268041237</v>
      </c>
      <c r="I26" s="80">
        <f>VLOOKUP(B26,All_Ingredients!$A$1:$F$149,6,FALSE())</f>
        <v>0.9</v>
      </c>
      <c r="J26" s="118">
        <f>VLOOKUP(B26,All_Ingredients!$A$1:$J$149,10,FALSE())</f>
        <v>2.3199999999999998</v>
      </c>
      <c r="K26" s="121">
        <f t="shared" si="5"/>
        <v>0.21585414089347077</v>
      </c>
      <c r="L26" s="121">
        <f t="shared" si="6"/>
        <v>0.50078160687285211</v>
      </c>
      <c r="R26" s="1459" t="s">
        <v>365</v>
      </c>
      <c r="S26" s="1444"/>
      <c r="T26" s="1444"/>
      <c r="U26" s="1444"/>
    </row>
    <row r="27" spans="1:30" ht="14.25" customHeight="1" thickBot="1" x14ac:dyDescent="0.35">
      <c r="L27" s="296"/>
      <c r="R27" s="230" t="s">
        <v>258</v>
      </c>
      <c r="S27" s="453" t="s">
        <v>302</v>
      </c>
      <c r="T27" s="453" t="s">
        <v>260</v>
      </c>
      <c r="U27" s="453" t="s">
        <v>261</v>
      </c>
      <c r="V27" s="145" t="s">
        <v>817</v>
      </c>
      <c r="Z27" s="140" t="s">
        <v>262</v>
      </c>
      <c r="AA27" s="146" t="s">
        <v>263</v>
      </c>
      <c r="AB27" s="146" t="s">
        <v>264</v>
      </c>
      <c r="AC27" s="1167" t="s">
        <v>817</v>
      </c>
      <c r="AD27" s="146" t="s">
        <v>266</v>
      </c>
    </row>
    <row r="28" spans="1:30" ht="14.25" customHeight="1" thickBot="1" x14ac:dyDescent="0.35">
      <c r="R28" s="143" t="s">
        <v>267</v>
      </c>
      <c r="S28" s="1331">
        <f>U28*S40</f>
        <v>26028.638999999999</v>
      </c>
      <c r="T28" s="1331">
        <f>U28*U40</f>
        <v>12401.360999999999</v>
      </c>
      <c r="U28" s="1334">
        <f>$Z$1</f>
        <v>38430</v>
      </c>
      <c r="V28" s="148">
        <f>SUM(H37:H38)</f>
        <v>536</v>
      </c>
      <c r="Z28" s="150"/>
      <c r="AA28" s="151">
        <f>AA25*$S$40</f>
        <v>0.67730000000000001</v>
      </c>
      <c r="AB28" s="151">
        <f>AA25*$U$40</f>
        <v>0.32269999999999999</v>
      </c>
      <c r="AC28" s="1169"/>
      <c r="AD28" s="153">
        <f>SUM(AA28:AC28)</f>
        <v>1</v>
      </c>
    </row>
    <row r="29" spans="1:30" ht="14.25" customHeight="1" thickBot="1" x14ac:dyDescent="0.35">
      <c r="R29" s="143" t="s">
        <v>395</v>
      </c>
      <c r="S29" s="1332"/>
      <c r="T29" s="1331"/>
      <c r="U29" s="227">
        <f>T29</f>
        <v>0</v>
      </c>
      <c r="V29" s="148"/>
      <c r="Z29" s="150"/>
      <c r="AA29" s="155">
        <f>AA28/$AD$28</f>
        <v>0.67730000000000001</v>
      </c>
      <c r="AB29" s="155">
        <f>AB28/$AD$28</f>
        <v>0.32269999999999999</v>
      </c>
      <c r="AC29" s="1173"/>
      <c r="AD29" s="155">
        <f>AD28/$AD$28</f>
        <v>1</v>
      </c>
    </row>
    <row r="30" spans="1:30" ht="14.25" customHeight="1" thickBot="1" x14ac:dyDescent="0.35">
      <c r="R30" s="143" t="s">
        <v>269</v>
      </c>
      <c r="S30" s="1333">
        <f>U30*S40</f>
        <v>338.65000000000003</v>
      </c>
      <c r="T30" s="1333">
        <f>U30*U40</f>
        <v>161.35</v>
      </c>
      <c r="U30" s="1334">
        <f>$AB$1</f>
        <v>500</v>
      </c>
      <c r="V30" s="1124"/>
      <c r="Z30" s="140" t="s">
        <v>270</v>
      </c>
      <c r="AA30" s="156">
        <f>S35/(S32)</f>
        <v>5.328798185941043E-2</v>
      </c>
      <c r="AB30" s="157">
        <f>T35/T32</f>
        <v>1.1327105089625712E-2</v>
      </c>
      <c r="AC30" s="1180">
        <f>V35/U32</f>
        <v>1.3768302080657592E-3</v>
      </c>
      <c r="AD30" s="1182">
        <f>SUMPRODUCT(AA30:AB30,AA29:AB29)+AC30</f>
        <v>4.1124037133866663E-2</v>
      </c>
    </row>
    <row r="31" spans="1:30" ht="14.25" customHeight="1" thickBot="1" x14ac:dyDescent="0.35">
      <c r="R31" s="143" t="s">
        <v>271</v>
      </c>
      <c r="S31" s="229"/>
      <c r="T31" s="227"/>
      <c r="U31" s="227"/>
      <c r="V31" s="148"/>
    </row>
    <row r="32" spans="1:30" ht="14.25" customHeight="1" thickBot="1" x14ac:dyDescent="0.35">
      <c r="R32" s="235" t="s">
        <v>261</v>
      </c>
      <c r="S32" s="227">
        <f>SUM(S28:S30)</f>
        <v>26367.289000000001</v>
      </c>
      <c r="T32" s="227">
        <f>SUM(T28:T30)</f>
        <v>12562.710999999999</v>
      </c>
      <c r="U32" s="227">
        <f>SUM(U28:U30)</f>
        <v>38930</v>
      </c>
      <c r="V32" s="148">
        <f>SUM(V28:V30)</f>
        <v>536</v>
      </c>
    </row>
    <row r="33" spans="2:23" ht="14.25" customHeight="1" thickBot="1" x14ac:dyDescent="0.35">
      <c r="B33" s="99"/>
      <c r="E33" s="99"/>
      <c r="F33" s="99"/>
      <c r="R33" s="236" t="s">
        <v>272</v>
      </c>
      <c r="S33" s="229"/>
      <c r="T33" s="229"/>
      <c r="U33" s="229"/>
      <c r="V33" s="154"/>
    </row>
    <row r="34" spans="2:23" ht="14.25" customHeight="1" thickBot="1" x14ac:dyDescent="0.35">
      <c r="B34" s="99"/>
      <c r="E34" s="99"/>
      <c r="F34" s="99"/>
      <c r="R34" s="237" t="s">
        <v>273</v>
      </c>
      <c r="S34" s="229"/>
      <c r="T34" s="227"/>
      <c r="U34" s="229"/>
      <c r="V34" s="154"/>
    </row>
    <row r="35" spans="2:23" ht="14.25" customHeight="1" thickBot="1" x14ac:dyDescent="0.35">
      <c r="B35" s="1484" t="s">
        <v>666</v>
      </c>
      <c r="C35" s="1484"/>
      <c r="D35" s="1484"/>
      <c r="E35" s="1484"/>
      <c r="F35" s="1484"/>
      <c r="G35" s="870"/>
      <c r="H35" s="870"/>
      <c r="I35" s="877"/>
      <c r="J35" s="877"/>
      <c r="K35" s="877"/>
      <c r="L35" s="877"/>
      <c r="R35" s="162" t="s">
        <v>253</v>
      </c>
      <c r="S35" s="163">
        <f>$L$5</f>
        <v>1405.0596179138322</v>
      </c>
      <c r="T35" s="163">
        <f>SUM(L6:L24)</f>
        <v>142.29914770759692</v>
      </c>
      <c r="U35" s="1211">
        <f>S35+T35+V35</f>
        <v>1600.9587656214289</v>
      </c>
      <c r="V35" s="1184">
        <f>SUM(L37:L38)</f>
        <v>53.6</v>
      </c>
    </row>
    <row r="36" spans="2:23" ht="44.75" customHeight="1" x14ac:dyDescent="0.45">
      <c r="B36" s="848" t="s">
        <v>245</v>
      </c>
      <c r="C36" s="848" t="s">
        <v>321</v>
      </c>
      <c r="D36" s="850" t="s">
        <v>645</v>
      </c>
      <c r="E36" s="847" t="s">
        <v>646</v>
      </c>
      <c r="F36" s="850" t="s">
        <v>647</v>
      </c>
      <c r="G36" s="870"/>
      <c r="H36" s="850" t="s">
        <v>647</v>
      </c>
      <c r="I36" s="850" t="s">
        <v>250</v>
      </c>
      <c r="J36" s="850" t="s">
        <v>251</v>
      </c>
      <c r="K36" s="850" t="s">
        <v>252</v>
      </c>
      <c r="L36" s="850" t="s">
        <v>253</v>
      </c>
      <c r="Q36" s="454"/>
    </row>
    <row r="37" spans="2:23" ht="14.25" customHeight="1" x14ac:dyDescent="0.3">
      <c r="B37" s="843" t="s">
        <v>734</v>
      </c>
      <c r="C37" s="844" t="s">
        <v>14</v>
      </c>
      <c r="D37" s="845">
        <v>1</v>
      </c>
      <c r="E37" s="843">
        <f>$AD$1</f>
        <v>268</v>
      </c>
      <c r="F37" s="843">
        <f>D37*E37</f>
        <v>268</v>
      </c>
      <c r="G37" s="869"/>
      <c r="H37" s="843">
        <f>F37</f>
        <v>268</v>
      </c>
      <c r="I37" s="843">
        <f>VLOOKUP(B37,All_Ingredients!$A$1:$F$149,6,FALSE())</f>
        <v>1</v>
      </c>
      <c r="J37" s="843">
        <f>VLOOKUP(B37,All_Ingredients!$A$1:$J$149,10,FALSE())</f>
        <v>160</v>
      </c>
      <c r="K37" s="843">
        <f>(H37/I37)/1000</f>
        <v>0.26800000000000002</v>
      </c>
      <c r="L37" s="843">
        <f t="shared" ref="L37" si="7">K37*J37</f>
        <v>42.88</v>
      </c>
      <c r="Q37" s="412"/>
    </row>
    <row r="38" spans="2:23" ht="14.25" customHeight="1" x14ac:dyDescent="0.3">
      <c r="B38" s="843" t="s">
        <v>735</v>
      </c>
      <c r="C38" s="844" t="s">
        <v>14</v>
      </c>
      <c r="D38" s="845">
        <v>1</v>
      </c>
      <c r="E38" s="843">
        <f>$AD$1</f>
        <v>268</v>
      </c>
      <c r="F38" s="843">
        <f>D38*E38</f>
        <v>268</v>
      </c>
      <c r="H38" s="843">
        <f>F38</f>
        <v>268</v>
      </c>
      <c r="I38" s="843">
        <f>VLOOKUP(B38,All_Ingredients!$A$1:$F$149,6,FALSE())</f>
        <v>1</v>
      </c>
      <c r="J38" s="843">
        <f>VLOOKUP(B38,All_Ingredients!$A$1:$J$149,10,FALSE())</f>
        <v>40</v>
      </c>
      <c r="K38" s="843">
        <f>(H38/I38)/1000</f>
        <v>0.26800000000000002</v>
      </c>
      <c r="L38" s="843">
        <f t="shared" ref="L38" si="8">K38*J38</f>
        <v>10.72</v>
      </c>
      <c r="U38" s="455"/>
    </row>
    <row r="40" spans="2:23" ht="19.25" customHeight="1" x14ac:dyDescent="0.3">
      <c r="R40" s="164" t="s">
        <v>274</v>
      </c>
      <c r="S40" s="165">
        <v>0.67730000000000001</v>
      </c>
      <c r="T40" s="164" t="s">
        <v>275</v>
      </c>
      <c r="U40" s="166">
        <v>0.32269999999999999</v>
      </c>
      <c r="V40" s="167">
        <f>S40+U40</f>
        <v>1</v>
      </c>
    </row>
    <row r="41" spans="2:23" ht="14.25" customHeight="1" x14ac:dyDescent="0.3">
      <c r="U41" s="168"/>
    </row>
    <row r="43" spans="2:23" ht="14.25" customHeight="1" x14ac:dyDescent="0.3">
      <c r="Q43" s="169" t="s">
        <v>276</v>
      </c>
      <c r="R43" s="169" t="s">
        <v>277</v>
      </c>
      <c r="S43" s="169" t="s">
        <v>278</v>
      </c>
      <c r="T43" s="169" t="s">
        <v>279</v>
      </c>
      <c r="U43" s="169" t="s">
        <v>280</v>
      </c>
      <c r="V43" s="169" t="s">
        <v>281</v>
      </c>
      <c r="W43" s="257" t="s">
        <v>282</v>
      </c>
    </row>
    <row r="44" spans="2:23" ht="14.25" customHeight="1" x14ac:dyDescent="0.3">
      <c r="Q44" s="171">
        <v>30990</v>
      </c>
      <c r="R44" s="172">
        <f>$D$51</f>
        <v>10000</v>
      </c>
      <c r="S44" s="240">
        <v>1</v>
      </c>
      <c r="T44" s="173">
        <v>0</v>
      </c>
      <c r="U44" s="241">
        <f>R44*S44</f>
        <v>10000</v>
      </c>
      <c r="V44" s="175">
        <f>R44*T44</f>
        <v>0</v>
      </c>
      <c r="W44" s="259">
        <f>Q44-U44</f>
        <v>20990</v>
      </c>
    </row>
    <row r="50" spans="1:17" x14ac:dyDescent="0.3">
      <c r="B50" s="144"/>
      <c r="C50" s="144" t="s">
        <v>237</v>
      </c>
      <c r="D50" s="144" t="s">
        <v>283</v>
      </c>
      <c r="E50" s="182"/>
      <c r="F50" s="99"/>
      <c r="G50" s="144" t="s">
        <v>284</v>
      </c>
      <c r="H50" s="144" t="s">
        <v>237</v>
      </c>
      <c r="I50" s="144" t="s">
        <v>285</v>
      </c>
      <c r="J50" s="144" t="s">
        <v>286</v>
      </c>
    </row>
    <row r="51" spans="1:17" x14ac:dyDescent="0.3">
      <c r="B51" s="179" t="s">
        <v>287</v>
      </c>
      <c r="C51" s="180">
        <f>10/$K$1</f>
        <v>10.309278350515465</v>
      </c>
      <c r="D51" s="181">
        <f>$C$1*10</f>
        <v>10000</v>
      </c>
      <c r="E51" s="182"/>
      <c r="F51" s="99"/>
      <c r="G51" s="179" t="s">
        <v>287</v>
      </c>
      <c r="H51" s="276">
        <f>I51/$D$5</f>
        <v>10</v>
      </c>
      <c r="I51" s="180">
        <f>J51/$R$1</f>
        <v>42836.734693877552</v>
      </c>
      <c r="J51" s="180">
        <f>$W$44</f>
        <v>20990</v>
      </c>
    </row>
    <row r="52" spans="1:17" ht="14.25" customHeight="1" x14ac:dyDescent="0.3">
      <c r="B52" s="230" t="s">
        <v>266</v>
      </c>
      <c r="C52" s="231">
        <f>$I$1</f>
        <v>12.951248453608248</v>
      </c>
      <c r="D52" s="232">
        <f>$E$1</f>
        <v>12562.710999999999</v>
      </c>
      <c r="E52" s="99"/>
      <c r="F52" s="99"/>
      <c r="G52" s="147" t="s">
        <v>266</v>
      </c>
      <c r="H52" s="209">
        <f>I52/$D$5</f>
        <v>12.561833730347784</v>
      </c>
      <c r="I52" s="175">
        <f>J52/$R$1</f>
        <v>53810.793877551019</v>
      </c>
      <c r="J52" s="183">
        <f>$S$32</f>
        <v>26367.289000000001</v>
      </c>
      <c r="Q52" s="456"/>
    </row>
    <row r="53" spans="1:17" x14ac:dyDescent="0.3">
      <c r="B53" s="230" t="s">
        <v>288</v>
      </c>
      <c r="C53" s="233">
        <f>MIN(C52, C51)</f>
        <v>10.309278350515465</v>
      </c>
      <c r="D53" s="232">
        <f>(C53*$K$1)*$C$1</f>
        <v>10000</v>
      </c>
      <c r="E53" s="99"/>
      <c r="F53" s="99"/>
      <c r="G53" s="147" t="s">
        <v>288</v>
      </c>
      <c r="H53" s="186">
        <f>MIN(H52,H51)</f>
        <v>10</v>
      </c>
      <c r="I53" s="175">
        <f>J53/$R$1</f>
        <v>42836.734693877552</v>
      </c>
      <c r="J53" s="175">
        <f>MIN(J52,J51)</f>
        <v>20990</v>
      </c>
    </row>
    <row r="54" spans="1:17" x14ac:dyDescent="0.3">
      <c r="B54" s="230" t="s">
        <v>289</v>
      </c>
      <c r="C54" s="233">
        <f>MIN(MAX(C52-C53,0),C51)</f>
        <v>2.6419701030927829</v>
      </c>
      <c r="D54" s="232">
        <f>(C54*$K$1)*$C$1</f>
        <v>2562.7109999999993</v>
      </c>
      <c r="E54" s="99"/>
      <c r="F54" s="99"/>
      <c r="G54" s="147" t="s">
        <v>289</v>
      </c>
      <c r="H54" s="186">
        <f>MIN(MAX(H52-H53),H51)</f>
        <v>2.5618337303477841</v>
      </c>
      <c r="I54" s="175">
        <f>J54/$R$1</f>
        <v>10974.059183673471</v>
      </c>
      <c r="J54" s="175">
        <f>MIN(MAX(J52-J53),J51)</f>
        <v>5377.2890000000007</v>
      </c>
    </row>
    <row r="55" spans="1:17" x14ac:dyDescent="0.3">
      <c r="B55" s="230" t="s">
        <v>290</v>
      </c>
      <c r="C55" s="233">
        <f>MIN(MAX(C52-C53-C54,0),C51)</f>
        <v>0</v>
      </c>
      <c r="D55" s="232">
        <f>(C55*$K$1)*$C$1</f>
        <v>0</v>
      </c>
      <c r="E55" s="99"/>
      <c r="F55" s="99"/>
      <c r="G55" s="144" t="s">
        <v>290</v>
      </c>
      <c r="H55" s="186">
        <f>MIN(MAX(H52-H53-H54),H51)</f>
        <v>0</v>
      </c>
      <c r="I55" s="175">
        <f>J55/$R$1</f>
        <v>0</v>
      </c>
      <c r="J55" s="175">
        <f>MIN(MAX(J52-J53-J54),J51)</f>
        <v>0</v>
      </c>
    </row>
    <row r="62" spans="1:17" x14ac:dyDescent="0.3">
      <c r="A62" s="922"/>
      <c r="B62" s="1438" t="str">
        <f>"لحم اوريانتل 1 / " &amp; COUNTIF($C$53:$C$55, "&gt;0")</f>
        <v>لحم اوريانتل 1 / 2</v>
      </c>
      <c r="C62" s="1439"/>
      <c r="D62" s="1439"/>
      <c r="E62" s="1439"/>
      <c r="F62" s="1439"/>
      <c r="G62" s="1439"/>
      <c r="H62" s="1439"/>
    </row>
    <row r="63" spans="1:17" ht="17.75" customHeight="1" x14ac:dyDescent="0.3">
      <c r="A63" s="922"/>
      <c r="B63" s="1436" t="str">
        <f>"Laham Oriental 1 / " &amp; COUNTIF($C$53:$C$55, "&gt;0")</f>
        <v>Laham Oriental 1 / 2</v>
      </c>
      <c r="C63" s="1437"/>
      <c r="D63" s="1437"/>
      <c r="E63" s="1437"/>
      <c r="F63" s="1437"/>
      <c r="G63" s="1437"/>
      <c r="H63" s="1437"/>
    </row>
    <row r="64" spans="1:17" ht="41" customHeight="1" x14ac:dyDescent="0.25">
      <c r="A64" s="90"/>
      <c r="B64" s="242" t="s">
        <v>245</v>
      </c>
      <c r="C64" s="243" t="s">
        <v>246</v>
      </c>
      <c r="D64" s="244" t="s">
        <v>235</v>
      </c>
      <c r="E64" s="217" t="s">
        <v>238</v>
      </c>
      <c r="F64" s="217" t="s">
        <v>247</v>
      </c>
      <c r="G64" s="244" t="s">
        <v>248</v>
      </c>
      <c r="H64" s="217" t="s">
        <v>249</v>
      </c>
    </row>
    <row r="65" spans="1:8" ht="17.75" customHeight="1" x14ac:dyDescent="0.3">
      <c r="A65" s="127" t="s">
        <v>225</v>
      </c>
      <c r="B65" s="122" t="str">
        <f t="shared" ref="B65:D84" si="9">B5</f>
        <v>Indian Meat Alana  - لحم هندى ألانا</v>
      </c>
      <c r="C65" s="122" t="str">
        <f t="shared" si="9"/>
        <v>gm</v>
      </c>
      <c r="D65" s="262">
        <f t="shared" si="9"/>
        <v>4283.6734693877552</v>
      </c>
      <c r="E65" s="115">
        <f>H53</f>
        <v>10</v>
      </c>
      <c r="F65" s="298">
        <f t="shared" ref="F65:F86" si="10">F5</f>
        <v>1</v>
      </c>
      <c r="G65" s="118">
        <f t="shared" ref="G65:G84" si="11">D65*E65</f>
        <v>42836.734693877552</v>
      </c>
      <c r="H65" s="119">
        <f t="shared" ref="H65:H84" si="12">G65*F65</f>
        <v>42836.734693877552</v>
      </c>
    </row>
    <row r="66" spans="1:8" x14ac:dyDescent="0.3">
      <c r="A66" s="127" t="s">
        <v>13</v>
      </c>
      <c r="B66" s="122" t="str">
        <f t="shared" si="9"/>
        <v>Onion - بصل</v>
      </c>
      <c r="C66" s="122" t="str">
        <f t="shared" si="9"/>
        <v>gm</v>
      </c>
      <c r="D66" s="122">
        <f t="shared" si="9"/>
        <v>50</v>
      </c>
      <c r="E66" s="115">
        <f t="shared" ref="E66:E86" si="13">$C$53</f>
        <v>10.309278350515465</v>
      </c>
      <c r="F66" s="298">
        <f t="shared" si="10"/>
        <v>0.95</v>
      </c>
      <c r="G66" s="118">
        <f t="shared" si="11"/>
        <v>515.46391752577324</v>
      </c>
      <c r="H66" s="119">
        <f t="shared" si="12"/>
        <v>489.69072164948454</v>
      </c>
    </row>
    <row r="67" spans="1:8" ht="14.25" customHeight="1" x14ac:dyDescent="0.3">
      <c r="A67" s="127" t="s">
        <v>13</v>
      </c>
      <c r="B67" s="122" t="str">
        <f t="shared" si="9"/>
        <v>Garlic - ثوم مقشر</v>
      </c>
      <c r="C67" s="122" t="str">
        <f t="shared" si="9"/>
        <v>gm</v>
      </c>
      <c r="D67" s="122">
        <f t="shared" si="9"/>
        <v>10</v>
      </c>
      <c r="E67" s="115">
        <f t="shared" si="13"/>
        <v>10.309278350515465</v>
      </c>
      <c r="F67" s="298">
        <f t="shared" si="10"/>
        <v>1</v>
      </c>
      <c r="G67" s="118">
        <f t="shared" si="11"/>
        <v>103.09278350515464</v>
      </c>
      <c r="H67" s="119">
        <f t="shared" si="12"/>
        <v>103.09278350515464</v>
      </c>
    </row>
    <row r="68" spans="1:8" ht="14.25" customHeight="1" x14ac:dyDescent="0.3">
      <c r="A68" s="127" t="s">
        <v>192</v>
      </c>
      <c r="B68" s="122" t="str">
        <f t="shared" si="9"/>
        <v>Demi Glaze Sauce - صوص ديمي غلاز</v>
      </c>
      <c r="C68" s="122" t="str">
        <f t="shared" si="9"/>
        <v>gm</v>
      </c>
      <c r="D68" s="122">
        <f t="shared" si="9"/>
        <v>25</v>
      </c>
      <c r="E68" s="115">
        <f t="shared" si="13"/>
        <v>10.309278350515465</v>
      </c>
      <c r="F68" s="298">
        <f t="shared" si="10"/>
        <v>0.9</v>
      </c>
      <c r="G68" s="118">
        <f t="shared" si="11"/>
        <v>257.73195876288662</v>
      </c>
      <c r="H68" s="119">
        <f t="shared" si="12"/>
        <v>231.95876288659795</v>
      </c>
    </row>
    <row r="69" spans="1:8" ht="14.25" customHeight="1" x14ac:dyDescent="0.3">
      <c r="A69" s="127" t="s">
        <v>154</v>
      </c>
      <c r="B69" s="122" t="str">
        <f t="shared" si="9"/>
        <v>Cooking Cream - كريمة طبخ</v>
      </c>
      <c r="C69" s="122" t="str">
        <f t="shared" si="9"/>
        <v>ml</v>
      </c>
      <c r="D69" s="122">
        <f t="shared" si="9"/>
        <v>500</v>
      </c>
      <c r="E69" s="115">
        <f t="shared" si="13"/>
        <v>10.309278350515465</v>
      </c>
      <c r="F69" s="298">
        <f t="shared" si="10"/>
        <v>1</v>
      </c>
      <c r="G69" s="118">
        <f t="shared" si="11"/>
        <v>5154.6391752577319</v>
      </c>
      <c r="H69" s="119">
        <f t="shared" si="12"/>
        <v>5154.6391752577319</v>
      </c>
    </row>
    <row r="70" spans="1:8" ht="14.25" customHeight="1" x14ac:dyDescent="0.3">
      <c r="A70" s="127" t="s">
        <v>154</v>
      </c>
      <c r="B70" s="122" t="str">
        <f t="shared" si="9"/>
        <v>Butter - زبدة</v>
      </c>
      <c r="C70" s="122" t="str">
        <f t="shared" si="9"/>
        <v>gm</v>
      </c>
      <c r="D70" s="122">
        <f t="shared" si="9"/>
        <v>10</v>
      </c>
      <c r="E70" s="115">
        <f t="shared" si="13"/>
        <v>10.309278350515465</v>
      </c>
      <c r="F70" s="298">
        <f t="shared" si="10"/>
        <v>1</v>
      </c>
      <c r="G70" s="118">
        <f t="shared" si="11"/>
        <v>103.09278350515464</v>
      </c>
      <c r="H70" s="119">
        <f t="shared" si="12"/>
        <v>103.09278350515464</v>
      </c>
    </row>
    <row r="71" spans="1:8" ht="14.25" customHeight="1" x14ac:dyDescent="0.3">
      <c r="A71" s="127" t="s">
        <v>95</v>
      </c>
      <c r="B71" s="122" t="str">
        <f t="shared" si="9"/>
        <v>Salt - ملح</v>
      </c>
      <c r="C71" s="122" t="str">
        <f t="shared" si="9"/>
        <v>gm</v>
      </c>
      <c r="D71" s="122">
        <f t="shared" si="9"/>
        <v>5</v>
      </c>
      <c r="E71" s="115">
        <f t="shared" si="13"/>
        <v>10.309278350515465</v>
      </c>
      <c r="F71" s="298">
        <f t="shared" si="10"/>
        <v>0.75</v>
      </c>
      <c r="G71" s="118">
        <f t="shared" si="11"/>
        <v>51.546391752577321</v>
      </c>
      <c r="H71" s="119">
        <f t="shared" si="12"/>
        <v>38.659793814432987</v>
      </c>
    </row>
    <row r="72" spans="1:8" ht="14.25" customHeight="1" x14ac:dyDescent="0.3">
      <c r="A72" s="127" t="s">
        <v>154</v>
      </c>
      <c r="B72" s="122" t="str">
        <f t="shared" si="9"/>
        <v>Milk - حليب</v>
      </c>
      <c r="C72" s="122" t="str">
        <f t="shared" si="9"/>
        <v>ml</v>
      </c>
      <c r="D72" s="122">
        <f t="shared" si="9"/>
        <v>400</v>
      </c>
      <c r="E72" s="115">
        <f t="shared" si="13"/>
        <v>10.309278350515465</v>
      </c>
      <c r="F72" s="298">
        <f t="shared" si="10"/>
        <v>1</v>
      </c>
      <c r="G72" s="118">
        <f t="shared" si="11"/>
        <v>4123.7113402061859</v>
      </c>
      <c r="H72" s="119">
        <f t="shared" si="12"/>
        <v>4123.7113402061859</v>
      </c>
    </row>
    <row r="73" spans="1:8" ht="14.25" customHeight="1" x14ac:dyDescent="0.3">
      <c r="A73" s="127" t="s">
        <v>206</v>
      </c>
      <c r="B73" s="122" t="str">
        <f t="shared" si="9"/>
        <v>Water - ماء</v>
      </c>
      <c r="C73" s="122" t="str">
        <f t="shared" si="9"/>
        <v>ml</v>
      </c>
      <c r="D73" s="122">
        <f t="shared" si="9"/>
        <v>300</v>
      </c>
      <c r="E73" s="115">
        <f t="shared" si="13"/>
        <v>10.309278350515465</v>
      </c>
      <c r="F73" s="298">
        <f t="shared" si="10"/>
        <v>1</v>
      </c>
      <c r="G73" s="118">
        <f t="shared" si="11"/>
        <v>3092.7835051546394</v>
      </c>
      <c r="H73" s="119">
        <f t="shared" si="12"/>
        <v>3092.7835051546394</v>
      </c>
    </row>
    <row r="74" spans="1:8" ht="14.25" customHeight="1" x14ac:dyDescent="0.3">
      <c r="A74" s="127" t="s">
        <v>95</v>
      </c>
      <c r="B74" s="122" t="str">
        <f t="shared" si="9"/>
        <v>Black Pepper Powder - فلفل أسود مطحون</v>
      </c>
      <c r="C74" s="122" t="str">
        <f t="shared" si="9"/>
        <v>gm</v>
      </c>
      <c r="D74" s="122">
        <f t="shared" si="9"/>
        <v>2</v>
      </c>
      <c r="E74" s="115">
        <f t="shared" si="13"/>
        <v>10.309278350515465</v>
      </c>
      <c r="F74" s="298">
        <f t="shared" si="10"/>
        <v>0.75</v>
      </c>
      <c r="G74" s="118">
        <f t="shared" si="11"/>
        <v>20.618556701030929</v>
      </c>
      <c r="H74" s="119">
        <f t="shared" si="12"/>
        <v>15.463917525773198</v>
      </c>
    </row>
    <row r="75" spans="1:8" ht="14.25" customHeight="1" x14ac:dyDescent="0.3">
      <c r="A75" s="127" t="s">
        <v>95</v>
      </c>
      <c r="B75" s="122" t="str">
        <f t="shared" si="9"/>
        <v>Maggi Cubes - مكعبات ماجي</v>
      </c>
      <c r="C75" s="122" t="str">
        <f t="shared" si="9"/>
        <v>gm</v>
      </c>
      <c r="D75" s="122">
        <f t="shared" si="9"/>
        <v>10</v>
      </c>
      <c r="E75" s="115">
        <f t="shared" si="13"/>
        <v>10.309278350515465</v>
      </c>
      <c r="F75" s="298">
        <f t="shared" si="10"/>
        <v>0.6</v>
      </c>
      <c r="G75" s="118">
        <f t="shared" si="11"/>
        <v>103.09278350515464</v>
      </c>
      <c r="H75" s="119">
        <f t="shared" si="12"/>
        <v>61.855670103092784</v>
      </c>
    </row>
    <row r="76" spans="1:8" ht="14.25" customHeight="1" x14ac:dyDescent="0.3">
      <c r="A76" s="127" t="s">
        <v>215</v>
      </c>
      <c r="B76" s="122" t="str">
        <f t="shared" si="9"/>
        <v>Brown Color - لون بني</v>
      </c>
      <c r="C76" s="122" t="str">
        <f t="shared" si="9"/>
        <v>gm</v>
      </c>
      <c r="D76" s="122">
        <f t="shared" si="9"/>
        <v>1</v>
      </c>
      <c r="E76" s="115">
        <f t="shared" si="13"/>
        <v>10.309278350515465</v>
      </c>
      <c r="F76" s="298">
        <f t="shared" si="10"/>
        <v>0.9</v>
      </c>
      <c r="G76" s="118">
        <f t="shared" si="11"/>
        <v>10.309278350515465</v>
      </c>
      <c r="H76" s="119">
        <f t="shared" si="12"/>
        <v>9.2783505154639183</v>
      </c>
    </row>
    <row r="77" spans="1:8" ht="14.25" customHeight="1" x14ac:dyDescent="0.3">
      <c r="A77" s="127" t="s">
        <v>95</v>
      </c>
      <c r="B77" s="122" t="str">
        <f t="shared" si="9"/>
        <v>Black Pepper Whole - فلفل أسود حب</v>
      </c>
      <c r="C77" s="122" t="str">
        <f t="shared" si="9"/>
        <v>gm</v>
      </c>
      <c r="D77" s="122">
        <f t="shared" si="9"/>
        <v>2</v>
      </c>
      <c r="E77" s="115">
        <f t="shared" si="13"/>
        <v>10.309278350515465</v>
      </c>
      <c r="F77" s="298">
        <f t="shared" si="10"/>
        <v>1</v>
      </c>
      <c r="G77" s="118">
        <f t="shared" si="11"/>
        <v>20.618556701030929</v>
      </c>
      <c r="H77" s="119">
        <f t="shared" si="12"/>
        <v>20.618556701030929</v>
      </c>
    </row>
    <row r="78" spans="1:8" ht="14.25" customHeight="1" x14ac:dyDescent="0.3">
      <c r="A78" s="127" t="s">
        <v>95</v>
      </c>
      <c r="B78" s="122" t="str">
        <f t="shared" si="9"/>
        <v>Cinnamon Whole - قرفة أعواد</v>
      </c>
      <c r="C78" s="122" t="str">
        <f t="shared" si="9"/>
        <v>gm</v>
      </c>
      <c r="D78" s="122">
        <f t="shared" si="9"/>
        <v>2</v>
      </c>
      <c r="E78" s="115">
        <f t="shared" si="13"/>
        <v>10.309278350515465</v>
      </c>
      <c r="F78" s="298">
        <f t="shared" si="10"/>
        <v>1</v>
      </c>
      <c r="G78" s="118">
        <f t="shared" si="11"/>
        <v>20.618556701030929</v>
      </c>
      <c r="H78" s="119">
        <f t="shared" si="12"/>
        <v>20.618556701030929</v>
      </c>
    </row>
    <row r="79" spans="1:8" ht="14.25" customHeight="1" x14ac:dyDescent="0.3">
      <c r="A79" s="127" t="s">
        <v>95</v>
      </c>
      <c r="B79" s="122" t="str">
        <f t="shared" si="9"/>
        <v>Cumin Whole - كمون حب</v>
      </c>
      <c r="C79" s="122" t="str">
        <f t="shared" si="9"/>
        <v>gm</v>
      </c>
      <c r="D79" s="122">
        <f t="shared" si="9"/>
        <v>2</v>
      </c>
      <c r="E79" s="115">
        <f t="shared" si="13"/>
        <v>10.309278350515465</v>
      </c>
      <c r="F79" s="298">
        <f t="shared" si="10"/>
        <v>1</v>
      </c>
      <c r="G79" s="118">
        <f t="shared" si="11"/>
        <v>20.618556701030929</v>
      </c>
      <c r="H79" s="119">
        <f t="shared" si="12"/>
        <v>20.618556701030929</v>
      </c>
    </row>
    <row r="80" spans="1:8" ht="14.25" customHeight="1" x14ac:dyDescent="0.3">
      <c r="A80" s="127" t="s">
        <v>95</v>
      </c>
      <c r="B80" s="122" t="str">
        <f t="shared" si="9"/>
        <v>Cloves Whole - قرنفل حب</v>
      </c>
      <c r="C80" s="122" t="str">
        <f t="shared" si="9"/>
        <v>gm</v>
      </c>
      <c r="D80" s="122">
        <f t="shared" si="9"/>
        <v>2</v>
      </c>
      <c r="E80" s="115">
        <f t="shared" si="13"/>
        <v>10.309278350515465</v>
      </c>
      <c r="F80" s="298">
        <f t="shared" si="10"/>
        <v>1</v>
      </c>
      <c r="G80" s="118">
        <f t="shared" si="11"/>
        <v>20.618556701030929</v>
      </c>
      <c r="H80" s="119">
        <f t="shared" si="12"/>
        <v>20.618556701030929</v>
      </c>
    </row>
    <row r="81" spans="1:8" ht="14.25" customHeight="1" x14ac:dyDescent="0.3">
      <c r="A81" s="127" t="s">
        <v>95</v>
      </c>
      <c r="B81" s="122" t="str">
        <f t="shared" si="9"/>
        <v>Cardamom Whole - هيل حب</v>
      </c>
      <c r="C81" s="122" t="str">
        <f t="shared" si="9"/>
        <v>gm</v>
      </c>
      <c r="D81" s="122">
        <f t="shared" si="9"/>
        <v>2</v>
      </c>
      <c r="E81" s="115">
        <f t="shared" si="13"/>
        <v>10.309278350515465</v>
      </c>
      <c r="F81" s="298">
        <f t="shared" si="10"/>
        <v>1</v>
      </c>
      <c r="G81" s="118">
        <f t="shared" si="11"/>
        <v>20.618556701030929</v>
      </c>
      <c r="H81" s="119">
        <f t="shared" si="12"/>
        <v>20.618556701030929</v>
      </c>
    </row>
    <row r="82" spans="1:8" ht="14.25" customHeight="1" x14ac:dyDescent="0.3">
      <c r="A82" s="127" t="s">
        <v>95</v>
      </c>
      <c r="B82" s="122" t="str">
        <f t="shared" si="9"/>
        <v>Star Anise - ينسون نجمي</v>
      </c>
      <c r="C82" s="122" t="str">
        <f t="shared" si="9"/>
        <v>gm</v>
      </c>
      <c r="D82" s="122">
        <f t="shared" si="9"/>
        <v>2</v>
      </c>
      <c r="E82" s="115">
        <f t="shared" si="13"/>
        <v>10.309278350515465</v>
      </c>
      <c r="F82" s="298">
        <f t="shared" si="10"/>
        <v>1</v>
      </c>
      <c r="G82" s="118">
        <f t="shared" si="11"/>
        <v>20.618556701030929</v>
      </c>
      <c r="H82" s="119">
        <f t="shared" si="12"/>
        <v>20.618556701030929</v>
      </c>
    </row>
    <row r="83" spans="1:8" ht="14.25" customHeight="1" x14ac:dyDescent="0.3">
      <c r="A83" s="127" t="s">
        <v>62</v>
      </c>
      <c r="B83" s="122" t="str">
        <f t="shared" si="9"/>
        <v>Rosemary - روزميري مستورد</v>
      </c>
      <c r="C83" s="122" t="str">
        <f t="shared" si="9"/>
        <v>gm</v>
      </c>
      <c r="D83" s="122">
        <f t="shared" si="9"/>
        <v>2</v>
      </c>
      <c r="E83" s="115">
        <f t="shared" si="13"/>
        <v>10.309278350515465</v>
      </c>
      <c r="F83" s="298">
        <f t="shared" si="10"/>
        <v>1</v>
      </c>
      <c r="G83" s="118">
        <f t="shared" si="11"/>
        <v>20.618556701030929</v>
      </c>
      <c r="H83" s="119">
        <f t="shared" si="12"/>
        <v>20.618556701030929</v>
      </c>
    </row>
    <row r="84" spans="1:8" ht="14.25" customHeight="1" x14ac:dyDescent="0.3">
      <c r="A84" s="127" t="s">
        <v>81</v>
      </c>
      <c r="B84" s="122" t="str">
        <f t="shared" si="9"/>
        <v>Bay Leaf - ورق غار</v>
      </c>
      <c r="C84" s="122" t="str">
        <f t="shared" si="9"/>
        <v>gm</v>
      </c>
      <c r="D84" s="122">
        <f t="shared" si="9"/>
        <v>2</v>
      </c>
      <c r="E84" s="115">
        <f t="shared" si="13"/>
        <v>10.309278350515465</v>
      </c>
      <c r="F84" s="298">
        <f t="shared" si="10"/>
        <v>1</v>
      </c>
      <c r="G84" s="118">
        <f t="shared" si="11"/>
        <v>20.618556701030929</v>
      </c>
      <c r="H84" s="119">
        <f t="shared" si="12"/>
        <v>20.618556701030929</v>
      </c>
    </row>
    <row r="85" spans="1:8" ht="14.25" customHeight="1" x14ac:dyDescent="0.3">
      <c r="A85" s="127"/>
      <c r="B85" s="122" t="str">
        <f t="shared" ref="B85:D85" si="14">B25</f>
        <v>Salt - ملح</v>
      </c>
      <c r="C85" s="122" t="str">
        <f t="shared" si="14"/>
        <v>gm</v>
      </c>
      <c r="D85" s="122">
        <f t="shared" si="14"/>
        <v>5</v>
      </c>
      <c r="E85" s="115">
        <f t="shared" si="13"/>
        <v>10.309278350515465</v>
      </c>
      <c r="F85" s="298">
        <f t="shared" si="10"/>
        <v>1</v>
      </c>
      <c r="G85" s="118">
        <f t="shared" ref="G85:G86" si="15">D85*E85</f>
        <v>51.546391752577321</v>
      </c>
      <c r="H85" s="119">
        <f t="shared" ref="H85:H86" si="16">G85*F85</f>
        <v>51.546391752577321</v>
      </c>
    </row>
    <row r="86" spans="1:8" ht="21" customHeight="1" x14ac:dyDescent="0.3">
      <c r="A86" s="127" t="s">
        <v>81</v>
      </c>
      <c r="B86" s="122" t="str">
        <f t="shared" ref="B86:D86" si="17">B26</f>
        <v>Corn Starch - نشا ذرة</v>
      </c>
      <c r="C86" s="122" t="str">
        <f t="shared" si="17"/>
        <v>gm</v>
      </c>
      <c r="D86" s="122">
        <f t="shared" si="17"/>
        <v>20</v>
      </c>
      <c r="E86" s="115">
        <f t="shared" si="13"/>
        <v>10.309278350515465</v>
      </c>
      <c r="F86" s="298">
        <f t="shared" si="10"/>
        <v>0.75</v>
      </c>
      <c r="G86" s="118">
        <f t="shared" si="15"/>
        <v>206.18556701030928</v>
      </c>
      <c r="H86" s="119">
        <f t="shared" si="16"/>
        <v>154.63917525773195</v>
      </c>
    </row>
    <row r="87" spans="1:8" ht="20.25" customHeight="1" x14ac:dyDescent="0.3">
      <c r="A87" s="210"/>
      <c r="B87" s="197" t="s">
        <v>291</v>
      </c>
      <c r="C87" s="199" t="s">
        <v>277</v>
      </c>
      <c r="E87" s="199" t="s">
        <v>292</v>
      </c>
      <c r="G87" s="878" t="s">
        <v>268</v>
      </c>
      <c r="H87" s="878" t="s">
        <v>703</v>
      </c>
    </row>
    <row r="88" spans="1:8" ht="26.25" customHeight="1" x14ac:dyDescent="0.4">
      <c r="A88" s="210"/>
      <c r="B88" s="198">
        <f>$J$53</f>
        <v>20990</v>
      </c>
      <c r="C88" s="198">
        <f>E88+G88</f>
        <v>10000</v>
      </c>
      <c r="D88" s="915"/>
      <c r="E88" s="198">
        <f>$D$53*$S$44</f>
        <v>10000</v>
      </c>
      <c r="F88" s="919"/>
      <c r="G88" s="198">
        <f>$D$53*$T$44</f>
        <v>0</v>
      </c>
      <c r="H88" s="198">
        <f>B88+E88</f>
        <v>30990</v>
      </c>
    </row>
    <row r="89" spans="1:8" ht="14.25" customHeight="1" x14ac:dyDescent="0.3">
      <c r="B89" s="99"/>
      <c r="E89" s="99"/>
      <c r="F89" s="99"/>
    </row>
    <row r="90" spans="1:8" ht="17.75" customHeight="1" x14ac:dyDescent="0.3">
      <c r="A90" s="922"/>
      <c r="B90" s="1438" t="str">
        <f>"لحم اوريانتل 2 / " &amp; COUNTIF($C$53:$C$55, "&gt;0")</f>
        <v>لحم اوريانتل 2 / 2</v>
      </c>
      <c r="C90" s="1439"/>
      <c r="D90" s="1439"/>
      <c r="E90" s="1439"/>
      <c r="F90" s="1439"/>
      <c r="G90" s="1439"/>
      <c r="H90" s="1439"/>
    </row>
    <row r="91" spans="1:8" ht="39.5" customHeight="1" x14ac:dyDescent="0.3">
      <c r="A91" s="922"/>
      <c r="B91" s="1436" t="str">
        <f>"Laham Oriental 2 / " &amp; COUNTIF($C$53:$C$55, "&gt;0")</f>
        <v>Laham Oriental 2 / 2</v>
      </c>
      <c r="C91" s="1437"/>
      <c r="D91" s="1437"/>
      <c r="E91" s="1437"/>
      <c r="F91" s="1437"/>
      <c r="G91" s="1437"/>
      <c r="H91" s="1437"/>
    </row>
    <row r="92" spans="1:8" ht="39" x14ac:dyDescent="0.25">
      <c r="A92" s="90"/>
      <c r="B92" s="242" t="s">
        <v>245</v>
      </c>
      <c r="C92" s="243" t="s">
        <v>246</v>
      </c>
      <c r="D92" s="244" t="s">
        <v>235</v>
      </c>
      <c r="E92" s="217" t="s">
        <v>238</v>
      </c>
      <c r="F92" s="217" t="s">
        <v>247</v>
      </c>
      <c r="G92" s="244" t="s">
        <v>248</v>
      </c>
      <c r="H92" s="217" t="s">
        <v>249</v>
      </c>
    </row>
    <row r="93" spans="1:8" x14ac:dyDescent="0.3">
      <c r="A93" s="127" t="s">
        <v>225</v>
      </c>
      <c r="B93" s="122" t="str">
        <f t="shared" ref="B93:D112" si="18">B5</f>
        <v>Indian Meat Alana  - لحم هندى ألانا</v>
      </c>
      <c r="C93" s="122" t="str">
        <f t="shared" si="18"/>
        <v>gm</v>
      </c>
      <c r="D93" s="457">
        <f t="shared" si="18"/>
        <v>4283.6734693877552</v>
      </c>
      <c r="E93" s="196">
        <f>H54</f>
        <v>2.5618337303477841</v>
      </c>
      <c r="F93" s="298">
        <f t="shared" ref="F93:F112" si="19">F5</f>
        <v>1</v>
      </c>
      <c r="G93" s="248">
        <f t="shared" ref="G93:G112" si="20">D93*E93</f>
        <v>10974.059183673467</v>
      </c>
      <c r="H93" s="206">
        <f t="shared" ref="H93:H112" si="21">G93*F93</f>
        <v>10974.059183673467</v>
      </c>
    </row>
    <row r="94" spans="1:8" ht="14.25" customHeight="1" x14ac:dyDescent="0.3">
      <c r="A94" s="127" t="s">
        <v>13</v>
      </c>
      <c r="B94" s="122" t="str">
        <f t="shared" si="18"/>
        <v>Onion - بصل</v>
      </c>
      <c r="C94" s="122" t="str">
        <f t="shared" si="18"/>
        <v>gm</v>
      </c>
      <c r="D94" s="457">
        <f t="shared" si="18"/>
        <v>50</v>
      </c>
      <c r="E94" s="196">
        <f t="shared" ref="E94:E114" si="22">$C$54</f>
        <v>2.6419701030927829</v>
      </c>
      <c r="F94" s="298">
        <f t="shared" si="19"/>
        <v>0.95</v>
      </c>
      <c r="G94" s="248">
        <f t="shared" si="20"/>
        <v>132.09850515463916</v>
      </c>
      <c r="H94" s="206">
        <f t="shared" si="21"/>
        <v>125.49357989690719</v>
      </c>
    </row>
    <row r="95" spans="1:8" ht="14.25" customHeight="1" x14ac:dyDescent="0.3">
      <c r="A95" s="127" t="s">
        <v>13</v>
      </c>
      <c r="B95" s="122" t="str">
        <f t="shared" si="18"/>
        <v>Garlic - ثوم مقشر</v>
      </c>
      <c r="C95" s="122" t="str">
        <f t="shared" si="18"/>
        <v>gm</v>
      </c>
      <c r="D95" s="457">
        <f t="shared" si="18"/>
        <v>10</v>
      </c>
      <c r="E95" s="196">
        <f t="shared" si="22"/>
        <v>2.6419701030927829</v>
      </c>
      <c r="F95" s="298">
        <f t="shared" si="19"/>
        <v>1</v>
      </c>
      <c r="G95" s="248">
        <f t="shared" si="20"/>
        <v>26.419701030927829</v>
      </c>
      <c r="H95" s="206">
        <f t="shared" si="21"/>
        <v>26.419701030927829</v>
      </c>
    </row>
    <row r="96" spans="1:8" ht="14.25" customHeight="1" x14ac:dyDescent="0.3">
      <c r="A96" s="127" t="s">
        <v>192</v>
      </c>
      <c r="B96" s="122" t="str">
        <f t="shared" si="18"/>
        <v>Demi Glaze Sauce - صوص ديمي غلاز</v>
      </c>
      <c r="C96" s="122" t="str">
        <f t="shared" si="18"/>
        <v>gm</v>
      </c>
      <c r="D96" s="457">
        <f t="shared" si="18"/>
        <v>25</v>
      </c>
      <c r="E96" s="196">
        <f t="shared" si="22"/>
        <v>2.6419701030927829</v>
      </c>
      <c r="F96" s="298">
        <f t="shared" si="19"/>
        <v>0.9</v>
      </c>
      <c r="G96" s="248">
        <f t="shared" si="20"/>
        <v>66.049252577319578</v>
      </c>
      <c r="H96" s="206">
        <f t="shared" si="21"/>
        <v>59.444327319587622</v>
      </c>
    </row>
    <row r="97" spans="1:8" ht="14.25" customHeight="1" x14ac:dyDescent="0.3">
      <c r="A97" s="127" t="s">
        <v>154</v>
      </c>
      <c r="B97" s="122" t="str">
        <f t="shared" si="18"/>
        <v>Cooking Cream - كريمة طبخ</v>
      </c>
      <c r="C97" s="122" t="str">
        <f t="shared" si="18"/>
        <v>ml</v>
      </c>
      <c r="D97" s="457">
        <f t="shared" si="18"/>
        <v>500</v>
      </c>
      <c r="E97" s="196">
        <f t="shared" si="22"/>
        <v>2.6419701030927829</v>
      </c>
      <c r="F97" s="298">
        <f t="shared" si="19"/>
        <v>1</v>
      </c>
      <c r="G97" s="248">
        <f t="shared" si="20"/>
        <v>1320.9850515463916</v>
      </c>
      <c r="H97" s="206">
        <f t="shared" si="21"/>
        <v>1320.9850515463916</v>
      </c>
    </row>
    <row r="98" spans="1:8" ht="14.25" customHeight="1" x14ac:dyDescent="0.3">
      <c r="A98" s="127" t="s">
        <v>154</v>
      </c>
      <c r="B98" s="122" t="str">
        <f t="shared" si="18"/>
        <v>Butter - زبدة</v>
      </c>
      <c r="C98" s="122" t="str">
        <f t="shared" si="18"/>
        <v>gm</v>
      </c>
      <c r="D98" s="457">
        <f t="shared" si="18"/>
        <v>10</v>
      </c>
      <c r="E98" s="196">
        <f t="shared" si="22"/>
        <v>2.6419701030927829</v>
      </c>
      <c r="F98" s="298">
        <f t="shared" si="19"/>
        <v>1</v>
      </c>
      <c r="G98" s="248">
        <f t="shared" si="20"/>
        <v>26.419701030927829</v>
      </c>
      <c r="H98" s="206">
        <f t="shared" si="21"/>
        <v>26.419701030927829</v>
      </c>
    </row>
    <row r="99" spans="1:8" ht="14.25" customHeight="1" x14ac:dyDescent="0.3">
      <c r="A99" s="127" t="s">
        <v>95</v>
      </c>
      <c r="B99" s="122" t="str">
        <f t="shared" si="18"/>
        <v>Salt - ملح</v>
      </c>
      <c r="C99" s="122" t="str">
        <f t="shared" si="18"/>
        <v>gm</v>
      </c>
      <c r="D99" s="457">
        <f t="shared" si="18"/>
        <v>5</v>
      </c>
      <c r="E99" s="196">
        <f t="shared" si="22"/>
        <v>2.6419701030927829</v>
      </c>
      <c r="F99" s="298">
        <f t="shared" si="19"/>
        <v>0.75</v>
      </c>
      <c r="G99" s="248">
        <f t="shared" si="20"/>
        <v>13.209850515463915</v>
      </c>
      <c r="H99" s="206">
        <f t="shared" si="21"/>
        <v>9.9073878865979363</v>
      </c>
    </row>
    <row r="100" spans="1:8" ht="14.25" customHeight="1" x14ac:dyDescent="0.3">
      <c r="A100" s="127" t="s">
        <v>154</v>
      </c>
      <c r="B100" s="122" t="str">
        <f t="shared" si="18"/>
        <v>Milk - حليب</v>
      </c>
      <c r="C100" s="122" t="str">
        <f t="shared" si="18"/>
        <v>ml</v>
      </c>
      <c r="D100" s="457">
        <f t="shared" si="18"/>
        <v>400</v>
      </c>
      <c r="E100" s="196">
        <f t="shared" si="22"/>
        <v>2.6419701030927829</v>
      </c>
      <c r="F100" s="298">
        <f t="shared" si="19"/>
        <v>1</v>
      </c>
      <c r="G100" s="248">
        <f t="shared" si="20"/>
        <v>1056.7880412371132</v>
      </c>
      <c r="H100" s="206">
        <f t="shared" si="21"/>
        <v>1056.7880412371132</v>
      </c>
    </row>
    <row r="101" spans="1:8" ht="14.25" customHeight="1" x14ac:dyDescent="0.3">
      <c r="A101" s="127" t="s">
        <v>206</v>
      </c>
      <c r="B101" s="122" t="str">
        <f t="shared" si="18"/>
        <v>Water - ماء</v>
      </c>
      <c r="C101" s="122" t="str">
        <f t="shared" si="18"/>
        <v>ml</v>
      </c>
      <c r="D101" s="457">
        <f t="shared" si="18"/>
        <v>300</v>
      </c>
      <c r="E101" s="196">
        <f t="shared" si="22"/>
        <v>2.6419701030927829</v>
      </c>
      <c r="F101" s="298">
        <f t="shared" si="19"/>
        <v>1</v>
      </c>
      <c r="G101" s="248">
        <f t="shared" si="20"/>
        <v>792.59103092783482</v>
      </c>
      <c r="H101" s="206">
        <f t="shared" si="21"/>
        <v>792.59103092783482</v>
      </c>
    </row>
    <row r="102" spans="1:8" ht="14.25" customHeight="1" x14ac:dyDescent="0.3">
      <c r="A102" s="127" t="s">
        <v>95</v>
      </c>
      <c r="B102" s="122" t="str">
        <f t="shared" si="18"/>
        <v>Black Pepper Powder - فلفل أسود مطحون</v>
      </c>
      <c r="C102" s="122" t="str">
        <f t="shared" si="18"/>
        <v>gm</v>
      </c>
      <c r="D102" s="457">
        <f t="shared" si="18"/>
        <v>2</v>
      </c>
      <c r="E102" s="196">
        <f t="shared" si="22"/>
        <v>2.6419701030927829</v>
      </c>
      <c r="F102" s="298">
        <f t="shared" si="19"/>
        <v>0.75</v>
      </c>
      <c r="G102" s="248">
        <f t="shared" si="20"/>
        <v>5.2839402061855658</v>
      </c>
      <c r="H102" s="206">
        <f t="shared" si="21"/>
        <v>3.9629551546391744</v>
      </c>
    </row>
    <row r="103" spans="1:8" ht="14.25" customHeight="1" x14ac:dyDescent="0.3">
      <c r="A103" s="127" t="s">
        <v>95</v>
      </c>
      <c r="B103" s="122" t="str">
        <f t="shared" si="18"/>
        <v>Maggi Cubes - مكعبات ماجي</v>
      </c>
      <c r="C103" s="122" t="str">
        <f t="shared" si="18"/>
        <v>gm</v>
      </c>
      <c r="D103" s="457">
        <f t="shared" si="18"/>
        <v>10</v>
      </c>
      <c r="E103" s="196">
        <f t="shared" si="22"/>
        <v>2.6419701030927829</v>
      </c>
      <c r="F103" s="298">
        <f t="shared" si="19"/>
        <v>0.6</v>
      </c>
      <c r="G103" s="248">
        <f t="shared" si="20"/>
        <v>26.419701030927829</v>
      </c>
      <c r="H103" s="206">
        <f t="shared" si="21"/>
        <v>15.851820618556697</v>
      </c>
    </row>
    <row r="104" spans="1:8" ht="14.25" customHeight="1" x14ac:dyDescent="0.3">
      <c r="A104" s="127" t="s">
        <v>215</v>
      </c>
      <c r="B104" s="122" t="str">
        <f t="shared" si="18"/>
        <v>Brown Color - لون بني</v>
      </c>
      <c r="C104" s="122" t="str">
        <f t="shared" si="18"/>
        <v>gm</v>
      </c>
      <c r="D104" s="457">
        <f t="shared" si="18"/>
        <v>1</v>
      </c>
      <c r="E104" s="196">
        <f t="shared" si="22"/>
        <v>2.6419701030927829</v>
      </c>
      <c r="F104" s="298">
        <f t="shared" si="19"/>
        <v>0.9</v>
      </c>
      <c r="G104" s="248">
        <f t="shared" si="20"/>
        <v>2.6419701030927829</v>
      </c>
      <c r="H104" s="206">
        <f t="shared" si="21"/>
        <v>2.3777730927835048</v>
      </c>
    </row>
    <row r="105" spans="1:8" ht="14.25" customHeight="1" x14ac:dyDescent="0.3">
      <c r="A105" s="127" t="s">
        <v>95</v>
      </c>
      <c r="B105" s="122" t="str">
        <f t="shared" si="18"/>
        <v>Black Pepper Whole - فلفل أسود حب</v>
      </c>
      <c r="C105" s="122" t="str">
        <f t="shared" si="18"/>
        <v>gm</v>
      </c>
      <c r="D105" s="457">
        <f t="shared" si="18"/>
        <v>2</v>
      </c>
      <c r="E105" s="196">
        <f t="shared" si="22"/>
        <v>2.6419701030927829</v>
      </c>
      <c r="F105" s="298">
        <f t="shared" si="19"/>
        <v>1</v>
      </c>
      <c r="G105" s="248">
        <f t="shared" si="20"/>
        <v>5.2839402061855658</v>
      </c>
      <c r="H105" s="206">
        <f t="shared" si="21"/>
        <v>5.2839402061855658</v>
      </c>
    </row>
    <row r="106" spans="1:8" ht="14.25" customHeight="1" x14ac:dyDescent="0.3">
      <c r="A106" s="127" t="s">
        <v>95</v>
      </c>
      <c r="B106" s="122" t="str">
        <f t="shared" si="18"/>
        <v>Cinnamon Whole - قرفة أعواد</v>
      </c>
      <c r="C106" s="122" t="str">
        <f t="shared" si="18"/>
        <v>gm</v>
      </c>
      <c r="D106" s="457">
        <f t="shared" si="18"/>
        <v>2</v>
      </c>
      <c r="E106" s="196">
        <f t="shared" si="22"/>
        <v>2.6419701030927829</v>
      </c>
      <c r="F106" s="298">
        <f t="shared" si="19"/>
        <v>1</v>
      </c>
      <c r="G106" s="248">
        <f t="shared" si="20"/>
        <v>5.2839402061855658</v>
      </c>
      <c r="H106" s="206">
        <f t="shared" si="21"/>
        <v>5.2839402061855658</v>
      </c>
    </row>
    <row r="107" spans="1:8" ht="14.25" customHeight="1" x14ac:dyDescent="0.3">
      <c r="A107" s="127" t="s">
        <v>95</v>
      </c>
      <c r="B107" s="122" t="str">
        <f t="shared" si="18"/>
        <v>Cumin Whole - كمون حب</v>
      </c>
      <c r="C107" s="122" t="str">
        <f t="shared" si="18"/>
        <v>gm</v>
      </c>
      <c r="D107" s="457">
        <f t="shared" si="18"/>
        <v>2</v>
      </c>
      <c r="E107" s="196">
        <f t="shared" si="22"/>
        <v>2.6419701030927829</v>
      </c>
      <c r="F107" s="298">
        <f t="shared" si="19"/>
        <v>1</v>
      </c>
      <c r="G107" s="248">
        <f t="shared" si="20"/>
        <v>5.2839402061855658</v>
      </c>
      <c r="H107" s="206">
        <f t="shared" si="21"/>
        <v>5.2839402061855658</v>
      </c>
    </row>
    <row r="108" spans="1:8" ht="14.25" customHeight="1" x14ac:dyDescent="0.3">
      <c r="A108" s="127" t="s">
        <v>95</v>
      </c>
      <c r="B108" s="122" t="str">
        <f t="shared" si="18"/>
        <v>Cloves Whole - قرنفل حب</v>
      </c>
      <c r="C108" s="122" t="str">
        <f t="shared" si="18"/>
        <v>gm</v>
      </c>
      <c r="D108" s="457">
        <f t="shared" si="18"/>
        <v>2</v>
      </c>
      <c r="E108" s="196">
        <f t="shared" si="22"/>
        <v>2.6419701030927829</v>
      </c>
      <c r="F108" s="298">
        <f t="shared" si="19"/>
        <v>1</v>
      </c>
      <c r="G108" s="248">
        <f t="shared" si="20"/>
        <v>5.2839402061855658</v>
      </c>
      <c r="H108" s="206">
        <f t="shared" si="21"/>
        <v>5.2839402061855658</v>
      </c>
    </row>
    <row r="109" spans="1:8" ht="14.25" customHeight="1" x14ac:dyDescent="0.3">
      <c r="A109" s="127" t="s">
        <v>95</v>
      </c>
      <c r="B109" s="122" t="str">
        <f t="shared" si="18"/>
        <v>Cardamom Whole - هيل حب</v>
      </c>
      <c r="C109" s="122" t="str">
        <f t="shared" si="18"/>
        <v>gm</v>
      </c>
      <c r="D109" s="457">
        <f t="shared" si="18"/>
        <v>2</v>
      </c>
      <c r="E109" s="196">
        <f t="shared" si="22"/>
        <v>2.6419701030927829</v>
      </c>
      <c r="F109" s="298">
        <f t="shared" si="19"/>
        <v>1</v>
      </c>
      <c r="G109" s="248">
        <f t="shared" si="20"/>
        <v>5.2839402061855658</v>
      </c>
      <c r="H109" s="206">
        <f t="shared" si="21"/>
        <v>5.2839402061855658</v>
      </c>
    </row>
    <row r="110" spans="1:8" ht="14.25" customHeight="1" x14ac:dyDescent="0.3">
      <c r="A110" s="127" t="s">
        <v>95</v>
      </c>
      <c r="B110" s="122" t="str">
        <f t="shared" si="18"/>
        <v>Star Anise - ينسون نجمي</v>
      </c>
      <c r="C110" s="122" t="str">
        <f t="shared" si="18"/>
        <v>gm</v>
      </c>
      <c r="D110" s="457">
        <f t="shared" si="18"/>
        <v>2</v>
      </c>
      <c r="E110" s="196">
        <f t="shared" si="22"/>
        <v>2.6419701030927829</v>
      </c>
      <c r="F110" s="298">
        <f t="shared" si="19"/>
        <v>1</v>
      </c>
      <c r="G110" s="248">
        <f t="shared" si="20"/>
        <v>5.2839402061855658</v>
      </c>
      <c r="H110" s="206">
        <f t="shared" si="21"/>
        <v>5.2839402061855658</v>
      </c>
    </row>
    <row r="111" spans="1:8" ht="14.25" customHeight="1" x14ac:dyDescent="0.3">
      <c r="A111" s="127" t="s">
        <v>62</v>
      </c>
      <c r="B111" s="122" t="str">
        <f t="shared" si="18"/>
        <v>Rosemary - روزميري مستورد</v>
      </c>
      <c r="C111" s="122" t="str">
        <f t="shared" si="18"/>
        <v>gm</v>
      </c>
      <c r="D111" s="457">
        <f t="shared" si="18"/>
        <v>2</v>
      </c>
      <c r="E111" s="196">
        <f t="shared" si="22"/>
        <v>2.6419701030927829</v>
      </c>
      <c r="F111" s="298">
        <f t="shared" si="19"/>
        <v>1</v>
      </c>
      <c r="G111" s="248">
        <f t="shared" si="20"/>
        <v>5.2839402061855658</v>
      </c>
      <c r="H111" s="206">
        <f t="shared" si="21"/>
        <v>5.2839402061855658</v>
      </c>
    </row>
    <row r="112" spans="1:8" ht="14.25" customHeight="1" x14ac:dyDescent="0.3">
      <c r="A112" s="127" t="s">
        <v>81</v>
      </c>
      <c r="B112" s="122" t="str">
        <f t="shared" si="18"/>
        <v>Bay Leaf - ورق غار</v>
      </c>
      <c r="C112" s="122" t="str">
        <f t="shared" si="18"/>
        <v>gm</v>
      </c>
      <c r="D112" s="457">
        <f t="shared" si="18"/>
        <v>2</v>
      </c>
      <c r="E112" s="196">
        <f t="shared" si="22"/>
        <v>2.6419701030927829</v>
      </c>
      <c r="F112" s="298">
        <f t="shared" si="19"/>
        <v>1</v>
      </c>
      <c r="G112" s="248">
        <f t="shared" si="20"/>
        <v>5.2839402061855658</v>
      </c>
      <c r="H112" s="206">
        <f t="shared" si="21"/>
        <v>5.2839402061855658</v>
      </c>
    </row>
    <row r="113" spans="1:8" ht="20.25" customHeight="1" x14ac:dyDescent="0.3">
      <c r="A113" s="127"/>
      <c r="B113" s="122" t="str">
        <f t="shared" ref="B113:D113" si="23">B25</f>
        <v>Salt - ملح</v>
      </c>
      <c r="C113" s="122" t="str">
        <f t="shared" si="23"/>
        <v>gm</v>
      </c>
      <c r="D113" s="457">
        <f t="shared" si="23"/>
        <v>5</v>
      </c>
      <c r="E113" s="196">
        <f t="shared" si="22"/>
        <v>2.6419701030927829</v>
      </c>
      <c r="F113" s="298">
        <f t="shared" ref="F113:F114" si="24">F25</f>
        <v>1</v>
      </c>
      <c r="G113" s="248">
        <f t="shared" ref="G113:G114" si="25">D113*E113</f>
        <v>13.209850515463915</v>
      </c>
      <c r="H113" s="206">
        <f t="shared" ref="H113:H114" si="26">G113*F113</f>
        <v>13.209850515463915</v>
      </c>
    </row>
    <row r="114" spans="1:8" x14ac:dyDescent="0.3">
      <c r="A114" s="127" t="s">
        <v>81</v>
      </c>
      <c r="B114" s="122" t="str">
        <f t="shared" ref="B114:D114" si="27">B26</f>
        <v>Corn Starch - نشا ذرة</v>
      </c>
      <c r="C114" s="122" t="str">
        <f t="shared" si="27"/>
        <v>gm</v>
      </c>
      <c r="D114" s="457">
        <f t="shared" si="27"/>
        <v>20</v>
      </c>
      <c r="E114" s="196">
        <f t="shared" si="22"/>
        <v>2.6419701030927829</v>
      </c>
      <c r="F114" s="298">
        <f t="shared" si="24"/>
        <v>0.75</v>
      </c>
      <c r="G114" s="248">
        <f t="shared" si="25"/>
        <v>52.839402061855658</v>
      </c>
      <c r="H114" s="206">
        <f t="shared" si="26"/>
        <v>39.629551546391745</v>
      </c>
    </row>
    <row r="115" spans="1:8" ht="18" x14ac:dyDescent="0.3">
      <c r="A115" s="210"/>
      <c r="B115" s="197" t="s">
        <v>291</v>
      </c>
      <c r="C115" s="199" t="s">
        <v>277</v>
      </c>
      <c r="E115" s="199" t="s">
        <v>292</v>
      </c>
      <c r="G115" s="878" t="s">
        <v>268</v>
      </c>
      <c r="H115" s="878" t="s">
        <v>703</v>
      </c>
    </row>
    <row r="116" spans="1:8" ht="20" x14ac:dyDescent="0.4">
      <c r="A116" s="210"/>
      <c r="B116" s="198">
        <f>$J$54</f>
        <v>5377.2890000000007</v>
      </c>
      <c r="C116" s="198">
        <f>E116+G116</f>
        <v>2562.7109999999993</v>
      </c>
      <c r="D116" s="915"/>
      <c r="E116" s="198">
        <f>$D$54*$S$44</f>
        <v>2562.7109999999993</v>
      </c>
      <c r="F116" s="919"/>
      <c r="G116" s="198">
        <f>$D$54*$T$44</f>
        <v>0</v>
      </c>
      <c r="H116" s="198">
        <f>B116+E116</f>
        <v>7940</v>
      </c>
    </row>
  </sheetData>
  <mergeCells count="9">
    <mergeCell ref="AE2:AG3"/>
    <mergeCell ref="B63:H63"/>
    <mergeCell ref="R26:U26"/>
    <mergeCell ref="B91:H91"/>
    <mergeCell ref="B2:H2"/>
    <mergeCell ref="B62:H62"/>
    <mergeCell ref="R25:U25"/>
    <mergeCell ref="B90:H90"/>
    <mergeCell ref="B35:F35"/>
  </mergeCells>
  <printOptions horizontalCentered="1"/>
  <pageMargins left="0.5" right="0.5" top="1" bottom="0.5" header="0.3" footer="0.511811023622047"/>
  <pageSetup paperSize="9" scale="35" orientation="portrait"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E5EF12-6654-4B19-8D8B-EE68964A6287}">
  <sheetPr codeName="Sheet88">
    <tabColor theme="7" tint="-0.249977111117893"/>
    <pageSetUpPr fitToPage="1"/>
  </sheetPr>
  <dimension ref="A1:AD970"/>
  <sheetViews>
    <sheetView topLeftCell="A19" zoomScale="62" zoomScaleNormal="70" workbookViewId="0">
      <selection activeCell="L40" sqref="L40"/>
    </sheetView>
  </sheetViews>
  <sheetFormatPr defaultColWidth="12.5" defaultRowHeight="12.5" x14ac:dyDescent="0.3"/>
  <cols>
    <col min="1" max="1" width="8.08203125" style="693" customWidth="1"/>
    <col min="2" max="2" width="42.08203125" style="693" customWidth="1"/>
    <col min="3" max="3" width="17.33203125" style="693" customWidth="1"/>
    <col min="4" max="4" width="21.6640625" style="693" customWidth="1"/>
    <col min="5" max="5" width="16.1640625" style="693" customWidth="1"/>
    <col min="6" max="6" width="12.25" style="693" customWidth="1"/>
    <col min="7" max="7" width="25.1640625" style="693" customWidth="1"/>
    <col min="8" max="9" width="18.4140625" style="693" customWidth="1"/>
    <col min="10" max="11" width="12.5" style="693" customWidth="1"/>
    <col min="12" max="12" width="8.33203125" style="693" customWidth="1"/>
    <col min="13" max="13" width="25.08203125" style="693" customWidth="1"/>
    <col min="14" max="14" width="12.5" style="693" customWidth="1"/>
    <col min="15" max="15" width="11.33203125" style="693" customWidth="1"/>
    <col min="16" max="16" width="7.75" style="693" customWidth="1"/>
    <col min="17" max="17" width="16.83203125" style="693" customWidth="1"/>
    <col min="18" max="18" width="24.75" style="693" customWidth="1"/>
    <col min="19" max="19" width="20.9140625" style="693" customWidth="1"/>
    <col min="20" max="20" width="14.08203125" style="693" customWidth="1"/>
    <col min="21" max="21" width="11.5" style="693" customWidth="1"/>
    <col min="22" max="22" width="9.4140625" style="693" customWidth="1"/>
    <col min="23" max="23" width="10.1640625" style="693" customWidth="1"/>
    <col min="24" max="24" width="14.58203125" style="693" customWidth="1"/>
    <col min="25" max="25" width="8.75" style="693" customWidth="1"/>
    <col min="26" max="16384" width="12.5" style="693"/>
  </cols>
  <sheetData>
    <row r="1" spans="1:30" ht="36" customHeight="1" x14ac:dyDescent="0.3">
      <c r="B1" s="748" t="s">
        <v>721</v>
      </c>
      <c r="C1" s="752">
        <v>5000</v>
      </c>
      <c r="D1" s="751" t="s">
        <v>236</v>
      </c>
      <c r="E1" s="750">
        <f>U30</f>
        <v>8838.8999999999978</v>
      </c>
      <c r="F1" s="748" t="s">
        <v>237</v>
      </c>
      <c r="G1" s="749">
        <f>E1/C1</f>
        <v>1.7677799999999995</v>
      </c>
      <c r="H1" s="748" t="s">
        <v>238</v>
      </c>
      <c r="I1" s="962">
        <f>(G1/K1)</f>
        <v>1.7677799999999995</v>
      </c>
      <c r="J1" s="963" t="s">
        <v>239</v>
      </c>
      <c r="K1" s="752">
        <v>1</v>
      </c>
      <c r="L1" s="700"/>
      <c r="M1" s="700"/>
      <c r="N1" s="700"/>
      <c r="O1" s="700"/>
      <c r="P1" s="700"/>
      <c r="Q1" s="92" t="s">
        <v>242</v>
      </c>
      <c r="R1" s="91">
        <v>0.66</v>
      </c>
      <c r="S1" s="964" t="s">
        <v>726</v>
      </c>
      <c r="T1" s="965">
        <v>0.77</v>
      </c>
      <c r="Y1" s="966" t="s">
        <v>463</v>
      </c>
      <c r="Z1" s="967">
        <v>38430</v>
      </c>
      <c r="AA1" s="966" t="s">
        <v>465</v>
      </c>
      <c r="AB1" s="967">
        <v>0</v>
      </c>
      <c r="AD1" s="693">
        <v>268</v>
      </c>
    </row>
    <row r="2" spans="1:30" ht="12.75" customHeight="1" x14ac:dyDescent="0.3">
      <c r="A2" s="1468"/>
      <c r="B2" s="1468" t="s">
        <v>722</v>
      </c>
      <c r="C2" s="1510"/>
      <c r="D2" s="1510"/>
      <c r="E2" s="1510"/>
      <c r="F2" s="1510"/>
      <c r="G2" s="1510"/>
      <c r="H2" s="1510"/>
      <c r="I2" s="700"/>
      <c r="J2" s="700"/>
      <c r="K2" s="700"/>
      <c r="L2" s="700"/>
      <c r="M2" s="700"/>
      <c r="N2" s="700"/>
      <c r="O2" s="700"/>
      <c r="P2" s="700"/>
      <c r="Q2" s="700"/>
      <c r="R2" s="700"/>
      <c r="S2" s="700"/>
    </row>
    <row r="3" spans="1:30" ht="12.75" customHeight="1" x14ac:dyDescent="0.3">
      <c r="A3" s="1510"/>
      <c r="B3" s="968"/>
      <c r="C3" s="968"/>
      <c r="D3" s="968"/>
      <c r="E3" s="968"/>
      <c r="F3" s="968"/>
      <c r="G3" s="968"/>
      <c r="H3" s="968"/>
      <c r="I3" s="700"/>
      <c r="J3" s="700"/>
      <c r="K3" s="700"/>
      <c r="L3" s="700"/>
      <c r="M3" s="700"/>
      <c r="N3" s="700"/>
      <c r="O3" s="700"/>
      <c r="P3" s="700"/>
      <c r="Q3" s="700"/>
      <c r="R3" s="700"/>
      <c r="S3" s="700"/>
    </row>
    <row r="4" spans="1:30" ht="57" customHeight="1" x14ac:dyDescent="0.3">
      <c r="A4" s="698" t="s">
        <v>1</v>
      </c>
      <c r="B4" s="698" t="s">
        <v>717</v>
      </c>
      <c r="C4" s="699" t="s">
        <v>321</v>
      </c>
      <c r="D4" s="698" t="s">
        <v>723</v>
      </c>
      <c r="E4" s="969" t="s">
        <v>323</v>
      </c>
      <c r="F4" s="969" t="s">
        <v>324</v>
      </c>
      <c r="G4" s="970" t="s">
        <v>325</v>
      </c>
      <c r="H4" s="711" t="s">
        <v>326</v>
      </c>
      <c r="I4" s="90" t="s">
        <v>250</v>
      </c>
      <c r="J4" s="90" t="s">
        <v>251</v>
      </c>
      <c r="K4" s="90" t="s">
        <v>252</v>
      </c>
      <c r="L4" s="90" t="s">
        <v>253</v>
      </c>
      <c r="M4" s="700"/>
      <c r="N4" s="700"/>
      <c r="O4" s="700"/>
      <c r="P4" s="700"/>
      <c r="Q4" s="700"/>
      <c r="R4" s="700"/>
      <c r="S4" s="700"/>
    </row>
    <row r="5" spans="1:30" ht="14" x14ac:dyDescent="0.3">
      <c r="B5" s="221" t="s">
        <v>230</v>
      </c>
      <c r="C5" s="705" t="s">
        <v>231</v>
      </c>
      <c r="D5" s="972">
        <f>4500/R1</f>
        <v>6818.181818181818</v>
      </c>
      <c r="E5" s="696">
        <f t="shared" ref="E5:E19" si="0">$G$1</f>
        <v>1.7677799999999995</v>
      </c>
      <c r="F5" s="695">
        <v>1</v>
      </c>
      <c r="G5" s="739">
        <f>D5*E5</f>
        <v>12053.04545454545</v>
      </c>
      <c r="H5" s="973">
        <f>G5*F5</f>
        <v>12053.04545454545</v>
      </c>
      <c r="I5" s="80">
        <f>VLOOKUP(B5,All_Ingredients!$A$1:$F$149,6,FALSE())</f>
        <v>0.99</v>
      </c>
      <c r="J5" s="118">
        <f>VLOOKUP(B5,All_Ingredients!$A$1:$J$149,10,FALSE())</f>
        <v>11.75</v>
      </c>
      <c r="K5" s="121">
        <f t="shared" ref="K5:K8" si="1">(H5/I5)/1000</f>
        <v>12.174793388429746</v>
      </c>
      <c r="L5" s="121">
        <f t="shared" ref="L5:L8" si="2">K5*J5</f>
        <v>143.05382231404951</v>
      </c>
    </row>
    <row r="6" spans="1:30" ht="13" x14ac:dyDescent="0.25">
      <c r="B6" s="971" t="s">
        <v>12</v>
      </c>
      <c r="C6" s="705" t="s">
        <v>14</v>
      </c>
      <c r="D6" s="972">
        <v>1800</v>
      </c>
      <c r="E6" s="696">
        <f t="shared" si="0"/>
        <v>1.7677799999999995</v>
      </c>
      <c r="F6" s="695">
        <v>1</v>
      </c>
      <c r="G6" s="739">
        <f t="shared" ref="G6:G19" si="3">D6*E6</f>
        <v>3182.003999999999</v>
      </c>
      <c r="H6" s="973">
        <f t="shared" ref="H6:H19" si="4">G6*F6</f>
        <v>3182.003999999999</v>
      </c>
      <c r="I6" s="80">
        <f>VLOOKUP(B6,All_Ingredients!$A$1:$F$149,6,FALSE())</f>
        <v>0.9</v>
      </c>
      <c r="J6" s="118">
        <f>VLOOKUP(B6,All_Ingredients!$A$1:$J$149,10,FALSE())</f>
        <v>3</v>
      </c>
      <c r="K6" s="121">
        <f t="shared" si="1"/>
        <v>3.5355599999999985</v>
      </c>
      <c r="L6" s="121">
        <f t="shared" si="2"/>
        <v>10.606679999999995</v>
      </c>
    </row>
    <row r="7" spans="1:30" ht="13" x14ac:dyDescent="0.25">
      <c r="B7" s="971" t="s">
        <v>762</v>
      </c>
      <c r="C7" s="705" t="s">
        <v>14</v>
      </c>
      <c r="D7" s="972">
        <v>270</v>
      </c>
      <c r="E7" s="696">
        <f t="shared" si="0"/>
        <v>1.7677799999999995</v>
      </c>
      <c r="F7" s="695">
        <v>1</v>
      </c>
      <c r="G7" s="739">
        <f t="shared" si="3"/>
        <v>477.30059999999986</v>
      </c>
      <c r="H7" s="973">
        <f t="shared" si="4"/>
        <v>477.30059999999986</v>
      </c>
      <c r="I7" s="80">
        <f>VLOOKUP(B7,All_Ingredients!$A$1:$F$149,6,FALSE())</f>
        <v>1</v>
      </c>
      <c r="J7" s="118">
        <f>VLOOKUP(B7,All_Ingredients!$A$1:$J$149,10,FALSE())</f>
        <v>10.5</v>
      </c>
      <c r="K7" s="121">
        <f t="shared" si="1"/>
        <v>0.47730059999999985</v>
      </c>
      <c r="L7" s="121">
        <f t="shared" si="2"/>
        <v>5.0116562999999985</v>
      </c>
    </row>
    <row r="8" spans="1:30" ht="13" x14ac:dyDescent="0.25">
      <c r="B8" s="971" t="s">
        <v>153</v>
      </c>
      <c r="C8" s="705" t="s">
        <v>14</v>
      </c>
      <c r="D8" s="972">
        <v>360</v>
      </c>
      <c r="E8" s="696">
        <f t="shared" si="0"/>
        <v>1.7677799999999995</v>
      </c>
      <c r="F8" s="695">
        <v>1</v>
      </c>
      <c r="G8" s="739">
        <f t="shared" si="3"/>
        <v>636.40079999999978</v>
      </c>
      <c r="H8" s="973">
        <f t="shared" si="4"/>
        <v>636.40079999999978</v>
      </c>
      <c r="I8" s="80">
        <f>VLOOKUP(B8,All_Ingredients!$A$1:$F$149,6,FALSE())</f>
        <v>1</v>
      </c>
      <c r="J8" s="118">
        <f>VLOOKUP(B8,All_Ingredients!$A$1:$J$149,10,FALSE())</f>
        <v>30</v>
      </c>
      <c r="K8" s="121">
        <f t="shared" si="1"/>
        <v>0.63640079999999977</v>
      </c>
      <c r="L8" s="121">
        <f t="shared" si="2"/>
        <v>19.092023999999991</v>
      </c>
    </row>
    <row r="9" spans="1:30" ht="13" x14ac:dyDescent="0.25">
      <c r="B9" s="971" t="s">
        <v>94</v>
      </c>
      <c r="C9" s="705" t="s">
        <v>14</v>
      </c>
      <c r="D9" s="972">
        <v>18</v>
      </c>
      <c r="E9" s="696">
        <f t="shared" si="0"/>
        <v>1.7677799999999995</v>
      </c>
      <c r="F9" s="695">
        <v>1</v>
      </c>
      <c r="G9" s="739">
        <f t="shared" si="3"/>
        <v>31.820039999999992</v>
      </c>
      <c r="H9" s="973">
        <f t="shared" si="4"/>
        <v>31.820039999999992</v>
      </c>
      <c r="I9" s="80">
        <f>VLOOKUP(B9,All_Ingredients!$A$1:$F$149,6,FALSE())</f>
        <v>1</v>
      </c>
      <c r="J9" s="118">
        <f>VLOOKUP(B9,All_Ingredients!$A$1:$J$149,10,FALSE())</f>
        <v>0.74</v>
      </c>
      <c r="K9" s="121">
        <f t="shared" ref="K9:K19" si="5">(H9/I9)/1000</f>
        <v>3.1820039999999994E-2</v>
      </c>
      <c r="L9" s="121">
        <f t="shared" ref="L9:L19" si="6">K9*J9</f>
        <v>2.3546829599999996E-2</v>
      </c>
    </row>
    <row r="10" spans="1:30" ht="13" x14ac:dyDescent="0.25">
      <c r="B10" s="971" t="s">
        <v>100</v>
      </c>
      <c r="C10" s="705" t="s">
        <v>14</v>
      </c>
      <c r="D10" s="972">
        <v>18</v>
      </c>
      <c r="E10" s="696">
        <f t="shared" si="0"/>
        <v>1.7677799999999995</v>
      </c>
      <c r="F10" s="695">
        <v>1</v>
      </c>
      <c r="G10" s="739">
        <f t="shared" si="3"/>
        <v>31.820039999999992</v>
      </c>
      <c r="H10" s="973">
        <f t="shared" si="4"/>
        <v>31.820039999999992</v>
      </c>
      <c r="I10" s="80">
        <f>VLOOKUP(B10,All_Ingredients!$A$1:$F$149,6,FALSE())</f>
        <v>1</v>
      </c>
      <c r="J10" s="118">
        <f>VLOOKUP(B10,All_Ingredients!$A$1:$J$149,10,FALSE())</f>
        <v>31</v>
      </c>
      <c r="K10" s="121">
        <f t="shared" si="5"/>
        <v>3.1820039999999994E-2</v>
      </c>
      <c r="L10" s="121">
        <f t="shared" si="6"/>
        <v>0.98642123999999987</v>
      </c>
    </row>
    <row r="11" spans="1:30" ht="13.5" customHeight="1" x14ac:dyDescent="0.25">
      <c r="B11" s="971" t="s">
        <v>123</v>
      </c>
      <c r="C11" s="705" t="s">
        <v>14</v>
      </c>
      <c r="D11" s="972">
        <v>36</v>
      </c>
      <c r="E11" s="696">
        <f t="shared" si="0"/>
        <v>1.7677799999999995</v>
      </c>
      <c r="F11" s="695">
        <v>1</v>
      </c>
      <c r="G11" s="739">
        <f t="shared" si="3"/>
        <v>63.640079999999983</v>
      </c>
      <c r="H11" s="973">
        <f t="shared" si="4"/>
        <v>63.640079999999983</v>
      </c>
      <c r="I11" s="80">
        <f>VLOOKUP(B11,All_Ingredients!$A$1:$F$149,6,FALSE())</f>
        <v>1</v>
      </c>
      <c r="J11" s="118">
        <f>VLOOKUP(B11,All_Ingredients!$A$1:$J$149,10,FALSE())</f>
        <v>14</v>
      </c>
      <c r="K11" s="121">
        <f t="shared" si="5"/>
        <v>6.3640079999999988E-2</v>
      </c>
      <c r="L11" s="121">
        <f t="shared" si="6"/>
        <v>0.89096111999999983</v>
      </c>
    </row>
    <row r="12" spans="1:30" ht="13.5" customHeight="1" x14ac:dyDescent="0.25">
      <c r="B12" s="971" t="s">
        <v>106</v>
      </c>
      <c r="C12" s="705" t="s">
        <v>14</v>
      </c>
      <c r="D12" s="972">
        <v>7.2</v>
      </c>
      <c r="E12" s="696">
        <f t="shared" si="0"/>
        <v>1.7677799999999995</v>
      </c>
      <c r="F12" s="695">
        <v>1</v>
      </c>
      <c r="G12" s="739">
        <f t="shared" si="3"/>
        <v>12.728015999999997</v>
      </c>
      <c r="H12" s="973">
        <f t="shared" si="4"/>
        <v>12.728015999999997</v>
      </c>
      <c r="I12" s="80">
        <f>VLOOKUP(B12,All_Ingredients!$A$1:$F$149,6,FALSE())</f>
        <v>1</v>
      </c>
      <c r="J12" s="118">
        <f>VLOOKUP(B12,All_Ingredients!$A$1:$J$149,10,FALSE())</f>
        <v>15</v>
      </c>
      <c r="K12" s="121">
        <f t="shared" si="5"/>
        <v>1.2728015999999997E-2</v>
      </c>
      <c r="L12" s="121">
        <f t="shared" si="6"/>
        <v>0.19092023999999994</v>
      </c>
    </row>
    <row r="13" spans="1:30" ht="13.5" customHeight="1" x14ac:dyDescent="0.25">
      <c r="B13" s="971" t="s">
        <v>108</v>
      </c>
      <c r="C13" s="705" t="s">
        <v>14</v>
      </c>
      <c r="D13" s="972">
        <v>9</v>
      </c>
      <c r="E13" s="696">
        <f t="shared" si="0"/>
        <v>1.7677799999999995</v>
      </c>
      <c r="F13" s="695">
        <v>1</v>
      </c>
      <c r="G13" s="739">
        <f t="shared" si="3"/>
        <v>15.910019999999996</v>
      </c>
      <c r="H13" s="973">
        <f t="shared" si="4"/>
        <v>15.910019999999996</v>
      </c>
      <c r="I13" s="80">
        <f>VLOOKUP(B13,All_Ingredients!$A$1:$F$149,6,FALSE())</f>
        <v>1</v>
      </c>
      <c r="J13" s="118">
        <f>VLOOKUP(B13,All_Ingredients!$A$1:$J$149,10,FALSE())</f>
        <v>8</v>
      </c>
      <c r="K13" s="121">
        <f t="shared" si="5"/>
        <v>1.5910019999999997E-2</v>
      </c>
      <c r="L13" s="121">
        <f t="shared" si="6"/>
        <v>0.12728015999999998</v>
      </c>
    </row>
    <row r="14" spans="1:30" ht="13.5" customHeight="1" x14ac:dyDescent="0.25">
      <c r="B14" s="971" t="s">
        <v>196</v>
      </c>
      <c r="C14" s="705" t="s">
        <v>14</v>
      </c>
      <c r="D14" s="972">
        <v>180</v>
      </c>
      <c r="E14" s="696">
        <f t="shared" si="0"/>
        <v>1.7677799999999995</v>
      </c>
      <c r="F14" s="695">
        <v>1</v>
      </c>
      <c r="G14" s="739">
        <f t="shared" si="3"/>
        <v>318.20039999999989</v>
      </c>
      <c r="H14" s="973">
        <f t="shared" si="4"/>
        <v>318.20039999999989</v>
      </c>
      <c r="I14" s="80">
        <f>VLOOKUP(B14,All_Ingredients!$A$1:$F$149,6,FALSE())</f>
        <v>1</v>
      </c>
      <c r="J14" s="118">
        <f>VLOOKUP(B14,All_Ingredients!$A$1:$J$149,10,FALSE())</f>
        <v>22.666666666666668</v>
      </c>
      <c r="K14" s="121">
        <f t="shared" si="5"/>
        <v>0.31820039999999988</v>
      </c>
      <c r="L14" s="121">
        <f t="shared" si="6"/>
        <v>7.2125423999999976</v>
      </c>
    </row>
    <row r="15" spans="1:30" ht="14.25" customHeight="1" x14ac:dyDescent="0.3">
      <c r="B15" s="990" t="s">
        <v>140</v>
      </c>
      <c r="C15" s="705" t="s">
        <v>14</v>
      </c>
      <c r="D15" s="972">
        <v>54</v>
      </c>
      <c r="E15" s="696">
        <f t="shared" si="0"/>
        <v>1.7677799999999995</v>
      </c>
      <c r="F15" s="695">
        <v>1</v>
      </c>
      <c r="G15" s="739">
        <f t="shared" si="3"/>
        <v>95.460119999999975</v>
      </c>
      <c r="H15" s="973">
        <f t="shared" si="4"/>
        <v>95.460119999999975</v>
      </c>
      <c r="I15" s="80">
        <f>VLOOKUP(B15,All_Ingredients!$A$1:$F$149,6,FALSE())</f>
        <v>1</v>
      </c>
      <c r="J15" s="118">
        <f>VLOOKUP(B15,All_Ingredients!$A$1:$J$149,10,FALSE())</f>
        <v>15.277777777777779</v>
      </c>
      <c r="K15" s="121">
        <f t="shared" si="5"/>
        <v>9.5460119999999982E-2</v>
      </c>
      <c r="L15" s="121">
        <f t="shared" si="6"/>
        <v>1.4584184999999998</v>
      </c>
      <c r="Z15" s="1265"/>
      <c r="AA15"/>
      <c r="AB15"/>
      <c r="AC15"/>
    </row>
    <row r="16" spans="1:30" ht="14.25" customHeight="1" x14ac:dyDescent="0.3">
      <c r="B16" s="990" t="s">
        <v>91</v>
      </c>
      <c r="C16" s="705" t="s">
        <v>14</v>
      </c>
      <c r="D16" s="972">
        <v>3.6</v>
      </c>
      <c r="E16" s="696">
        <f t="shared" si="0"/>
        <v>1.7677799999999995</v>
      </c>
      <c r="F16" s="695">
        <v>1</v>
      </c>
      <c r="G16" s="739">
        <f t="shared" si="3"/>
        <v>6.3640079999999983</v>
      </c>
      <c r="H16" s="973">
        <f t="shared" si="4"/>
        <v>6.3640079999999983</v>
      </c>
      <c r="I16" s="80">
        <f>VLOOKUP(B16,All_Ingredients!$A$1:$F$149,6,FALSE())</f>
        <v>1</v>
      </c>
      <c r="J16" s="118">
        <f>VLOOKUP(B16,All_Ingredients!$A$1:$J$149,10,FALSE())</f>
        <v>3.04</v>
      </c>
      <c r="K16" s="121">
        <f t="shared" si="5"/>
        <v>6.3640079999999983E-3</v>
      </c>
      <c r="L16" s="121">
        <f t="shared" si="6"/>
        <v>1.9346584319999995E-2</v>
      </c>
      <c r="Z16" s="140" t="s">
        <v>256</v>
      </c>
      <c r="AA16" s="141">
        <v>1</v>
      </c>
      <c r="AB16" s="140" t="s">
        <v>253</v>
      </c>
      <c r="AC16" s="1210">
        <f>AC21*AA16</f>
        <v>2.1476505802754814E-2</v>
      </c>
    </row>
    <row r="17" spans="2:29" ht="13.5" customHeight="1" x14ac:dyDescent="0.3">
      <c r="B17" s="752" t="s">
        <v>127</v>
      </c>
      <c r="C17" s="705" t="s">
        <v>14</v>
      </c>
      <c r="D17" s="975">
        <v>3.6</v>
      </c>
      <c r="E17" s="696">
        <f t="shared" si="0"/>
        <v>1.7677799999999995</v>
      </c>
      <c r="F17" s="695">
        <v>1</v>
      </c>
      <c r="G17" s="739">
        <f t="shared" si="3"/>
        <v>6.3640079999999983</v>
      </c>
      <c r="H17" s="973">
        <f t="shared" si="4"/>
        <v>6.3640079999999983</v>
      </c>
      <c r="I17" s="80">
        <f>VLOOKUP(B17,All_Ingredients!$A$1:$F$149,6,FALSE())</f>
        <v>1</v>
      </c>
      <c r="J17" s="118">
        <f>VLOOKUP(B17,All_Ingredients!$A$1:$J$149,10,FALSE())</f>
        <v>125</v>
      </c>
      <c r="K17" s="121">
        <f t="shared" si="5"/>
        <v>6.3640079999999983E-3</v>
      </c>
      <c r="L17" s="121">
        <f t="shared" si="6"/>
        <v>0.79550099999999979</v>
      </c>
      <c r="Z17"/>
      <c r="AA17"/>
      <c r="AB17" s="14"/>
      <c r="AC17" s="14"/>
    </row>
    <row r="18" spans="2:29" ht="13" x14ac:dyDescent="0.3">
      <c r="B18" s="752" t="s">
        <v>125</v>
      </c>
      <c r="C18" s="705" t="s">
        <v>14</v>
      </c>
      <c r="D18" s="975">
        <v>1.8</v>
      </c>
      <c r="E18" s="696">
        <f t="shared" si="0"/>
        <v>1.7677799999999995</v>
      </c>
      <c r="F18" s="695">
        <v>1</v>
      </c>
      <c r="G18" s="739">
        <f t="shared" si="3"/>
        <v>3.1820039999999992</v>
      </c>
      <c r="H18" s="973">
        <f t="shared" si="4"/>
        <v>3.1820039999999992</v>
      </c>
      <c r="I18" s="80">
        <f>VLOOKUP(B18,All_Ingredients!$A$1:$F$149,6,FALSE())</f>
        <v>1</v>
      </c>
      <c r="J18" s="118">
        <f>VLOOKUP(B18,All_Ingredients!$A$1:$J$149,10,FALSE())</f>
        <v>37</v>
      </c>
      <c r="K18" s="121">
        <f t="shared" si="5"/>
        <v>3.1820039999999991E-3</v>
      </c>
      <c r="L18" s="121">
        <f t="shared" si="6"/>
        <v>0.11773414799999997</v>
      </c>
      <c r="Z18" s="140" t="s">
        <v>262</v>
      </c>
      <c r="AA18" s="146" t="s">
        <v>263</v>
      </c>
      <c r="AB18" s="1167" t="s">
        <v>264</v>
      </c>
      <c r="AC18" s="146" t="s">
        <v>266</v>
      </c>
    </row>
    <row r="19" spans="2:29" ht="14.25" customHeight="1" x14ac:dyDescent="0.3">
      <c r="B19" s="752" t="s">
        <v>725</v>
      </c>
      <c r="C19" s="705" t="s">
        <v>14</v>
      </c>
      <c r="D19" s="975">
        <v>3.6</v>
      </c>
      <c r="E19" s="696">
        <f t="shared" si="0"/>
        <v>1.7677799999999995</v>
      </c>
      <c r="F19" s="695">
        <v>1</v>
      </c>
      <c r="G19" s="976">
        <f t="shared" si="3"/>
        <v>6.3640079999999983</v>
      </c>
      <c r="H19" s="973">
        <f t="shared" si="4"/>
        <v>6.3640079999999983</v>
      </c>
      <c r="I19" s="80">
        <f>VLOOKUP(B19,All_Ingredients!$A$1:$F$149,6,FALSE())</f>
        <v>1</v>
      </c>
      <c r="J19" s="118">
        <f>VLOOKUP(B19,All_Ingredients!$A$1:$J$149,10,FALSE())</f>
        <v>38</v>
      </c>
      <c r="K19" s="121">
        <f t="shared" si="5"/>
        <v>6.3640079999999983E-3</v>
      </c>
      <c r="L19" s="121">
        <f t="shared" si="6"/>
        <v>0.24183230399999994</v>
      </c>
      <c r="Z19" s="150"/>
      <c r="AA19" s="151">
        <f>AA16*S40</f>
        <v>0.9</v>
      </c>
      <c r="AB19" s="151">
        <f>AA16*U40</f>
        <v>0.1</v>
      </c>
      <c r="AC19" s="153">
        <f>SUM(AA19:AB19)</f>
        <v>1</v>
      </c>
    </row>
    <row r="20" spans="2:29" ht="13.5" customHeight="1" x14ac:dyDescent="0.3">
      <c r="G20" s="700"/>
      <c r="I20" s="700"/>
      <c r="J20" s="700"/>
      <c r="K20" s="700"/>
      <c r="Z20" s="150"/>
      <c r="AA20" s="155">
        <f>AA19/AC19</f>
        <v>0.9</v>
      </c>
      <c r="AB20" s="155">
        <f>AB19/AC19</f>
        <v>0.1</v>
      </c>
      <c r="AC20" s="155">
        <f>AA20+AB20</f>
        <v>1</v>
      </c>
    </row>
    <row r="21" spans="2:29" ht="13.5" customHeight="1" x14ac:dyDescent="0.3">
      <c r="E21" s="700"/>
      <c r="F21" s="700"/>
      <c r="G21" s="700"/>
      <c r="J21" s="700"/>
      <c r="K21" s="700"/>
      <c r="Z21" s="140" t="s">
        <v>270</v>
      </c>
      <c r="AA21" s="156">
        <f>S33/(S30)</f>
        <v>1.7982858891949796E-2</v>
      </c>
      <c r="AB21" s="156">
        <f>T33/(T30)</f>
        <v>5.2919327999999974E-2</v>
      </c>
      <c r="AC21" s="1182">
        <f>SUMPRODUCT(AA21:AB21,AA20:AB20)</f>
        <v>2.1476505802754814E-2</v>
      </c>
    </row>
    <row r="22" spans="2:29" ht="13.5" customHeight="1" x14ac:dyDescent="0.3">
      <c r="E22" s="700"/>
      <c r="F22" s="700"/>
      <c r="G22" s="700"/>
    </row>
    <row r="23" spans="2:29" ht="13.5" customHeight="1" x14ac:dyDescent="0.3">
      <c r="E23" s="700"/>
      <c r="F23" s="700"/>
      <c r="G23" s="700"/>
    </row>
    <row r="24" spans="2:29" ht="13.5" customHeight="1" x14ac:dyDescent="0.3">
      <c r="E24" s="700"/>
      <c r="F24" s="700"/>
      <c r="G24" s="700"/>
    </row>
    <row r="25" spans="2:29" ht="18" customHeight="1" x14ac:dyDescent="0.3">
      <c r="R25" s="1511" t="s">
        <v>724</v>
      </c>
      <c r="S25" s="1512"/>
      <c r="T25" s="1512"/>
      <c r="U25" s="1513"/>
    </row>
    <row r="26" spans="2:29" ht="18" customHeight="1" x14ac:dyDescent="0.3">
      <c r="H26" s="991"/>
      <c r="R26" s="1459" t="s">
        <v>365</v>
      </c>
      <c r="S26" s="1444"/>
      <c r="T26" s="1444"/>
      <c r="U26" s="1444"/>
    </row>
    <row r="27" spans="2:29" ht="16.5" customHeight="1" x14ac:dyDescent="0.3">
      <c r="R27" s="709" t="s">
        <v>258</v>
      </c>
      <c r="S27" s="709" t="s">
        <v>387</v>
      </c>
      <c r="T27" s="709" t="s">
        <v>264</v>
      </c>
      <c r="U27" s="709" t="s">
        <v>266</v>
      </c>
    </row>
    <row r="28" spans="2:29" ht="14.25" customHeight="1" x14ac:dyDescent="0.3">
      <c r="N28" s="1474"/>
      <c r="O28" s="1514"/>
      <c r="R28" s="709" t="s">
        <v>531</v>
      </c>
      <c r="S28" s="1360">
        <f>($Z$1-(($Z$1*$T$1)+$AB$1))*$S$40</f>
        <v>7955.0099999999984</v>
      </c>
      <c r="T28" s="1361">
        <f>($Z$1-(($Z$1*$T$1)+$AB$1))*$U$40</f>
        <v>883.88999999999987</v>
      </c>
      <c r="U28" s="1348">
        <f>T28+S28</f>
        <v>8838.8999999999978</v>
      </c>
    </row>
    <row r="29" spans="2:29" ht="13.5" customHeight="1" x14ac:dyDescent="0.3">
      <c r="N29" s="884"/>
      <c r="O29" s="884"/>
      <c r="R29" s="709" t="s">
        <v>269</v>
      </c>
      <c r="S29" s="1349"/>
      <c r="T29" s="1347"/>
      <c r="U29" s="1347"/>
    </row>
    <row r="30" spans="2:29" ht="13.5" customHeight="1" x14ac:dyDescent="0.3">
      <c r="N30" s="884"/>
      <c r="O30" s="981"/>
      <c r="R30" s="709" t="s">
        <v>261</v>
      </c>
      <c r="S30" s="1349">
        <f>S28+S29</f>
        <v>7955.0099999999984</v>
      </c>
      <c r="T30" s="1349">
        <f>T28+T29</f>
        <v>883.88999999999987</v>
      </c>
      <c r="U30" s="1350">
        <f>T30+S30</f>
        <v>8838.8999999999978</v>
      </c>
    </row>
    <row r="31" spans="2:29" ht="13.5" customHeight="1" x14ac:dyDescent="0.3">
      <c r="N31" s="884"/>
      <c r="O31" s="982"/>
    </row>
    <row r="32" spans="2:29" ht="13.5" customHeight="1" thickBot="1" x14ac:dyDescent="0.35">
      <c r="O32" s="884"/>
      <c r="P32" s="982"/>
    </row>
    <row r="33" spans="1:24" ht="13.5" customHeight="1" thickBot="1" x14ac:dyDescent="0.35">
      <c r="O33" s="983"/>
      <c r="P33" s="984"/>
      <c r="R33" s="162" t="s">
        <v>253</v>
      </c>
      <c r="S33" s="1125">
        <f>SUM(L5)</f>
        <v>143.05382231404951</v>
      </c>
      <c r="T33" s="1125">
        <f>SUM(L6:L19)</f>
        <v>46.77486482591997</v>
      </c>
      <c r="U33" s="1213">
        <f>SUM(S33:T33)</f>
        <v>189.82868713996947</v>
      </c>
    </row>
    <row r="34" spans="1:24" ht="13.5" customHeight="1" x14ac:dyDescent="0.3">
      <c r="O34" s="884"/>
      <c r="P34" s="982"/>
    </row>
    <row r="36" spans="1:24" x14ac:dyDescent="0.3">
      <c r="S36" s="991"/>
      <c r="T36" s="991"/>
    </row>
    <row r="40" spans="1:24" ht="13" x14ac:dyDescent="0.3">
      <c r="A40" s="985"/>
      <c r="R40" s="979" t="s">
        <v>387</v>
      </c>
      <c r="S40" s="980">
        <v>0.9</v>
      </c>
      <c r="T40" s="979" t="s">
        <v>260</v>
      </c>
      <c r="U40" s="980">
        <v>0.1</v>
      </c>
    </row>
    <row r="41" spans="1:24" ht="25.25" customHeight="1" x14ac:dyDescent="0.3">
      <c r="A41" s="985"/>
    </row>
    <row r="42" spans="1:24" x14ac:dyDescent="0.25">
      <c r="R42" s="14"/>
      <c r="S42" s="14"/>
      <c r="T42" s="14"/>
      <c r="U42" s="14"/>
      <c r="V42" s="168"/>
      <c r="W42" s="14"/>
      <c r="X42" s="14"/>
    </row>
    <row r="43" spans="1:24" ht="13.5" customHeight="1" x14ac:dyDescent="0.3">
      <c r="Q43" s="169" t="s">
        <v>276</v>
      </c>
      <c r="R43" s="169" t="s">
        <v>277</v>
      </c>
      <c r="S43" s="169" t="s">
        <v>278</v>
      </c>
      <c r="T43" s="169" t="s">
        <v>279</v>
      </c>
      <c r="U43" s="169" t="s">
        <v>280</v>
      </c>
      <c r="V43" s="169" t="s">
        <v>281</v>
      </c>
      <c r="W43" s="257" t="s">
        <v>282</v>
      </c>
      <c r="X43" s="14"/>
    </row>
    <row r="44" spans="1:24" ht="18" customHeight="1" x14ac:dyDescent="0.3">
      <c r="Q44" s="171">
        <v>50000</v>
      </c>
      <c r="R44" s="172">
        <f>D51</f>
        <v>5000</v>
      </c>
      <c r="S44" s="173">
        <v>1</v>
      </c>
      <c r="T44" s="173">
        <v>0</v>
      </c>
      <c r="U44" s="241">
        <f>R44*S44</f>
        <v>5000</v>
      </c>
      <c r="V44" s="175">
        <f>R44*T44</f>
        <v>0</v>
      </c>
      <c r="W44" s="259">
        <f>Q44-U44</f>
        <v>45000</v>
      </c>
      <c r="X44" s="14"/>
    </row>
    <row r="45" spans="1:24" ht="18" customHeight="1" x14ac:dyDescent="0.25">
      <c r="R45" s="14"/>
      <c r="S45" s="14"/>
      <c r="T45" s="14"/>
      <c r="U45" s="14"/>
      <c r="V45" s="14"/>
      <c r="W45" s="14"/>
      <c r="X45" s="14"/>
    </row>
    <row r="47" spans="1:24" x14ac:dyDescent="0.3">
      <c r="I47" s="993"/>
    </row>
    <row r="50" spans="1:10" ht="14" x14ac:dyDescent="0.3">
      <c r="B50" s="977"/>
      <c r="C50" s="977" t="s">
        <v>237</v>
      </c>
      <c r="D50" s="977" t="s">
        <v>283</v>
      </c>
      <c r="G50" s="144" t="s">
        <v>284</v>
      </c>
      <c r="H50" s="144" t="s">
        <v>237</v>
      </c>
      <c r="I50" s="144" t="s">
        <v>285</v>
      </c>
      <c r="J50" s="144" t="s">
        <v>286</v>
      </c>
    </row>
    <row r="51" spans="1:10" ht="14" x14ac:dyDescent="0.3">
      <c r="B51" s="179" t="s">
        <v>287</v>
      </c>
      <c r="C51" s="180">
        <f>30/$K$1</f>
        <v>30</v>
      </c>
      <c r="D51" s="181">
        <f>C1</f>
        <v>5000</v>
      </c>
      <c r="G51" s="179" t="s">
        <v>287</v>
      </c>
      <c r="H51" s="276">
        <f>I51/$D$5</f>
        <v>10</v>
      </c>
      <c r="I51" s="181">
        <f>J51/$R$1</f>
        <v>68181.818181818177</v>
      </c>
      <c r="J51" s="180">
        <f>$W$44</f>
        <v>45000</v>
      </c>
    </row>
    <row r="52" spans="1:10" ht="14" x14ac:dyDescent="0.3">
      <c r="B52" s="709" t="s">
        <v>261</v>
      </c>
      <c r="C52" s="978">
        <f>I1</f>
        <v>1.7677799999999995</v>
      </c>
      <c r="D52" s="974">
        <f>E1</f>
        <v>8838.8999999999978</v>
      </c>
      <c r="G52" s="147" t="s">
        <v>266</v>
      </c>
      <c r="H52" s="209">
        <f>I52/$D$5</f>
        <v>1.7677799999999997</v>
      </c>
      <c r="I52" s="175">
        <f>J52/$R$1</f>
        <v>12053.045454545452</v>
      </c>
      <c r="J52" s="183">
        <f>$S$30</f>
        <v>7955.0099999999984</v>
      </c>
    </row>
    <row r="53" spans="1:10" ht="14" x14ac:dyDescent="0.3">
      <c r="B53" s="709" t="s">
        <v>288</v>
      </c>
      <c r="C53" s="233">
        <f>MIN(C52, C51)</f>
        <v>1.7677799999999995</v>
      </c>
      <c r="D53" s="232">
        <f>(C53*$K$1)*$C$1</f>
        <v>8838.8999999999978</v>
      </c>
      <c r="G53" s="147" t="s">
        <v>288</v>
      </c>
      <c r="H53" s="186">
        <f>MIN(H52,H51)</f>
        <v>1.7677799999999997</v>
      </c>
      <c r="I53" s="175">
        <f>J53/$R$1</f>
        <v>12053.045454545452</v>
      </c>
      <c r="J53" s="175">
        <f>MIN(J52,J51)</f>
        <v>7955.0099999999984</v>
      </c>
    </row>
    <row r="54" spans="1:10" ht="14" x14ac:dyDescent="0.3">
      <c r="B54" s="709" t="s">
        <v>289</v>
      </c>
      <c r="C54" s="233">
        <f>MIN(MAX(C52-C53,0),C51)</f>
        <v>0</v>
      </c>
      <c r="D54" s="232">
        <f>(C54*$K$1)*$C$1</f>
        <v>0</v>
      </c>
      <c r="G54" s="147" t="s">
        <v>289</v>
      </c>
      <c r="H54" s="186">
        <f>MIN(MAX(H52-H53),H51)</f>
        <v>0</v>
      </c>
      <c r="I54" s="175">
        <f>J54/$R$1</f>
        <v>0</v>
      </c>
      <c r="J54" s="175">
        <f>MIN(MAX(J52-J53),J51)</f>
        <v>0</v>
      </c>
    </row>
    <row r="55" spans="1:10" ht="14" x14ac:dyDescent="0.3">
      <c r="B55" s="709"/>
      <c r="C55" s="233">
        <f>MIN(MAX(C52-C53-C54,0),C51)</f>
        <v>0</v>
      </c>
      <c r="D55" s="232">
        <f>(C55*$K$1)*$C$1</f>
        <v>0</v>
      </c>
      <c r="G55" s="144" t="s">
        <v>290</v>
      </c>
      <c r="H55" s="186">
        <f>MIN(MAX(H52-H53-H54),H51)</f>
        <v>0</v>
      </c>
      <c r="I55" s="175">
        <f>J55/$R$1</f>
        <v>0</v>
      </c>
      <c r="J55" s="175">
        <f>MIN(MAX(J52-J53-J54),J51)</f>
        <v>0</v>
      </c>
    </row>
    <row r="60" spans="1:10" x14ac:dyDescent="0.3">
      <c r="A60" s="985"/>
    </row>
    <row r="61" spans="1:10" x14ac:dyDescent="0.3">
      <c r="A61" s="985"/>
    </row>
    <row r="62" spans="1:10" ht="25.25" customHeight="1" x14ac:dyDescent="0.3">
      <c r="A62" s="985"/>
      <c r="B62" s="1509" t="str">
        <f>"    صوص لحمة شرقية   1 / " &amp; COUNTIF($C$53:$C$55,"&gt;0")</f>
        <v xml:space="preserve">    صوص لحمة شرقية   1 / 1</v>
      </c>
      <c r="C62" s="1509"/>
      <c r="D62" s="1509"/>
      <c r="E62" s="1509"/>
      <c r="F62" s="1509"/>
      <c r="G62" s="1509"/>
      <c r="H62" s="1509"/>
    </row>
    <row r="63" spans="1:10" ht="24" customHeight="1" x14ac:dyDescent="0.3">
      <c r="A63" s="985"/>
      <c r="B63" s="1509" t="str">
        <f>"  Oriental Beef for Rice   1 / " &amp; COUNTIF($C$53:$C$55,"&gt;0")</f>
        <v xml:space="preserve">  Oriental Beef for Rice   1 / 1</v>
      </c>
      <c r="C63" s="1509"/>
      <c r="D63" s="1509"/>
      <c r="E63" s="1509"/>
      <c r="F63" s="1509"/>
      <c r="G63" s="1509"/>
      <c r="H63" s="1509"/>
    </row>
    <row r="64" spans="1:10" ht="39" x14ac:dyDescent="0.3">
      <c r="B64" s="242" t="s">
        <v>245</v>
      </c>
      <c r="C64" s="243" t="s">
        <v>246</v>
      </c>
      <c r="D64" s="244" t="s">
        <v>235</v>
      </c>
      <c r="E64" s="217" t="s">
        <v>238</v>
      </c>
      <c r="F64" s="217" t="s">
        <v>247</v>
      </c>
      <c r="G64" s="244" t="s">
        <v>248</v>
      </c>
      <c r="H64" s="217" t="s">
        <v>249</v>
      </c>
    </row>
    <row r="65" spans="2:8" x14ac:dyDescent="0.3">
      <c r="B65" s="986" t="str">
        <f t="shared" ref="B65:D79" si="7">B5</f>
        <v>Indian Meat Tammam Mafroom - مفروم هندى</v>
      </c>
      <c r="C65" s="986" t="str">
        <f t="shared" si="7"/>
        <v>KG</v>
      </c>
      <c r="D65" s="986">
        <f>D5</f>
        <v>6818.181818181818</v>
      </c>
      <c r="E65" s="987">
        <f>$H$53</f>
        <v>1.7677799999999997</v>
      </c>
      <c r="F65" s="994">
        <f>F5</f>
        <v>1</v>
      </c>
      <c r="G65" s="988">
        <f>D65*E65</f>
        <v>12053.045454545452</v>
      </c>
      <c r="H65" s="995">
        <f>F65*G65</f>
        <v>12053.045454545452</v>
      </c>
    </row>
    <row r="66" spans="2:8" x14ac:dyDescent="0.3">
      <c r="B66" s="986" t="str">
        <f t="shared" si="7"/>
        <v>Onion - بصل</v>
      </c>
      <c r="C66" s="986" t="str">
        <f t="shared" si="7"/>
        <v>gm</v>
      </c>
      <c r="D66" s="986">
        <f t="shared" si="7"/>
        <v>1800</v>
      </c>
      <c r="E66" s="987">
        <f t="shared" ref="E66:E79" si="8">$C$53</f>
        <v>1.7677799999999995</v>
      </c>
      <c r="F66" s="994">
        <f t="shared" ref="F66:F79" si="9">F6</f>
        <v>1</v>
      </c>
      <c r="G66" s="988">
        <f t="shared" ref="G66:G79" si="10">D66*E66</f>
        <v>3182.003999999999</v>
      </c>
      <c r="H66" s="995">
        <f t="shared" ref="H66:H79" si="11">F66*G66</f>
        <v>3182.003999999999</v>
      </c>
    </row>
    <row r="67" spans="2:8" x14ac:dyDescent="0.3">
      <c r="B67" s="986" t="str">
        <f t="shared" si="7"/>
        <v>Garlic - ثوم مقشر</v>
      </c>
      <c r="C67" s="986" t="str">
        <f t="shared" si="7"/>
        <v>gm</v>
      </c>
      <c r="D67" s="986">
        <f t="shared" si="7"/>
        <v>270</v>
      </c>
      <c r="E67" s="989">
        <f t="shared" si="8"/>
        <v>1.7677799999999995</v>
      </c>
      <c r="F67" s="994">
        <f t="shared" si="9"/>
        <v>1</v>
      </c>
      <c r="G67" s="988">
        <f t="shared" si="10"/>
        <v>477.30059999999986</v>
      </c>
      <c r="H67" s="995">
        <f t="shared" si="11"/>
        <v>477.30059999999986</v>
      </c>
    </row>
    <row r="68" spans="2:8" x14ac:dyDescent="0.3">
      <c r="B68" s="986" t="str">
        <f t="shared" si="7"/>
        <v>Butter - زبدة</v>
      </c>
      <c r="C68" s="986" t="str">
        <f t="shared" si="7"/>
        <v>gm</v>
      </c>
      <c r="D68" s="986">
        <f t="shared" si="7"/>
        <v>360</v>
      </c>
      <c r="E68" s="989">
        <f t="shared" si="8"/>
        <v>1.7677799999999995</v>
      </c>
      <c r="F68" s="994">
        <f t="shared" si="9"/>
        <v>1</v>
      </c>
      <c r="G68" s="988">
        <f t="shared" si="10"/>
        <v>636.40079999999978</v>
      </c>
      <c r="H68" s="995">
        <f t="shared" si="11"/>
        <v>636.40079999999978</v>
      </c>
    </row>
    <row r="69" spans="2:8" x14ac:dyDescent="0.3">
      <c r="B69" s="986" t="str">
        <f t="shared" si="7"/>
        <v>Salt - ملح</v>
      </c>
      <c r="C69" s="986" t="str">
        <f t="shared" si="7"/>
        <v>gm</v>
      </c>
      <c r="D69" s="986">
        <f t="shared" si="7"/>
        <v>18</v>
      </c>
      <c r="E69" s="989">
        <f t="shared" si="8"/>
        <v>1.7677799999999995</v>
      </c>
      <c r="F69" s="994">
        <f t="shared" si="9"/>
        <v>1</v>
      </c>
      <c r="G69" s="988">
        <f t="shared" si="10"/>
        <v>31.820039999999992</v>
      </c>
      <c r="H69" s="995">
        <f t="shared" si="11"/>
        <v>31.820039999999992</v>
      </c>
    </row>
    <row r="70" spans="2:8" x14ac:dyDescent="0.3">
      <c r="B70" s="986" t="str">
        <f t="shared" si="7"/>
        <v>Black Pepper Powder - فلفل أسود مطحون</v>
      </c>
      <c r="C70" s="986" t="str">
        <f t="shared" si="7"/>
        <v>gm</v>
      </c>
      <c r="D70" s="986">
        <f t="shared" si="7"/>
        <v>18</v>
      </c>
      <c r="E70" s="989">
        <f t="shared" si="8"/>
        <v>1.7677799999999995</v>
      </c>
      <c r="F70" s="994">
        <f t="shared" si="9"/>
        <v>1</v>
      </c>
      <c r="G70" s="988">
        <f t="shared" si="10"/>
        <v>31.820039999999992</v>
      </c>
      <c r="H70" s="995">
        <f t="shared" si="11"/>
        <v>31.820039999999992</v>
      </c>
    </row>
    <row r="71" spans="2:8" x14ac:dyDescent="0.3">
      <c r="B71" s="986" t="str">
        <f t="shared" si="7"/>
        <v>Cinnamon Powder - قرفة مطحونة</v>
      </c>
      <c r="C71" s="986" t="str">
        <f t="shared" si="7"/>
        <v>gm</v>
      </c>
      <c r="D71" s="986">
        <f t="shared" si="7"/>
        <v>36</v>
      </c>
      <c r="E71" s="989">
        <f t="shared" si="8"/>
        <v>1.7677799999999995</v>
      </c>
      <c r="F71" s="994">
        <f t="shared" si="9"/>
        <v>1</v>
      </c>
      <c r="G71" s="988">
        <f t="shared" si="10"/>
        <v>63.640079999999983</v>
      </c>
      <c r="H71" s="995">
        <f t="shared" si="11"/>
        <v>63.640079999999983</v>
      </c>
    </row>
    <row r="72" spans="2:8" x14ac:dyDescent="0.3">
      <c r="B72" s="986" t="str">
        <f t="shared" si="7"/>
        <v>Cumin Powder - كمون مطحون</v>
      </c>
      <c r="C72" s="986" t="str">
        <f t="shared" si="7"/>
        <v>gm</v>
      </c>
      <c r="D72" s="986">
        <f t="shared" si="7"/>
        <v>7.2</v>
      </c>
      <c r="E72" s="989">
        <f t="shared" si="8"/>
        <v>1.7677799999999995</v>
      </c>
      <c r="F72" s="994">
        <f t="shared" si="9"/>
        <v>1</v>
      </c>
      <c r="G72" s="988">
        <f t="shared" si="10"/>
        <v>12.728015999999997</v>
      </c>
      <c r="H72" s="995">
        <f t="shared" si="11"/>
        <v>12.728015999999997</v>
      </c>
    </row>
    <row r="73" spans="2:8" x14ac:dyDescent="0.3">
      <c r="B73" s="986" t="str">
        <f t="shared" si="7"/>
        <v>Coriander Powder - كزبرة مطحونة</v>
      </c>
      <c r="C73" s="986" t="str">
        <f t="shared" si="7"/>
        <v>gm</v>
      </c>
      <c r="D73" s="986">
        <f t="shared" si="7"/>
        <v>9</v>
      </c>
      <c r="E73" s="989">
        <f t="shared" si="8"/>
        <v>1.7677799999999995</v>
      </c>
      <c r="F73" s="994">
        <f t="shared" si="9"/>
        <v>1</v>
      </c>
      <c r="G73" s="988">
        <f t="shared" si="10"/>
        <v>15.910019999999996</v>
      </c>
      <c r="H73" s="995">
        <f t="shared" si="11"/>
        <v>15.910019999999996</v>
      </c>
    </row>
    <row r="74" spans="2:8" x14ac:dyDescent="0.3">
      <c r="B74" s="986" t="str">
        <f t="shared" si="7"/>
        <v>Sweet Soy Sauce - صويا صوص حلو</v>
      </c>
      <c r="C74" s="986" t="str">
        <f t="shared" si="7"/>
        <v>gm</v>
      </c>
      <c r="D74" s="986">
        <f t="shared" si="7"/>
        <v>180</v>
      </c>
      <c r="E74" s="989">
        <f t="shared" si="8"/>
        <v>1.7677799999999995</v>
      </c>
      <c r="F74" s="994">
        <f t="shared" si="9"/>
        <v>1</v>
      </c>
      <c r="G74" s="988">
        <f t="shared" si="10"/>
        <v>318.20039999999989</v>
      </c>
      <c r="H74" s="995">
        <f t="shared" si="11"/>
        <v>318.20039999999989</v>
      </c>
    </row>
    <row r="75" spans="2:8" x14ac:dyDescent="0.3">
      <c r="B75" s="986" t="str">
        <f t="shared" si="7"/>
        <v>Maggi Cubes - مكعبات ماجي</v>
      </c>
      <c r="C75" s="986" t="str">
        <f t="shared" si="7"/>
        <v>gm</v>
      </c>
      <c r="D75" s="986">
        <f t="shared" si="7"/>
        <v>54</v>
      </c>
      <c r="E75" s="989">
        <f t="shared" si="8"/>
        <v>1.7677799999999995</v>
      </c>
      <c r="F75" s="994">
        <f t="shared" si="9"/>
        <v>1</v>
      </c>
      <c r="G75" s="988">
        <f t="shared" si="10"/>
        <v>95.460119999999975</v>
      </c>
      <c r="H75" s="995">
        <f t="shared" si="11"/>
        <v>95.460119999999975</v>
      </c>
    </row>
    <row r="76" spans="2:8" x14ac:dyDescent="0.3">
      <c r="B76" s="986" t="str">
        <f t="shared" si="7"/>
        <v>Bay Leaf - ورق غار</v>
      </c>
      <c r="C76" s="986" t="str">
        <f t="shared" si="7"/>
        <v>gm</v>
      </c>
      <c r="D76" s="986">
        <f t="shared" si="7"/>
        <v>3.6</v>
      </c>
      <c r="E76" s="989">
        <f t="shared" si="8"/>
        <v>1.7677799999999995</v>
      </c>
      <c r="F76" s="994">
        <f t="shared" si="9"/>
        <v>1</v>
      </c>
      <c r="G76" s="988">
        <f t="shared" si="10"/>
        <v>6.3640079999999983</v>
      </c>
      <c r="H76" s="995">
        <f t="shared" si="11"/>
        <v>6.3640079999999983</v>
      </c>
    </row>
    <row r="77" spans="2:8" x14ac:dyDescent="0.3">
      <c r="B77" s="986" t="str">
        <f t="shared" si="7"/>
        <v>Cardamom Whole - هيل حب</v>
      </c>
      <c r="C77" s="986" t="str">
        <f t="shared" si="7"/>
        <v>gm</v>
      </c>
      <c r="D77" s="986">
        <f t="shared" si="7"/>
        <v>3.6</v>
      </c>
      <c r="E77" s="987">
        <f t="shared" si="8"/>
        <v>1.7677799999999995</v>
      </c>
      <c r="F77" s="994">
        <f t="shared" si="9"/>
        <v>1</v>
      </c>
      <c r="G77" s="988">
        <f t="shared" si="10"/>
        <v>6.3640079999999983</v>
      </c>
      <c r="H77" s="995">
        <f t="shared" si="11"/>
        <v>6.3640079999999983</v>
      </c>
    </row>
    <row r="78" spans="2:8" x14ac:dyDescent="0.3">
      <c r="B78" s="986" t="str">
        <f t="shared" si="7"/>
        <v>Cloves Whole - قرنفل حب</v>
      </c>
      <c r="C78" s="986" t="str">
        <f t="shared" si="7"/>
        <v>gm</v>
      </c>
      <c r="D78" s="986">
        <f t="shared" si="7"/>
        <v>1.8</v>
      </c>
      <c r="E78" s="989">
        <f t="shared" si="8"/>
        <v>1.7677799999999995</v>
      </c>
      <c r="F78" s="994">
        <f t="shared" si="9"/>
        <v>1</v>
      </c>
      <c r="G78" s="988">
        <f t="shared" si="10"/>
        <v>3.1820039999999992</v>
      </c>
      <c r="H78" s="995">
        <f t="shared" si="11"/>
        <v>3.1820039999999992</v>
      </c>
    </row>
    <row r="79" spans="2:8" x14ac:dyDescent="0.3">
      <c r="B79" s="986" t="str">
        <f t="shared" si="7"/>
        <v>Black pepper whole - فلفل أسود حب</v>
      </c>
      <c r="C79" s="986" t="str">
        <f t="shared" si="7"/>
        <v>gm</v>
      </c>
      <c r="D79" s="986">
        <f t="shared" si="7"/>
        <v>3.6</v>
      </c>
      <c r="E79" s="987">
        <f t="shared" si="8"/>
        <v>1.7677799999999995</v>
      </c>
      <c r="F79" s="994">
        <f t="shared" si="9"/>
        <v>1</v>
      </c>
      <c r="G79" s="988">
        <f t="shared" si="10"/>
        <v>6.3640079999999983</v>
      </c>
      <c r="H79" s="995">
        <f t="shared" si="11"/>
        <v>6.3640079999999983</v>
      </c>
    </row>
    <row r="80" spans="2:8" ht="18" x14ac:dyDescent="0.25">
      <c r="B80" s="197" t="s">
        <v>291</v>
      </c>
      <c r="C80" s="199" t="s">
        <v>277</v>
      </c>
      <c r="D80" s="14"/>
      <c r="E80" s="199" t="s">
        <v>292</v>
      </c>
      <c r="F80" s="14"/>
      <c r="G80" s="878" t="s">
        <v>268</v>
      </c>
      <c r="H80" s="878" t="s">
        <v>703</v>
      </c>
    </row>
    <row r="81" spans="2:8" ht="24" customHeight="1" x14ac:dyDescent="0.4">
      <c r="B81" s="198">
        <f>J53</f>
        <v>7955.0099999999984</v>
      </c>
      <c r="C81" s="198">
        <f>D53</f>
        <v>8838.8999999999978</v>
      </c>
      <c r="D81" s="915"/>
      <c r="E81" s="198">
        <f>$D$53*$S$44</f>
        <v>8838.8999999999978</v>
      </c>
      <c r="F81" s="919"/>
      <c r="G81" s="198">
        <f>$D$53*$T$44</f>
        <v>0</v>
      </c>
      <c r="H81" s="198">
        <f>B81+E81</f>
        <v>16793.909999999996</v>
      </c>
    </row>
    <row r="82" spans="2:8" ht="24" customHeight="1" x14ac:dyDescent="0.4">
      <c r="B82" s="210"/>
      <c r="C82" s="481"/>
      <c r="D82" s="481"/>
      <c r="E82" s="915"/>
      <c r="F82" s="481"/>
      <c r="G82" s="919"/>
      <c r="H82" s="481"/>
    </row>
    <row r="83" spans="2:8" ht="18" x14ac:dyDescent="0.3">
      <c r="B83" s="1509" t="str">
        <f>"    صوص لحمة شرقية  2 / " &amp; COUNTIF($C$53:$C$55,"&gt;0")</f>
        <v xml:space="preserve">    صوص لحمة شرقية  2 / 1</v>
      </c>
      <c r="C83" s="1509"/>
      <c r="D83" s="1509"/>
      <c r="E83" s="1509"/>
      <c r="F83" s="1509"/>
      <c r="G83" s="1509"/>
      <c r="H83" s="1509"/>
    </row>
    <row r="84" spans="2:8" ht="18" x14ac:dyDescent="0.3">
      <c r="B84" s="1509" t="str">
        <f>" Oriental Beef for Rice   2 / " &amp; COUNTIF($C$53:$C$55,"&gt;0")</f>
        <v xml:space="preserve"> Oriental Beef for Rice   2 / 1</v>
      </c>
      <c r="C84" s="1509"/>
      <c r="D84" s="1509"/>
      <c r="E84" s="1509"/>
      <c r="F84" s="1509"/>
      <c r="G84" s="1509"/>
      <c r="H84" s="1509"/>
    </row>
    <row r="85" spans="2:8" ht="39" x14ac:dyDescent="0.3">
      <c r="B85" s="242" t="s">
        <v>245</v>
      </c>
      <c r="C85" s="243" t="s">
        <v>246</v>
      </c>
      <c r="D85" s="244" t="s">
        <v>235</v>
      </c>
      <c r="E85" s="217" t="s">
        <v>238</v>
      </c>
      <c r="F85" s="217" t="s">
        <v>247</v>
      </c>
      <c r="G85" s="244" t="s">
        <v>248</v>
      </c>
      <c r="H85" s="217" t="s">
        <v>249</v>
      </c>
    </row>
    <row r="86" spans="2:8" x14ac:dyDescent="0.3">
      <c r="B86" s="697" t="str">
        <f t="shared" ref="B86:D100" si="12">B5</f>
        <v>Indian Meat Tammam Mafroom - مفروم هندى</v>
      </c>
      <c r="C86" s="697" t="str">
        <f t="shared" si="12"/>
        <v>KG</v>
      </c>
      <c r="D86" s="697">
        <f t="shared" si="12"/>
        <v>6818.181818181818</v>
      </c>
      <c r="E86" s="696">
        <f>$H$54</f>
        <v>0</v>
      </c>
      <c r="F86" s="996">
        <f>F5</f>
        <v>1</v>
      </c>
      <c r="G86" s="988">
        <f>D86*E86</f>
        <v>0</v>
      </c>
      <c r="H86" s="995">
        <f>F86*G86</f>
        <v>0</v>
      </c>
    </row>
    <row r="87" spans="2:8" x14ac:dyDescent="0.3">
      <c r="B87" s="697" t="str">
        <f t="shared" si="12"/>
        <v>Onion - بصل</v>
      </c>
      <c r="C87" s="697" t="str">
        <f t="shared" si="12"/>
        <v>gm</v>
      </c>
      <c r="D87" s="697">
        <f t="shared" si="12"/>
        <v>1800</v>
      </c>
      <c r="E87" s="696">
        <f t="shared" ref="E87:E100" si="13">$C$54</f>
        <v>0</v>
      </c>
      <c r="F87" s="996">
        <f t="shared" ref="F87:F100" si="14">F6</f>
        <v>1</v>
      </c>
      <c r="G87" s="988">
        <f t="shared" ref="G87:G100" si="15">D87*E87</f>
        <v>0</v>
      </c>
      <c r="H87" s="995">
        <f t="shared" ref="H87:H100" si="16">F87*G87</f>
        <v>0</v>
      </c>
    </row>
    <row r="88" spans="2:8" x14ac:dyDescent="0.3">
      <c r="B88" s="697" t="str">
        <f t="shared" si="12"/>
        <v>Garlic - ثوم مقشر</v>
      </c>
      <c r="C88" s="697" t="str">
        <f t="shared" si="12"/>
        <v>gm</v>
      </c>
      <c r="D88" s="697">
        <f t="shared" si="12"/>
        <v>270</v>
      </c>
      <c r="E88" s="696">
        <f t="shared" si="13"/>
        <v>0</v>
      </c>
      <c r="F88" s="996">
        <f t="shared" si="14"/>
        <v>1</v>
      </c>
      <c r="G88" s="988">
        <f t="shared" si="15"/>
        <v>0</v>
      </c>
      <c r="H88" s="995">
        <f t="shared" si="16"/>
        <v>0</v>
      </c>
    </row>
    <row r="89" spans="2:8" x14ac:dyDescent="0.3">
      <c r="B89" s="697" t="str">
        <f t="shared" si="12"/>
        <v>Butter - زبدة</v>
      </c>
      <c r="C89" s="697" t="str">
        <f t="shared" si="12"/>
        <v>gm</v>
      </c>
      <c r="D89" s="697">
        <f t="shared" si="12"/>
        <v>360</v>
      </c>
      <c r="E89" s="696">
        <f t="shared" si="13"/>
        <v>0</v>
      </c>
      <c r="F89" s="996">
        <f t="shared" si="14"/>
        <v>1</v>
      </c>
      <c r="G89" s="988">
        <f t="shared" si="15"/>
        <v>0</v>
      </c>
      <c r="H89" s="995">
        <f t="shared" si="16"/>
        <v>0</v>
      </c>
    </row>
    <row r="90" spans="2:8" x14ac:dyDescent="0.3">
      <c r="B90" s="697" t="str">
        <f t="shared" si="12"/>
        <v>Salt - ملح</v>
      </c>
      <c r="C90" s="697" t="str">
        <f t="shared" si="12"/>
        <v>gm</v>
      </c>
      <c r="D90" s="697">
        <f t="shared" si="12"/>
        <v>18</v>
      </c>
      <c r="E90" s="696">
        <f t="shared" si="13"/>
        <v>0</v>
      </c>
      <c r="F90" s="996">
        <f t="shared" si="14"/>
        <v>1</v>
      </c>
      <c r="G90" s="988">
        <f t="shared" si="15"/>
        <v>0</v>
      </c>
      <c r="H90" s="995">
        <f t="shared" si="16"/>
        <v>0</v>
      </c>
    </row>
    <row r="91" spans="2:8" x14ac:dyDescent="0.3">
      <c r="B91" s="697" t="str">
        <f t="shared" si="12"/>
        <v>Black Pepper Powder - فلفل أسود مطحون</v>
      </c>
      <c r="C91" s="697" t="str">
        <f t="shared" si="12"/>
        <v>gm</v>
      </c>
      <c r="D91" s="697">
        <f t="shared" si="12"/>
        <v>18</v>
      </c>
      <c r="E91" s="696">
        <f t="shared" si="13"/>
        <v>0</v>
      </c>
      <c r="F91" s="996">
        <f t="shared" si="14"/>
        <v>1</v>
      </c>
      <c r="G91" s="988">
        <f t="shared" si="15"/>
        <v>0</v>
      </c>
      <c r="H91" s="995">
        <f t="shared" si="16"/>
        <v>0</v>
      </c>
    </row>
    <row r="92" spans="2:8" x14ac:dyDescent="0.3">
      <c r="B92" s="697" t="str">
        <f t="shared" si="12"/>
        <v>Cinnamon Powder - قرفة مطحونة</v>
      </c>
      <c r="C92" s="697" t="str">
        <f t="shared" si="12"/>
        <v>gm</v>
      </c>
      <c r="D92" s="697">
        <f t="shared" si="12"/>
        <v>36</v>
      </c>
      <c r="E92" s="696">
        <f t="shared" si="13"/>
        <v>0</v>
      </c>
      <c r="F92" s="996">
        <f t="shared" si="14"/>
        <v>1</v>
      </c>
      <c r="G92" s="988">
        <f t="shared" si="15"/>
        <v>0</v>
      </c>
      <c r="H92" s="995">
        <f t="shared" si="16"/>
        <v>0</v>
      </c>
    </row>
    <row r="93" spans="2:8" x14ac:dyDescent="0.3">
      <c r="B93" s="697" t="str">
        <f t="shared" si="12"/>
        <v>Cumin Powder - كمون مطحون</v>
      </c>
      <c r="C93" s="697" t="str">
        <f t="shared" si="12"/>
        <v>gm</v>
      </c>
      <c r="D93" s="697">
        <f t="shared" si="12"/>
        <v>7.2</v>
      </c>
      <c r="E93" s="696">
        <f t="shared" si="13"/>
        <v>0</v>
      </c>
      <c r="F93" s="996">
        <f t="shared" si="14"/>
        <v>1</v>
      </c>
      <c r="G93" s="988">
        <f t="shared" si="15"/>
        <v>0</v>
      </c>
      <c r="H93" s="995">
        <f t="shared" si="16"/>
        <v>0</v>
      </c>
    </row>
    <row r="94" spans="2:8" x14ac:dyDescent="0.3">
      <c r="B94" s="697" t="str">
        <f t="shared" si="12"/>
        <v>Coriander Powder - كزبرة مطحونة</v>
      </c>
      <c r="C94" s="697" t="str">
        <f t="shared" si="12"/>
        <v>gm</v>
      </c>
      <c r="D94" s="697">
        <f t="shared" si="12"/>
        <v>9</v>
      </c>
      <c r="E94" s="696">
        <f t="shared" si="13"/>
        <v>0</v>
      </c>
      <c r="F94" s="996">
        <f t="shared" si="14"/>
        <v>1</v>
      </c>
      <c r="G94" s="988">
        <f t="shared" si="15"/>
        <v>0</v>
      </c>
      <c r="H94" s="995">
        <f t="shared" si="16"/>
        <v>0</v>
      </c>
    </row>
    <row r="95" spans="2:8" x14ac:dyDescent="0.3">
      <c r="B95" s="697" t="str">
        <f t="shared" si="12"/>
        <v>Sweet Soy Sauce - صويا صوص حلو</v>
      </c>
      <c r="C95" s="697" t="str">
        <f t="shared" si="12"/>
        <v>gm</v>
      </c>
      <c r="D95" s="697">
        <f t="shared" si="12"/>
        <v>180</v>
      </c>
      <c r="E95" s="696">
        <f t="shared" si="13"/>
        <v>0</v>
      </c>
      <c r="F95" s="996">
        <f t="shared" si="14"/>
        <v>1</v>
      </c>
      <c r="G95" s="988">
        <f t="shared" si="15"/>
        <v>0</v>
      </c>
      <c r="H95" s="995">
        <f t="shared" si="16"/>
        <v>0</v>
      </c>
    </row>
    <row r="96" spans="2:8" x14ac:dyDescent="0.3">
      <c r="B96" s="697" t="str">
        <f t="shared" si="12"/>
        <v>Maggi Cubes - مكعبات ماجي</v>
      </c>
      <c r="C96" s="697" t="str">
        <f t="shared" si="12"/>
        <v>gm</v>
      </c>
      <c r="D96" s="697">
        <f t="shared" si="12"/>
        <v>54</v>
      </c>
      <c r="E96" s="696">
        <f t="shared" si="13"/>
        <v>0</v>
      </c>
      <c r="F96" s="996">
        <f t="shared" si="14"/>
        <v>1</v>
      </c>
      <c r="G96" s="988">
        <f t="shared" si="15"/>
        <v>0</v>
      </c>
      <c r="H96" s="995">
        <f t="shared" si="16"/>
        <v>0</v>
      </c>
    </row>
    <row r="97" spans="2:8" x14ac:dyDescent="0.3">
      <c r="B97" s="697" t="str">
        <f t="shared" si="12"/>
        <v>Bay Leaf - ورق غار</v>
      </c>
      <c r="C97" s="697" t="str">
        <f t="shared" si="12"/>
        <v>gm</v>
      </c>
      <c r="D97" s="697">
        <f t="shared" si="12"/>
        <v>3.6</v>
      </c>
      <c r="E97" s="696">
        <f t="shared" si="13"/>
        <v>0</v>
      </c>
      <c r="F97" s="996">
        <f t="shared" si="14"/>
        <v>1</v>
      </c>
      <c r="G97" s="988">
        <f t="shared" si="15"/>
        <v>0</v>
      </c>
      <c r="H97" s="995">
        <f t="shared" si="16"/>
        <v>0</v>
      </c>
    </row>
    <row r="98" spans="2:8" x14ac:dyDescent="0.3">
      <c r="B98" s="697" t="str">
        <f t="shared" si="12"/>
        <v>Cardamom Whole - هيل حب</v>
      </c>
      <c r="C98" s="697" t="str">
        <f t="shared" si="12"/>
        <v>gm</v>
      </c>
      <c r="D98" s="697">
        <f t="shared" si="12"/>
        <v>3.6</v>
      </c>
      <c r="E98" s="696">
        <f t="shared" si="13"/>
        <v>0</v>
      </c>
      <c r="F98" s="996">
        <f t="shared" si="14"/>
        <v>1</v>
      </c>
      <c r="G98" s="988">
        <f t="shared" si="15"/>
        <v>0</v>
      </c>
      <c r="H98" s="995">
        <f t="shared" si="16"/>
        <v>0</v>
      </c>
    </row>
    <row r="99" spans="2:8" x14ac:dyDescent="0.3">
      <c r="B99" s="697" t="str">
        <f t="shared" si="12"/>
        <v>Cloves Whole - قرنفل حب</v>
      </c>
      <c r="C99" s="697" t="str">
        <f t="shared" si="12"/>
        <v>gm</v>
      </c>
      <c r="D99" s="697">
        <f t="shared" si="12"/>
        <v>1.8</v>
      </c>
      <c r="E99" s="696">
        <f t="shared" si="13"/>
        <v>0</v>
      </c>
      <c r="F99" s="996">
        <f t="shared" si="14"/>
        <v>1</v>
      </c>
      <c r="G99" s="988">
        <f t="shared" si="15"/>
        <v>0</v>
      </c>
      <c r="H99" s="995">
        <f t="shared" si="16"/>
        <v>0</v>
      </c>
    </row>
    <row r="100" spans="2:8" x14ac:dyDescent="0.3">
      <c r="B100" s="697" t="str">
        <f t="shared" si="12"/>
        <v>Black pepper whole - فلفل أسود حب</v>
      </c>
      <c r="C100" s="697" t="str">
        <f t="shared" si="12"/>
        <v>gm</v>
      </c>
      <c r="D100" s="697">
        <f t="shared" si="12"/>
        <v>3.6</v>
      </c>
      <c r="E100" s="696">
        <f t="shared" si="13"/>
        <v>0</v>
      </c>
      <c r="F100" s="996">
        <f t="shared" si="14"/>
        <v>1</v>
      </c>
      <c r="G100" s="988">
        <f t="shared" si="15"/>
        <v>0</v>
      </c>
      <c r="H100" s="995">
        <f t="shared" si="16"/>
        <v>0</v>
      </c>
    </row>
    <row r="101" spans="2:8" ht="18" x14ac:dyDescent="0.25">
      <c r="B101" s="197" t="s">
        <v>291</v>
      </c>
      <c r="C101" s="199" t="s">
        <v>277</v>
      </c>
      <c r="D101" s="14"/>
      <c r="E101" s="199" t="s">
        <v>292</v>
      </c>
      <c r="F101" s="14"/>
      <c r="G101" s="878" t="s">
        <v>268</v>
      </c>
      <c r="H101" s="878" t="s">
        <v>703</v>
      </c>
    </row>
    <row r="102" spans="2:8" ht="20" x14ac:dyDescent="0.4">
      <c r="B102" s="198">
        <f>$J$54</f>
        <v>0</v>
      </c>
      <c r="C102" s="198">
        <f>E102+G102</f>
        <v>0</v>
      </c>
      <c r="D102" s="915"/>
      <c r="E102" s="198">
        <f>$D$54*$S$44</f>
        <v>0</v>
      </c>
      <c r="F102" s="919"/>
      <c r="G102" s="198">
        <f>$D$54*$T$44</f>
        <v>0</v>
      </c>
      <c r="H102" s="198">
        <f>B102+E102</f>
        <v>0</v>
      </c>
    </row>
    <row r="103" spans="2:8" x14ac:dyDescent="0.3">
      <c r="B103" s="700"/>
      <c r="E103" s="700"/>
      <c r="F103" s="700"/>
    </row>
    <row r="104" spans="2:8" x14ac:dyDescent="0.3">
      <c r="B104" s="700"/>
      <c r="E104" s="700"/>
      <c r="F104" s="700"/>
    </row>
    <row r="105" spans="2:8" x14ac:dyDescent="0.3">
      <c r="B105" s="700"/>
      <c r="E105" s="700"/>
      <c r="F105" s="700"/>
    </row>
    <row r="106" spans="2:8" x14ac:dyDescent="0.3">
      <c r="B106" s="700"/>
      <c r="E106" s="700"/>
      <c r="F106" s="700"/>
    </row>
    <row r="107" spans="2:8" x14ac:dyDescent="0.3">
      <c r="B107" s="700"/>
      <c r="E107" s="700"/>
      <c r="F107" s="700"/>
    </row>
    <row r="108" spans="2:8" x14ac:dyDescent="0.3">
      <c r="B108" s="700"/>
      <c r="E108" s="700"/>
      <c r="F108" s="700"/>
    </row>
    <row r="109" spans="2:8" x14ac:dyDescent="0.3">
      <c r="B109" s="700"/>
      <c r="E109" s="700"/>
      <c r="F109" s="700"/>
    </row>
    <row r="110" spans="2:8" x14ac:dyDescent="0.3">
      <c r="B110" s="700"/>
      <c r="E110" s="700"/>
      <c r="F110" s="700"/>
    </row>
    <row r="111" spans="2:8" x14ac:dyDescent="0.3">
      <c r="B111" s="700"/>
      <c r="E111" s="700"/>
      <c r="F111" s="700"/>
    </row>
    <row r="112" spans="2:8" x14ac:dyDescent="0.3">
      <c r="B112" s="700"/>
      <c r="E112" s="700"/>
      <c r="F112" s="700"/>
    </row>
    <row r="113" spans="2:6" x14ac:dyDescent="0.3">
      <c r="B113" s="700"/>
      <c r="E113" s="700"/>
      <c r="F113" s="700"/>
    </row>
    <row r="114" spans="2:6" x14ac:dyDescent="0.3">
      <c r="B114" s="700"/>
      <c r="E114" s="700"/>
      <c r="F114" s="700"/>
    </row>
    <row r="115" spans="2:6" x14ac:dyDescent="0.3">
      <c r="B115" s="700"/>
      <c r="E115" s="700"/>
      <c r="F115" s="700"/>
    </row>
    <row r="116" spans="2:6" x14ac:dyDescent="0.3">
      <c r="B116" s="700"/>
      <c r="E116" s="700"/>
      <c r="F116" s="700"/>
    </row>
    <row r="117" spans="2:6" x14ac:dyDescent="0.3">
      <c r="B117" s="700"/>
      <c r="E117" s="700"/>
      <c r="F117" s="700"/>
    </row>
    <row r="118" spans="2:6" x14ac:dyDescent="0.3">
      <c r="B118" s="700"/>
      <c r="E118" s="700"/>
      <c r="F118" s="700"/>
    </row>
    <row r="119" spans="2:6" x14ac:dyDescent="0.3">
      <c r="B119" s="700"/>
      <c r="E119" s="700"/>
      <c r="F119" s="700"/>
    </row>
    <row r="120" spans="2:6" x14ac:dyDescent="0.3">
      <c r="B120" s="700"/>
      <c r="E120" s="700"/>
      <c r="F120" s="700"/>
    </row>
    <row r="121" spans="2:6" x14ac:dyDescent="0.3">
      <c r="B121" s="700"/>
      <c r="E121" s="700"/>
      <c r="F121" s="700"/>
    </row>
    <row r="122" spans="2:6" x14ac:dyDescent="0.3">
      <c r="B122" s="700"/>
      <c r="E122" s="700"/>
      <c r="F122" s="700"/>
    </row>
    <row r="123" spans="2:6" x14ac:dyDescent="0.3">
      <c r="B123" s="700"/>
      <c r="E123" s="700"/>
      <c r="F123" s="700"/>
    </row>
    <row r="124" spans="2:6" x14ac:dyDescent="0.3">
      <c r="B124" s="700"/>
      <c r="E124" s="700"/>
      <c r="F124" s="700"/>
    </row>
    <row r="125" spans="2:6" x14ac:dyDescent="0.3">
      <c r="B125" s="700"/>
      <c r="E125" s="700"/>
      <c r="F125" s="700"/>
    </row>
    <row r="126" spans="2:6" x14ac:dyDescent="0.3">
      <c r="B126" s="700"/>
      <c r="E126" s="700"/>
      <c r="F126" s="700"/>
    </row>
    <row r="127" spans="2:6" x14ac:dyDescent="0.3">
      <c r="B127" s="700"/>
      <c r="E127" s="700"/>
      <c r="F127" s="700"/>
    </row>
    <row r="128" spans="2:6" x14ac:dyDescent="0.3">
      <c r="B128" s="700"/>
      <c r="E128" s="700"/>
      <c r="F128" s="700"/>
    </row>
    <row r="129" spans="2:6" x14ac:dyDescent="0.3">
      <c r="B129" s="700"/>
      <c r="E129" s="700"/>
      <c r="F129" s="700"/>
    </row>
    <row r="130" spans="2:6" x14ac:dyDescent="0.3">
      <c r="B130" s="700"/>
      <c r="E130" s="700"/>
      <c r="F130" s="700"/>
    </row>
    <row r="131" spans="2:6" x14ac:dyDescent="0.3">
      <c r="B131" s="700"/>
      <c r="E131" s="700"/>
      <c r="F131" s="700"/>
    </row>
    <row r="132" spans="2:6" x14ac:dyDescent="0.3">
      <c r="B132" s="700"/>
      <c r="E132" s="700"/>
      <c r="F132" s="700"/>
    </row>
    <row r="133" spans="2:6" x14ac:dyDescent="0.3">
      <c r="B133" s="700"/>
      <c r="E133" s="700"/>
      <c r="F133" s="700"/>
    </row>
    <row r="134" spans="2:6" x14ac:dyDescent="0.3">
      <c r="B134" s="700"/>
      <c r="E134" s="700"/>
      <c r="F134" s="700"/>
    </row>
    <row r="135" spans="2:6" x14ac:dyDescent="0.3">
      <c r="B135" s="700"/>
      <c r="E135" s="700"/>
      <c r="F135" s="700"/>
    </row>
    <row r="136" spans="2:6" x14ac:dyDescent="0.3">
      <c r="B136" s="700"/>
      <c r="E136" s="700"/>
      <c r="F136" s="700"/>
    </row>
    <row r="137" spans="2:6" x14ac:dyDescent="0.3">
      <c r="B137" s="700"/>
      <c r="E137" s="700"/>
      <c r="F137" s="700"/>
    </row>
    <row r="138" spans="2:6" x14ac:dyDescent="0.3">
      <c r="B138" s="700"/>
      <c r="E138" s="700"/>
      <c r="F138" s="700"/>
    </row>
    <row r="139" spans="2:6" x14ac:dyDescent="0.3">
      <c r="B139" s="700"/>
      <c r="E139" s="700"/>
      <c r="F139" s="700"/>
    </row>
    <row r="140" spans="2:6" x14ac:dyDescent="0.3">
      <c r="B140" s="700"/>
      <c r="E140" s="700"/>
      <c r="F140" s="700"/>
    </row>
    <row r="141" spans="2:6" x14ac:dyDescent="0.3">
      <c r="B141" s="700"/>
      <c r="E141" s="700"/>
      <c r="F141" s="700"/>
    </row>
    <row r="142" spans="2:6" x14ac:dyDescent="0.3">
      <c r="B142" s="700"/>
      <c r="E142" s="700"/>
      <c r="F142" s="700"/>
    </row>
    <row r="143" spans="2:6" x14ac:dyDescent="0.3">
      <c r="B143" s="700"/>
      <c r="E143" s="700"/>
      <c r="F143" s="700"/>
    </row>
    <row r="144" spans="2:6" x14ac:dyDescent="0.3">
      <c r="B144" s="700"/>
      <c r="E144" s="700"/>
      <c r="F144" s="700"/>
    </row>
    <row r="145" spans="2:6" x14ac:dyDescent="0.3">
      <c r="B145" s="700"/>
      <c r="E145" s="700"/>
      <c r="F145" s="700"/>
    </row>
    <row r="146" spans="2:6" x14ac:dyDescent="0.3">
      <c r="B146" s="700"/>
      <c r="E146" s="700"/>
      <c r="F146" s="700"/>
    </row>
    <row r="147" spans="2:6" x14ac:dyDescent="0.3">
      <c r="B147" s="700"/>
      <c r="E147" s="700"/>
      <c r="F147" s="700"/>
    </row>
    <row r="148" spans="2:6" x14ac:dyDescent="0.3">
      <c r="B148" s="700"/>
      <c r="E148" s="700"/>
      <c r="F148" s="700"/>
    </row>
    <row r="149" spans="2:6" x14ac:dyDescent="0.3">
      <c r="B149" s="700"/>
      <c r="E149" s="700"/>
      <c r="F149" s="700"/>
    </row>
    <row r="150" spans="2:6" x14ac:dyDescent="0.3">
      <c r="B150" s="700"/>
      <c r="E150" s="700"/>
      <c r="F150" s="700"/>
    </row>
    <row r="151" spans="2:6" x14ac:dyDescent="0.3">
      <c r="B151" s="700"/>
      <c r="E151" s="700"/>
      <c r="F151" s="700"/>
    </row>
    <row r="152" spans="2:6" x14ac:dyDescent="0.3">
      <c r="B152" s="700"/>
      <c r="E152" s="700"/>
      <c r="F152" s="700"/>
    </row>
    <row r="153" spans="2:6" x14ac:dyDescent="0.3">
      <c r="B153" s="700"/>
      <c r="E153" s="700"/>
      <c r="F153" s="700"/>
    </row>
    <row r="154" spans="2:6" x14ac:dyDescent="0.3">
      <c r="B154" s="700"/>
      <c r="E154" s="700"/>
      <c r="F154" s="700"/>
    </row>
    <row r="155" spans="2:6" x14ac:dyDescent="0.3">
      <c r="B155" s="700"/>
      <c r="E155" s="700"/>
      <c r="F155" s="700"/>
    </row>
    <row r="156" spans="2:6" x14ac:dyDescent="0.3">
      <c r="B156" s="700"/>
      <c r="E156" s="700"/>
      <c r="F156" s="700"/>
    </row>
    <row r="157" spans="2:6" x14ac:dyDescent="0.3">
      <c r="B157" s="700"/>
      <c r="E157" s="700"/>
      <c r="F157" s="700"/>
    </row>
    <row r="158" spans="2:6" x14ac:dyDescent="0.3">
      <c r="B158" s="700"/>
      <c r="E158" s="700"/>
      <c r="F158" s="700"/>
    </row>
    <row r="159" spans="2:6" x14ac:dyDescent="0.3">
      <c r="B159" s="700"/>
      <c r="E159" s="700"/>
      <c r="F159" s="700"/>
    </row>
    <row r="160" spans="2:6" x14ac:dyDescent="0.3">
      <c r="B160" s="700"/>
      <c r="E160" s="700"/>
      <c r="F160" s="700"/>
    </row>
    <row r="161" spans="2:6" x14ac:dyDescent="0.3">
      <c r="B161" s="700"/>
      <c r="E161" s="700"/>
      <c r="F161" s="700"/>
    </row>
    <row r="162" spans="2:6" x14ac:dyDescent="0.3">
      <c r="B162" s="700"/>
      <c r="E162" s="700"/>
      <c r="F162" s="700"/>
    </row>
    <row r="163" spans="2:6" x14ac:dyDescent="0.3">
      <c r="B163" s="700"/>
      <c r="E163" s="700"/>
      <c r="F163" s="700"/>
    </row>
    <row r="164" spans="2:6" x14ac:dyDescent="0.3">
      <c r="B164" s="700"/>
      <c r="E164" s="700"/>
      <c r="F164" s="700"/>
    </row>
    <row r="165" spans="2:6" x14ac:dyDescent="0.3">
      <c r="B165" s="700"/>
      <c r="E165" s="700"/>
      <c r="F165" s="700"/>
    </row>
    <row r="166" spans="2:6" x14ac:dyDescent="0.3">
      <c r="B166" s="700"/>
      <c r="E166" s="700"/>
      <c r="F166" s="700"/>
    </row>
    <row r="167" spans="2:6" x14ac:dyDescent="0.3">
      <c r="B167" s="700"/>
      <c r="E167" s="700"/>
      <c r="F167" s="700"/>
    </row>
    <row r="168" spans="2:6" x14ac:dyDescent="0.3">
      <c r="B168" s="700"/>
      <c r="E168" s="700"/>
      <c r="F168" s="700"/>
    </row>
    <row r="169" spans="2:6" x14ac:dyDescent="0.3">
      <c r="B169" s="700"/>
      <c r="E169" s="700"/>
      <c r="F169" s="700"/>
    </row>
    <row r="170" spans="2:6" x14ac:dyDescent="0.3">
      <c r="B170" s="700"/>
      <c r="E170" s="700"/>
      <c r="F170" s="700"/>
    </row>
    <row r="171" spans="2:6" x14ac:dyDescent="0.3">
      <c r="B171" s="700"/>
      <c r="E171" s="700"/>
      <c r="F171" s="700"/>
    </row>
    <row r="172" spans="2:6" x14ac:dyDescent="0.3">
      <c r="B172" s="700"/>
      <c r="E172" s="700"/>
      <c r="F172" s="700"/>
    </row>
    <row r="173" spans="2:6" x14ac:dyDescent="0.3">
      <c r="B173" s="700"/>
      <c r="E173" s="700"/>
      <c r="F173" s="700"/>
    </row>
    <row r="174" spans="2:6" x14ac:dyDescent="0.3">
      <c r="B174" s="700"/>
      <c r="E174" s="700"/>
      <c r="F174" s="700"/>
    </row>
    <row r="175" spans="2:6" x14ac:dyDescent="0.3">
      <c r="B175" s="700"/>
      <c r="E175" s="700"/>
      <c r="F175" s="700"/>
    </row>
    <row r="176" spans="2:6" x14ac:dyDescent="0.3">
      <c r="B176" s="700"/>
      <c r="E176" s="700"/>
      <c r="F176" s="700"/>
    </row>
    <row r="177" spans="2:6" x14ac:dyDescent="0.3">
      <c r="B177" s="700"/>
      <c r="E177" s="700"/>
      <c r="F177" s="700"/>
    </row>
    <row r="178" spans="2:6" x14ac:dyDescent="0.3">
      <c r="B178" s="700"/>
      <c r="E178" s="700"/>
      <c r="F178" s="700"/>
    </row>
    <row r="179" spans="2:6" x14ac:dyDescent="0.3">
      <c r="B179" s="700"/>
      <c r="E179" s="700"/>
      <c r="F179" s="700"/>
    </row>
    <row r="180" spans="2:6" x14ac:dyDescent="0.3">
      <c r="B180" s="700"/>
      <c r="E180" s="700"/>
      <c r="F180" s="700"/>
    </row>
    <row r="181" spans="2:6" x14ac:dyDescent="0.3">
      <c r="B181" s="700"/>
      <c r="E181" s="700"/>
      <c r="F181" s="700"/>
    </row>
    <row r="182" spans="2:6" x14ac:dyDescent="0.3">
      <c r="B182" s="700"/>
      <c r="E182" s="700"/>
      <c r="F182" s="700"/>
    </row>
    <row r="183" spans="2:6" x14ac:dyDescent="0.3">
      <c r="B183" s="700"/>
      <c r="E183" s="700"/>
      <c r="F183" s="700"/>
    </row>
    <row r="184" spans="2:6" x14ac:dyDescent="0.3">
      <c r="B184" s="700"/>
      <c r="E184" s="700"/>
      <c r="F184" s="700"/>
    </row>
    <row r="185" spans="2:6" x14ac:dyDescent="0.3">
      <c r="B185" s="700"/>
      <c r="E185" s="700"/>
      <c r="F185" s="700"/>
    </row>
    <row r="186" spans="2:6" x14ac:dyDescent="0.3">
      <c r="B186" s="700"/>
      <c r="E186" s="700"/>
      <c r="F186" s="700"/>
    </row>
    <row r="187" spans="2:6" x14ac:dyDescent="0.3">
      <c r="B187" s="700"/>
      <c r="E187" s="700"/>
      <c r="F187" s="700"/>
    </row>
    <row r="188" spans="2:6" x14ac:dyDescent="0.3">
      <c r="B188" s="700"/>
      <c r="E188" s="700"/>
      <c r="F188" s="700"/>
    </row>
    <row r="189" spans="2:6" x14ac:dyDescent="0.3">
      <c r="B189" s="700"/>
      <c r="E189" s="700"/>
      <c r="F189" s="700"/>
    </row>
    <row r="190" spans="2:6" x14ac:dyDescent="0.3">
      <c r="B190" s="700"/>
      <c r="E190" s="700"/>
      <c r="F190" s="700"/>
    </row>
    <row r="191" spans="2:6" x14ac:dyDescent="0.3">
      <c r="B191" s="700"/>
      <c r="E191" s="700"/>
      <c r="F191" s="700"/>
    </row>
    <row r="192" spans="2:6" x14ac:dyDescent="0.3">
      <c r="B192" s="700"/>
      <c r="E192" s="700"/>
      <c r="F192" s="700"/>
    </row>
    <row r="193" spans="2:6" x14ac:dyDescent="0.3">
      <c r="B193" s="700"/>
      <c r="E193" s="700"/>
      <c r="F193" s="700"/>
    </row>
    <row r="194" spans="2:6" x14ac:dyDescent="0.3">
      <c r="B194" s="700"/>
      <c r="E194" s="700"/>
      <c r="F194" s="700"/>
    </row>
    <row r="195" spans="2:6" x14ac:dyDescent="0.3">
      <c r="B195" s="700"/>
      <c r="E195" s="700"/>
      <c r="F195" s="700"/>
    </row>
    <row r="196" spans="2:6" x14ac:dyDescent="0.3">
      <c r="B196" s="700"/>
      <c r="E196" s="700"/>
      <c r="F196" s="700"/>
    </row>
    <row r="197" spans="2:6" x14ac:dyDescent="0.3">
      <c r="B197" s="700"/>
      <c r="E197" s="700"/>
      <c r="F197" s="700"/>
    </row>
    <row r="198" spans="2:6" x14ac:dyDescent="0.3">
      <c r="B198" s="700"/>
      <c r="E198" s="700"/>
      <c r="F198" s="700"/>
    </row>
    <row r="199" spans="2:6" x14ac:dyDescent="0.3">
      <c r="B199" s="700"/>
      <c r="E199" s="700"/>
      <c r="F199" s="700"/>
    </row>
    <row r="200" spans="2:6" x14ac:dyDescent="0.3">
      <c r="B200" s="700"/>
      <c r="E200" s="700"/>
      <c r="F200" s="700"/>
    </row>
    <row r="201" spans="2:6" x14ac:dyDescent="0.3">
      <c r="B201" s="700"/>
      <c r="E201" s="700"/>
      <c r="F201" s="700"/>
    </row>
    <row r="202" spans="2:6" x14ac:dyDescent="0.3">
      <c r="B202" s="700"/>
      <c r="E202" s="700"/>
      <c r="F202" s="700"/>
    </row>
    <row r="203" spans="2:6" x14ac:dyDescent="0.3">
      <c r="B203" s="700"/>
      <c r="E203" s="700"/>
      <c r="F203" s="700"/>
    </row>
    <row r="204" spans="2:6" x14ac:dyDescent="0.3">
      <c r="B204" s="700"/>
      <c r="E204" s="700"/>
      <c r="F204" s="700"/>
    </row>
    <row r="205" spans="2:6" x14ac:dyDescent="0.3">
      <c r="B205" s="700"/>
      <c r="E205" s="700"/>
      <c r="F205" s="700"/>
    </row>
    <row r="206" spans="2:6" x14ac:dyDescent="0.3">
      <c r="B206" s="700"/>
      <c r="E206" s="700"/>
      <c r="F206" s="700"/>
    </row>
    <row r="207" spans="2:6" x14ac:dyDescent="0.3">
      <c r="B207" s="700"/>
      <c r="E207" s="700"/>
      <c r="F207" s="700"/>
    </row>
    <row r="208" spans="2:6" x14ac:dyDescent="0.3">
      <c r="B208" s="700"/>
      <c r="E208" s="700"/>
      <c r="F208" s="700"/>
    </row>
    <row r="209" spans="2:6" x14ac:dyDescent="0.3">
      <c r="B209" s="700"/>
      <c r="E209" s="700"/>
      <c r="F209" s="700"/>
    </row>
    <row r="210" spans="2:6" x14ac:dyDescent="0.3">
      <c r="B210" s="700"/>
      <c r="E210" s="700"/>
      <c r="F210" s="700"/>
    </row>
    <row r="211" spans="2:6" x14ac:dyDescent="0.3">
      <c r="B211" s="700"/>
      <c r="E211" s="700"/>
      <c r="F211" s="700"/>
    </row>
    <row r="212" spans="2:6" x14ac:dyDescent="0.3">
      <c r="B212" s="700"/>
      <c r="E212" s="700"/>
      <c r="F212" s="700"/>
    </row>
    <row r="213" spans="2:6" x14ac:dyDescent="0.3">
      <c r="B213" s="700"/>
      <c r="E213" s="700"/>
      <c r="F213" s="700"/>
    </row>
    <row r="214" spans="2:6" x14ac:dyDescent="0.3">
      <c r="B214" s="700"/>
      <c r="E214" s="700"/>
      <c r="F214" s="700"/>
    </row>
    <row r="215" spans="2:6" x14ac:dyDescent="0.3">
      <c r="B215" s="700"/>
      <c r="E215" s="700"/>
      <c r="F215" s="700"/>
    </row>
    <row r="216" spans="2:6" x14ac:dyDescent="0.3">
      <c r="B216" s="700"/>
      <c r="E216" s="700"/>
      <c r="F216" s="700"/>
    </row>
    <row r="217" spans="2:6" x14ac:dyDescent="0.3">
      <c r="B217" s="700"/>
      <c r="E217" s="700"/>
      <c r="F217" s="700"/>
    </row>
    <row r="218" spans="2:6" x14ac:dyDescent="0.3">
      <c r="B218" s="700"/>
      <c r="E218" s="700"/>
      <c r="F218" s="700"/>
    </row>
    <row r="219" spans="2:6" x14ac:dyDescent="0.3">
      <c r="B219" s="700"/>
      <c r="E219" s="700"/>
      <c r="F219" s="700"/>
    </row>
    <row r="220" spans="2:6" x14ac:dyDescent="0.3">
      <c r="B220" s="700"/>
      <c r="E220" s="700"/>
      <c r="F220" s="700"/>
    </row>
    <row r="221" spans="2:6" x14ac:dyDescent="0.3">
      <c r="B221" s="700"/>
      <c r="E221" s="700"/>
      <c r="F221" s="700"/>
    </row>
    <row r="222" spans="2:6" x14ac:dyDescent="0.3">
      <c r="B222" s="700"/>
      <c r="E222" s="700"/>
      <c r="F222" s="700"/>
    </row>
    <row r="223" spans="2:6" x14ac:dyDescent="0.3">
      <c r="B223" s="700"/>
      <c r="E223" s="700"/>
      <c r="F223" s="700"/>
    </row>
    <row r="224" spans="2:6" x14ac:dyDescent="0.3">
      <c r="B224" s="700"/>
      <c r="E224" s="700"/>
      <c r="F224" s="700"/>
    </row>
    <row r="225" spans="2:6" x14ac:dyDescent="0.3">
      <c r="B225" s="700"/>
      <c r="E225" s="700"/>
      <c r="F225" s="700"/>
    </row>
    <row r="226" spans="2:6" x14ac:dyDescent="0.3">
      <c r="B226" s="700"/>
      <c r="E226" s="700"/>
      <c r="F226" s="700"/>
    </row>
    <row r="227" spans="2:6" x14ac:dyDescent="0.3">
      <c r="B227" s="700"/>
      <c r="E227" s="700"/>
      <c r="F227" s="700"/>
    </row>
    <row r="228" spans="2:6" x14ac:dyDescent="0.3">
      <c r="B228" s="700"/>
      <c r="E228" s="700"/>
      <c r="F228" s="700"/>
    </row>
    <row r="229" spans="2:6" x14ac:dyDescent="0.3">
      <c r="B229" s="700"/>
      <c r="E229" s="700"/>
      <c r="F229" s="700"/>
    </row>
    <row r="230" spans="2:6" x14ac:dyDescent="0.3">
      <c r="B230" s="700"/>
      <c r="E230" s="700"/>
      <c r="F230" s="700"/>
    </row>
    <row r="231" spans="2:6" x14ac:dyDescent="0.3">
      <c r="B231" s="700"/>
      <c r="E231" s="700"/>
      <c r="F231" s="700"/>
    </row>
    <row r="232" spans="2:6" x14ac:dyDescent="0.3">
      <c r="B232" s="700"/>
      <c r="E232" s="700"/>
      <c r="F232" s="700"/>
    </row>
    <row r="233" spans="2:6" x14ac:dyDescent="0.3">
      <c r="B233" s="700"/>
      <c r="E233" s="700"/>
      <c r="F233" s="700"/>
    </row>
    <row r="234" spans="2:6" x14ac:dyDescent="0.3">
      <c r="B234" s="700"/>
      <c r="E234" s="700"/>
      <c r="F234" s="700"/>
    </row>
    <row r="235" spans="2:6" x14ac:dyDescent="0.3">
      <c r="B235" s="700"/>
      <c r="E235" s="700"/>
      <c r="F235" s="700"/>
    </row>
    <row r="236" spans="2:6" x14ac:dyDescent="0.3">
      <c r="B236" s="700"/>
      <c r="E236" s="700"/>
      <c r="F236" s="700"/>
    </row>
    <row r="237" spans="2:6" x14ac:dyDescent="0.3">
      <c r="B237" s="700"/>
      <c r="E237" s="700"/>
      <c r="F237" s="700"/>
    </row>
    <row r="238" spans="2:6" x14ac:dyDescent="0.3">
      <c r="B238" s="700"/>
      <c r="E238" s="700"/>
      <c r="F238" s="700"/>
    </row>
    <row r="239" spans="2:6" x14ac:dyDescent="0.3">
      <c r="B239" s="700"/>
      <c r="E239" s="700"/>
      <c r="F239" s="700"/>
    </row>
    <row r="240" spans="2:6" x14ac:dyDescent="0.3">
      <c r="B240" s="700"/>
      <c r="E240" s="700"/>
      <c r="F240" s="700"/>
    </row>
    <row r="241" spans="2:6" x14ac:dyDescent="0.3">
      <c r="B241" s="700"/>
      <c r="E241" s="700"/>
      <c r="F241" s="700"/>
    </row>
    <row r="242" spans="2:6" x14ac:dyDescent="0.3">
      <c r="B242" s="700"/>
      <c r="E242" s="700"/>
      <c r="F242" s="700"/>
    </row>
    <row r="243" spans="2:6" x14ac:dyDescent="0.3">
      <c r="B243" s="700"/>
      <c r="E243" s="700"/>
      <c r="F243" s="700"/>
    </row>
    <row r="244" spans="2:6" x14ac:dyDescent="0.3">
      <c r="B244" s="700"/>
      <c r="E244" s="700"/>
      <c r="F244" s="700"/>
    </row>
    <row r="245" spans="2:6" x14ac:dyDescent="0.3">
      <c r="B245" s="700"/>
      <c r="E245" s="700"/>
      <c r="F245" s="700"/>
    </row>
    <row r="246" spans="2:6" x14ac:dyDescent="0.3">
      <c r="B246" s="700"/>
      <c r="E246" s="700"/>
      <c r="F246" s="700"/>
    </row>
    <row r="247" spans="2:6" x14ac:dyDescent="0.3">
      <c r="B247" s="700"/>
      <c r="E247" s="700"/>
      <c r="F247" s="700"/>
    </row>
    <row r="248" spans="2:6" x14ac:dyDescent="0.3">
      <c r="B248" s="700"/>
      <c r="E248" s="700"/>
      <c r="F248" s="700"/>
    </row>
    <row r="249" spans="2:6" x14ac:dyDescent="0.3">
      <c r="B249" s="700"/>
      <c r="E249" s="700"/>
      <c r="F249" s="700"/>
    </row>
    <row r="250" spans="2:6" x14ac:dyDescent="0.3">
      <c r="B250" s="700"/>
      <c r="E250" s="700"/>
      <c r="F250" s="700"/>
    </row>
    <row r="251" spans="2:6" x14ac:dyDescent="0.3">
      <c r="B251" s="700"/>
      <c r="E251" s="700"/>
      <c r="F251" s="700"/>
    </row>
    <row r="252" spans="2:6" x14ac:dyDescent="0.3">
      <c r="B252" s="700"/>
      <c r="E252" s="700"/>
      <c r="F252" s="700"/>
    </row>
    <row r="253" spans="2:6" x14ac:dyDescent="0.3">
      <c r="B253" s="700"/>
      <c r="E253" s="700"/>
      <c r="F253" s="700"/>
    </row>
    <row r="254" spans="2:6" x14ac:dyDescent="0.3">
      <c r="B254" s="700"/>
      <c r="E254" s="700"/>
      <c r="F254" s="700"/>
    </row>
    <row r="255" spans="2:6" x14ac:dyDescent="0.3">
      <c r="B255" s="700"/>
      <c r="E255" s="700"/>
      <c r="F255" s="700"/>
    </row>
    <row r="256" spans="2:6" x14ac:dyDescent="0.3">
      <c r="B256" s="700"/>
      <c r="E256" s="700"/>
      <c r="F256" s="700"/>
    </row>
    <row r="257" spans="2:6" x14ac:dyDescent="0.3">
      <c r="B257" s="700"/>
      <c r="E257" s="700"/>
      <c r="F257" s="700"/>
    </row>
    <row r="258" spans="2:6" x14ac:dyDescent="0.3">
      <c r="B258" s="700"/>
      <c r="E258" s="700"/>
      <c r="F258" s="700"/>
    </row>
    <row r="259" spans="2:6" x14ac:dyDescent="0.3">
      <c r="B259" s="700"/>
      <c r="E259" s="700"/>
      <c r="F259" s="700"/>
    </row>
    <row r="260" spans="2:6" x14ac:dyDescent="0.3">
      <c r="B260" s="700"/>
      <c r="E260" s="700"/>
      <c r="F260" s="700"/>
    </row>
    <row r="261" spans="2:6" x14ac:dyDescent="0.3">
      <c r="B261" s="700"/>
      <c r="E261" s="700"/>
      <c r="F261" s="700"/>
    </row>
    <row r="262" spans="2:6" x14ac:dyDescent="0.3">
      <c r="B262" s="700"/>
      <c r="E262" s="700"/>
      <c r="F262" s="700"/>
    </row>
    <row r="263" spans="2:6" x14ac:dyDescent="0.3">
      <c r="B263" s="700"/>
      <c r="E263" s="700"/>
      <c r="F263" s="700"/>
    </row>
    <row r="264" spans="2:6" x14ac:dyDescent="0.3">
      <c r="B264" s="700"/>
      <c r="E264" s="700"/>
      <c r="F264" s="700"/>
    </row>
    <row r="265" spans="2:6" x14ac:dyDescent="0.3">
      <c r="B265" s="700"/>
      <c r="E265" s="700"/>
      <c r="F265" s="700"/>
    </row>
    <row r="266" spans="2:6" x14ac:dyDescent="0.3">
      <c r="B266" s="700"/>
      <c r="E266" s="700"/>
      <c r="F266" s="700"/>
    </row>
    <row r="267" spans="2:6" x14ac:dyDescent="0.3">
      <c r="B267" s="700"/>
      <c r="E267" s="700"/>
      <c r="F267" s="700"/>
    </row>
    <row r="268" spans="2:6" x14ac:dyDescent="0.3">
      <c r="B268" s="700"/>
      <c r="E268" s="700"/>
      <c r="F268" s="700"/>
    </row>
    <row r="269" spans="2:6" x14ac:dyDescent="0.3">
      <c r="B269" s="700"/>
      <c r="E269" s="700"/>
      <c r="F269" s="700"/>
    </row>
    <row r="270" spans="2:6" x14ac:dyDescent="0.3">
      <c r="B270" s="700"/>
      <c r="E270" s="700"/>
      <c r="F270" s="700"/>
    </row>
    <row r="271" spans="2:6" x14ac:dyDescent="0.3">
      <c r="B271" s="700"/>
      <c r="E271" s="700"/>
      <c r="F271" s="700"/>
    </row>
    <row r="272" spans="2:6" x14ac:dyDescent="0.3">
      <c r="B272" s="700"/>
      <c r="E272" s="700"/>
      <c r="F272" s="700"/>
    </row>
    <row r="273" spans="2:6" x14ac:dyDescent="0.3">
      <c r="B273" s="700"/>
      <c r="E273" s="700"/>
      <c r="F273" s="700"/>
    </row>
    <row r="274" spans="2:6" x14ac:dyDescent="0.3">
      <c r="B274" s="700"/>
      <c r="E274" s="700"/>
      <c r="F274" s="700"/>
    </row>
    <row r="275" spans="2:6" x14ac:dyDescent="0.3">
      <c r="B275" s="700"/>
      <c r="E275" s="700"/>
      <c r="F275" s="700"/>
    </row>
    <row r="276" spans="2:6" x14ac:dyDescent="0.3">
      <c r="B276" s="700"/>
      <c r="E276" s="700"/>
      <c r="F276" s="700"/>
    </row>
    <row r="277" spans="2:6" x14ac:dyDescent="0.3">
      <c r="B277" s="700"/>
      <c r="E277" s="700"/>
      <c r="F277" s="700"/>
    </row>
    <row r="278" spans="2:6" x14ac:dyDescent="0.3">
      <c r="B278" s="700"/>
      <c r="E278" s="700"/>
      <c r="F278" s="700"/>
    </row>
    <row r="279" spans="2:6" x14ac:dyDescent="0.3">
      <c r="B279" s="700"/>
      <c r="E279" s="700"/>
      <c r="F279" s="700"/>
    </row>
    <row r="280" spans="2:6" x14ac:dyDescent="0.3">
      <c r="B280" s="700"/>
      <c r="E280" s="700"/>
      <c r="F280" s="700"/>
    </row>
    <row r="281" spans="2:6" x14ac:dyDescent="0.3">
      <c r="B281" s="700"/>
      <c r="E281" s="700"/>
      <c r="F281" s="700"/>
    </row>
    <row r="282" spans="2:6" x14ac:dyDescent="0.3">
      <c r="B282" s="700"/>
      <c r="E282" s="700"/>
      <c r="F282" s="700"/>
    </row>
    <row r="283" spans="2:6" x14ac:dyDescent="0.3">
      <c r="B283" s="700"/>
      <c r="E283" s="700"/>
      <c r="F283" s="700"/>
    </row>
    <row r="284" spans="2:6" x14ac:dyDescent="0.3">
      <c r="B284" s="700"/>
      <c r="E284" s="700"/>
      <c r="F284" s="700"/>
    </row>
    <row r="285" spans="2:6" x14ac:dyDescent="0.3">
      <c r="B285" s="700"/>
      <c r="E285" s="700"/>
      <c r="F285" s="700"/>
    </row>
    <row r="286" spans="2:6" x14ac:dyDescent="0.3">
      <c r="B286" s="700"/>
      <c r="E286" s="700"/>
      <c r="F286" s="700"/>
    </row>
    <row r="287" spans="2:6" x14ac:dyDescent="0.3">
      <c r="B287" s="700"/>
      <c r="E287" s="700"/>
      <c r="F287" s="700"/>
    </row>
    <row r="288" spans="2:6" x14ac:dyDescent="0.3">
      <c r="B288" s="700"/>
      <c r="E288" s="700"/>
      <c r="F288" s="700"/>
    </row>
    <row r="289" spans="2:6" x14ac:dyDescent="0.3">
      <c r="B289" s="700"/>
      <c r="E289" s="700"/>
      <c r="F289" s="700"/>
    </row>
    <row r="290" spans="2:6" x14ac:dyDescent="0.3">
      <c r="B290" s="700"/>
      <c r="E290" s="700"/>
      <c r="F290" s="700"/>
    </row>
    <row r="291" spans="2:6" x14ac:dyDescent="0.3">
      <c r="B291" s="700"/>
      <c r="E291" s="700"/>
      <c r="F291" s="700"/>
    </row>
    <row r="292" spans="2:6" x14ac:dyDescent="0.3">
      <c r="B292" s="700"/>
      <c r="E292" s="700"/>
      <c r="F292" s="700"/>
    </row>
    <row r="293" spans="2:6" x14ac:dyDescent="0.3">
      <c r="B293" s="700"/>
      <c r="E293" s="700"/>
      <c r="F293" s="700"/>
    </row>
    <row r="294" spans="2:6" x14ac:dyDescent="0.3">
      <c r="B294" s="700"/>
      <c r="E294" s="700"/>
      <c r="F294" s="700"/>
    </row>
    <row r="295" spans="2:6" x14ac:dyDescent="0.3">
      <c r="B295" s="700"/>
      <c r="E295" s="700"/>
      <c r="F295" s="700"/>
    </row>
    <row r="296" spans="2:6" x14ac:dyDescent="0.3">
      <c r="B296" s="700"/>
      <c r="E296" s="700"/>
      <c r="F296" s="700"/>
    </row>
    <row r="297" spans="2:6" x14ac:dyDescent="0.3">
      <c r="B297" s="700"/>
      <c r="E297" s="700"/>
      <c r="F297" s="700"/>
    </row>
    <row r="298" spans="2:6" x14ac:dyDescent="0.3">
      <c r="B298" s="700"/>
      <c r="E298" s="700"/>
      <c r="F298" s="700"/>
    </row>
    <row r="299" spans="2:6" x14ac:dyDescent="0.3">
      <c r="B299" s="700"/>
      <c r="E299" s="700"/>
      <c r="F299" s="700"/>
    </row>
    <row r="300" spans="2:6" x14ac:dyDescent="0.3">
      <c r="B300" s="700"/>
      <c r="E300" s="700"/>
      <c r="F300" s="700"/>
    </row>
    <row r="301" spans="2:6" x14ac:dyDescent="0.3">
      <c r="B301" s="700"/>
      <c r="E301" s="700"/>
      <c r="F301" s="700"/>
    </row>
    <row r="302" spans="2:6" x14ac:dyDescent="0.3">
      <c r="B302" s="700"/>
      <c r="E302" s="700"/>
      <c r="F302" s="700"/>
    </row>
    <row r="303" spans="2:6" x14ac:dyDescent="0.3">
      <c r="B303" s="700"/>
      <c r="E303" s="700"/>
      <c r="F303" s="700"/>
    </row>
    <row r="304" spans="2:6" x14ac:dyDescent="0.3">
      <c r="B304" s="700"/>
      <c r="E304" s="700"/>
      <c r="F304" s="700"/>
    </row>
    <row r="305" spans="2:6" x14ac:dyDescent="0.3">
      <c r="B305" s="700"/>
      <c r="E305" s="700"/>
      <c r="F305" s="700"/>
    </row>
    <row r="306" spans="2:6" x14ac:dyDescent="0.3">
      <c r="B306" s="700"/>
      <c r="E306" s="700"/>
      <c r="F306" s="700"/>
    </row>
    <row r="307" spans="2:6" x14ac:dyDescent="0.3">
      <c r="B307" s="700"/>
      <c r="E307" s="700"/>
      <c r="F307" s="700"/>
    </row>
    <row r="308" spans="2:6" x14ac:dyDescent="0.3">
      <c r="B308" s="700"/>
      <c r="E308" s="700"/>
      <c r="F308" s="700"/>
    </row>
    <row r="309" spans="2:6" x14ac:dyDescent="0.3">
      <c r="B309" s="700"/>
      <c r="E309" s="700"/>
      <c r="F309" s="700"/>
    </row>
    <row r="310" spans="2:6" x14ac:dyDescent="0.3">
      <c r="B310" s="700"/>
      <c r="E310" s="700"/>
      <c r="F310" s="700"/>
    </row>
    <row r="311" spans="2:6" x14ac:dyDescent="0.3">
      <c r="B311" s="700"/>
      <c r="E311" s="700"/>
      <c r="F311" s="700"/>
    </row>
    <row r="312" spans="2:6" x14ac:dyDescent="0.3">
      <c r="B312" s="700"/>
      <c r="E312" s="700"/>
      <c r="F312" s="700"/>
    </row>
    <row r="313" spans="2:6" x14ac:dyDescent="0.3">
      <c r="B313" s="700"/>
      <c r="E313" s="700"/>
      <c r="F313" s="700"/>
    </row>
    <row r="314" spans="2:6" x14ac:dyDescent="0.3">
      <c r="B314" s="700"/>
      <c r="E314" s="700"/>
      <c r="F314" s="700"/>
    </row>
    <row r="315" spans="2:6" x14ac:dyDescent="0.3">
      <c r="B315" s="700"/>
      <c r="E315" s="700"/>
      <c r="F315" s="700"/>
    </row>
    <row r="316" spans="2:6" x14ac:dyDescent="0.3">
      <c r="B316" s="700"/>
      <c r="E316" s="700"/>
      <c r="F316" s="700"/>
    </row>
    <row r="317" spans="2:6" x14ac:dyDescent="0.3">
      <c r="B317" s="700"/>
      <c r="E317" s="700"/>
      <c r="F317" s="700"/>
    </row>
    <row r="318" spans="2:6" x14ac:dyDescent="0.3">
      <c r="B318" s="700"/>
      <c r="E318" s="700"/>
      <c r="F318" s="700"/>
    </row>
    <row r="319" spans="2:6" x14ac:dyDescent="0.3">
      <c r="B319" s="700"/>
      <c r="E319" s="700"/>
      <c r="F319" s="700"/>
    </row>
    <row r="320" spans="2:6" x14ac:dyDescent="0.3">
      <c r="B320" s="700"/>
      <c r="E320" s="700"/>
      <c r="F320" s="700"/>
    </row>
    <row r="321" spans="2:6" x14ac:dyDescent="0.3">
      <c r="B321" s="700"/>
      <c r="E321" s="700"/>
      <c r="F321" s="700"/>
    </row>
    <row r="322" spans="2:6" x14ac:dyDescent="0.3">
      <c r="B322" s="700"/>
      <c r="E322" s="700"/>
      <c r="F322" s="700"/>
    </row>
    <row r="323" spans="2:6" x14ac:dyDescent="0.3">
      <c r="B323" s="700"/>
      <c r="E323" s="700"/>
      <c r="F323" s="700"/>
    </row>
    <row r="324" spans="2:6" x14ac:dyDescent="0.3">
      <c r="B324" s="700"/>
      <c r="E324" s="700"/>
      <c r="F324" s="700"/>
    </row>
    <row r="325" spans="2:6" x14ac:dyDescent="0.3">
      <c r="B325" s="700"/>
      <c r="E325" s="700"/>
      <c r="F325" s="700"/>
    </row>
    <row r="326" spans="2:6" x14ac:dyDescent="0.3">
      <c r="B326" s="700"/>
      <c r="E326" s="700"/>
      <c r="F326" s="700"/>
    </row>
    <row r="327" spans="2:6" x14ac:dyDescent="0.3">
      <c r="B327" s="700"/>
      <c r="E327" s="700"/>
      <c r="F327" s="700"/>
    </row>
    <row r="328" spans="2:6" x14ac:dyDescent="0.3">
      <c r="B328" s="700"/>
      <c r="E328" s="700"/>
      <c r="F328" s="700"/>
    </row>
    <row r="329" spans="2:6" x14ac:dyDescent="0.3">
      <c r="B329" s="700"/>
      <c r="E329" s="700"/>
      <c r="F329" s="700"/>
    </row>
    <row r="330" spans="2:6" x14ac:dyDescent="0.3">
      <c r="B330" s="700"/>
      <c r="E330" s="700"/>
      <c r="F330" s="700"/>
    </row>
    <row r="331" spans="2:6" x14ac:dyDescent="0.3">
      <c r="B331" s="700"/>
      <c r="E331" s="700"/>
      <c r="F331" s="700"/>
    </row>
    <row r="332" spans="2:6" x14ac:dyDescent="0.3">
      <c r="B332" s="700"/>
      <c r="E332" s="700"/>
      <c r="F332" s="700"/>
    </row>
    <row r="333" spans="2:6" x14ac:dyDescent="0.3">
      <c r="B333" s="700"/>
      <c r="E333" s="700"/>
      <c r="F333" s="700"/>
    </row>
    <row r="334" spans="2:6" x14ac:dyDescent="0.3">
      <c r="B334" s="700"/>
      <c r="E334" s="700"/>
      <c r="F334" s="700"/>
    </row>
    <row r="335" spans="2:6" x14ac:dyDescent="0.3">
      <c r="B335" s="700"/>
      <c r="E335" s="700"/>
      <c r="F335" s="700"/>
    </row>
    <row r="336" spans="2:6" x14ac:dyDescent="0.3">
      <c r="B336" s="700"/>
      <c r="E336" s="700"/>
      <c r="F336" s="700"/>
    </row>
    <row r="337" spans="2:6" x14ac:dyDescent="0.3">
      <c r="B337" s="700"/>
      <c r="E337" s="700"/>
      <c r="F337" s="700"/>
    </row>
    <row r="338" spans="2:6" x14ac:dyDescent="0.3">
      <c r="B338" s="700"/>
      <c r="E338" s="700"/>
      <c r="F338" s="700"/>
    </row>
    <row r="339" spans="2:6" x14ac:dyDescent="0.3">
      <c r="B339" s="700"/>
      <c r="E339" s="700"/>
      <c r="F339" s="700"/>
    </row>
    <row r="340" spans="2:6" x14ac:dyDescent="0.3">
      <c r="B340" s="700"/>
      <c r="E340" s="700"/>
      <c r="F340" s="700"/>
    </row>
    <row r="341" spans="2:6" x14ac:dyDescent="0.3">
      <c r="B341" s="700"/>
      <c r="E341" s="700"/>
      <c r="F341" s="700"/>
    </row>
    <row r="342" spans="2:6" x14ac:dyDescent="0.3">
      <c r="B342" s="700"/>
      <c r="E342" s="700"/>
      <c r="F342" s="700"/>
    </row>
    <row r="343" spans="2:6" x14ac:dyDescent="0.3">
      <c r="B343" s="700"/>
      <c r="E343" s="700"/>
      <c r="F343" s="700"/>
    </row>
    <row r="344" spans="2:6" x14ac:dyDescent="0.3">
      <c r="B344" s="700"/>
      <c r="E344" s="700"/>
      <c r="F344" s="700"/>
    </row>
    <row r="345" spans="2:6" x14ac:dyDescent="0.3">
      <c r="B345" s="700"/>
      <c r="E345" s="700"/>
      <c r="F345" s="700"/>
    </row>
    <row r="346" spans="2:6" x14ac:dyDescent="0.3">
      <c r="B346" s="700"/>
      <c r="E346" s="700"/>
      <c r="F346" s="700"/>
    </row>
    <row r="347" spans="2:6" x14ac:dyDescent="0.3">
      <c r="B347" s="700"/>
      <c r="E347" s="700"/>
      <c r="F347" s="700"/>
    </row>
    <row r="348" spans="2:6" x14ac:dyDescent="0.3">
      <c r="B348" s="700"/>
      <c r="E348" s="700"/>
      <c r="F348" s="700"/>
    </row>
    <row r="349" spans="2:6" x14ac:dyDescent="0.3">
      <c r="B349" s="700"/>
      <c r="E349" s="700"/>
      <c r="F349" s="700"/>
    </row>
    <row r="350" spans="2:6" x14ac:dyDescent="0.3">
      <c r="B350" s="700"/>
      <c r="E350" s="700"/>
      <c r="F350" s="700"/>
    </row>
    <row r="351" spans="2:6" x14ac:dyDescent="0.3">
      <c r="B351" s="700"/>
      <c r="E351" s="700"/>
      <c r="F351" s="700"/>
    </row>
    <row r="352" spans="2:6" x14ac:dyDescent="0.3">
      <c r="B352" s="700"/>
      <c r="E352" s="700"/>
      <c r="F352" s="700"/>
    </row>
    <row r="353" spans="2:6" x14ac:dyDescent="0.3">
      <c r="B353" s="700"/>
      <c r="E353" s="700"/>
      <c r="F353" s="700"/>
    </row>
    <row r="354" spans="2:6" x14ac:dyDescent="0.3">
      <c r="B354" s="700"/>
      <c r="E354" s="700"/>
      <c r="F354" s="700"/>
    </row>
    <row r="355" spans="2:6" x14ac:dyDescent="0.3">
      <c r="B355" s="700"/>
      <c r="E355" s="700"/>
      <c r="F355" s="700"/>
    </row>
    <row r="356" spans="2:6" x14ac:dyDescent="0.3">
      <c r="B356" s="700"/>
      <c r="E356" s="700"/>
      <c r="F356" s="700"/>
    </row>
    <row r="357" spans="2:6" x14ac:dyDescent="0.3">
      <c r="B357" s="700"/>
      <c r="E357" s="700"/>
      <c r="F357" s="700"/>
    </row>
    <row r="358" spans="2:6" x14ac:dyDescent="0.3">
      <c r="B358" s="700"/>
      <c r="E358" s="700"/>
      <c r="F358" s="700"/>
    </row>
    <row r="359" spans="2:6" x14ac:dyDescent="0.3">
      <c r="B359" s="700"/>
      <c r="E359" s="700"/>
      <c r="F359" s="700"/>
    </row>
    <row r="360" spans="2:6" x14ac:dyDescent="0.3">
      <c r="B360" s="700"/>
      <c r="E360" s="700"/>
      <c r="F360" s="700"/>
    </row>
    <row r="361" spans="2:6" x14ac:dyDescent="0.3">
      <c r="B361" s="700"/>
      <c r="E361" s="700"/>
      <c r="F361" s="700"/>
    </row>
    <row r="362" spans="2:6" x14ac:dyDescent="0.3">
      <c r="B362" s="700"/>
      <c r="E362" s="700"/>
      <c r="F362" s="700"/>
    </row>
    <row r="363" spans="2:6" x14ac:dyDescent="0.3">
      <c r="B363" s="700"/>
      <c r="E363" s="700"/>
      <c r="F363" s="700"/>
    </row>
    <row r="364" spans="2:6" x14ac:dyDescent="0.3">
      <c r="B364" s="700"/>
      <c r="E364" s="700"/>
      <c r="F364" s="700"/>
    </row>
    <row r="365" spans="2:6" x14ac:dyDescent="0.3">
      <c r="B365" s="700"/>
      <c r="E365" s="700"/>
      <c r="F365" s="700"/>
    </row>
    <row r="366" spans="2:6" x14ac:dyDescent="0.3">
      <c r="B366" s="700"/>
      <c r="E366" s="700"/>
      <c r="F366" s="700"/>
    </row>
    <row r="367" spans="2:6" x14ac:dyDescent="0.3">
      <c r="B367" s="700"/>
      <c r="E367" s="700"/>
      <c r="F367" s="700"/>
    </row>
    <row r="368" spans="2:6" x14ac:dyDescent="0.3">
      <c r="B368" s="700"/>
      <c r="E368" s="700"/>
      <c r="F368" s="700"/>
    </row>
    <row r="369" spans="2:6" x14ac:dyDescent="0.3">
      <c r="B369" s="700"/>
      <c r="E369" s="700"/>
      <c r="F369" s="700"/>
    </row>
    <row r="370" spans="2:6" x14ac:dyDescent="0.3">
      <c r="B370" s="700"/>
      <c r="E370" s="700"/>
      <c r="F370" s="700"/>
    </row>
    <row r="371" spans="2:6" x14ac:dyDescent="0.3">
      <c r="B371" s="700"/>
      <c r="E371" s="700"/>
      <c r="F371" s="700"/>
    </row>
    <row r="372" spans="2:6" x14ac:dyDescent="0.3">
      <c r="B372" s="700"/>
      <c r="E372" s="700"/>
      <c r="F372" s="700"/>
    </row>
    <row r="373" spans="2:6" x14ac:dyDescent="0.3">
      <c r="B373" s="700"/>
      <c r="E373" s="700"/>
      <c r="F373" s="700"/>
    </row>
    <row r="374" spans="2:6" x14ac:dyDescent="0.3">
      <c r="B374" s="700"/>
      <c r="E374" s="700"/>
      <c r="F374" s="700"/>
    </row>
    <row r="375" spans="2:6" x14ac:dyDescent="0.3">
      <c r="B375" s="700"/>
      <c r="E375" s="700"/>
      <c r="F375" s="700"/>
    </row>
    <row r="376" spans="2:6" x14ac:dyDescent="0.3">
      <c r="B376" s="700"/>
      <c r="E376" s="700"/>
      <c r="F376" s="700"/>
    </row>
    <row r="377" spans="2:6" x14ac:dyDescent="0.3">
      <c r="B377" s="700"/>
      <c r="E377" s="700"/>
      <c r="F377" s="700"/>
    </row>
    <row r="378" spans="2:6" x14ac:dyDescent="0.3">
      <c r="B378" s="700"/>
      <c r="E378" s="700"/>
      <c r="F378" s="700"/>
    </row>
    <row r="379" spans="2:6" x14ac:dyDescent="0.3">
      <c r="B379" s="700"/>
      <c r="E379" s="700"/>
      <c r="F379" s="700"/>
    </row>
    <row r="380" spans="2:6" x14ac:dyDescent="0.3">
      <c r="B380" s="700"/>
      <c r="E380" s="700"/>
      <c r="F380" s="700"/>
    </row>
    <row r="381" spans="2:6" x14ac:dyDescent="0.3">
      <c r="B381" s="700"/>
      <c r="E381" s="700"/>
      <c r="F381" s="700"/>
    </row>
    <row r="382" spans="2:6" x14ac:dyDescent="0.3">
      <c r="B382" s="700"/>
      <c r="E382" s="700"/>
      <c r="F382" s="700"/>
    </row>
    <row r="383" spans="2:6" x14ac:dyDescent="0.3">
      <c r="B383" s="700"/>
      <c r="E383" s="700"/>
      <c r="F383" s="700"/>
    </row>
    <row r="384" spans="2:6" x14ac:dyDescent="0.3">
      <c r="B384" s="700"/>
      <c r="E384" s="700"/>
      <c r="F384" s="700"/>
    </row>
    <row r="385" spans="2:6" x14ac:dyDescent="0.3">
      <c r="B385" s="700"/>
      <c r="E385" s="700"/>
      <c r="F385" s="700"/>
    </row>
    <row r="386" spans="2:6" x14ac:dyDescent="0.3">
      <c r="B386" s="700"/>
      <c r="E386" s="700"/>
      <c r="F386" s="700"/>
    </row>
    <row r="387" spans="2:6" x14ac:dyDescent="0.3">
      <c r="B387" s="700"/>
      <c r="E387" s="700"/>
      <c r="F387" s="700"/>
    </row>
    <row r="388" spans="2:6" x14ac:dyDescent="0.3">
      <c r="B388" s="700"/>
      <c r="E388" s="700"/>
      <c r="F388" s="700"/>
    </row>
    <row r="389" spans="2:6" x14ac:dyDescent="0.3">
      <c r="B389" s="700"/>
      <c r="E389" s="700"/>
      <c r="F389" s="700"/>
    </row>
    <row r="390" spans="2:6" x14ac:dyDescent="0.3">
      <c r="B390" s="700"/>
      <c r="E390" s="700"/>
      <c r="F390" s="700"/>
    </row>
    <row r="391" spans="2:6" x14ac:dyDescent="0.3">
      <c r="B391" s="700"/>
      <c r="E391" s="700"/>
      <c r="F391" s="700"/>
    </row>
    <row r="392" spans="2:6" x14ac:dyDescent="0.3">
      <c r="B392" s="700"/>
      <c r="E392" s="700"/>
      <c r="F392" s="700"/>
    </row>
    <row r="393" spans="2:6" x14ac:dyDescent="0.3">
      <c r="B393" s="700"/>
      <c r="E393" s="700"/>
      <c r="F393" s="700"/>
    </row>
    <row r="394" spans="2:6" x14ac:dyDescent="0.3">
      <c r="B394" s="700"/>
      <c r="E394" s="700"/>
      <c r="F394" s="700"/>
    </row>
    <row r="395" spans="2:6" x14ac:dyDescent="0.3">
      <c r="B395" s="700"/>
      <c r="E395" s="700"/>
      <c r="F395" s="700"/>
    </row>
    <row r="396" spans="2:6" x14ac:dyDescent="0.3">
      <c r="B396" s="700"/>
      <c r="E396" s="700"/>
      <c r="F396" s="700"/>
    </row>
    <row r="397" spans="2:6" x14ac:dyDescent="0.3">
      <c r="B397" s="700"/>
      <c r="E397" s="700"/>
      <c r="F397" s="700"/>
    </row>
    <row r="398" spans="2:6" x14ac:dyDescent="0.3">
      <c r="B398" s="700"/>
      <c r="E398" s="700"/>
      <c r="F398" s="700"/>
    </row>
    <row r="399" spans="2:6" x14ac:dyDescent="0.3">
      <c r="B399" s="700"/>
      <c r="E399" s="700"/>
      <c r="F399" s="700"/>
    </row>
    <row r="400" spans="2:6" x14ac:dyDescent="0.3">
      <c r="B400" s="700"/>
      <c r="E400" s="700"/>
      <c r="F400" s="700"/>
    </row>
    <row r="401" spans="2:6" x14ac:dyDescent="0.3">
      <c r="B401" s="700"/>
      <c r="E401" s="700"/>
      <c r="F401" s="700"/>
    </row>
    <row r="402" spans="2:6" x14ac:dyDescent="0.3">
      <c r="B402" s="700"/>
      <c r="E402" s="700"/>
      <c r="F402" s="700"/>
    </row>
    <row r="403" spans="2:6" x14ac:dyDescent="0.3">
      <c r="B403" s="700"/>
      <c r="E403" s="700"/>
      <c r="F403" s="700"/>
    </row>
    <row r="404" spans="2:6" x14ac:dyDescent="0.3">
      <c r="B404" s="700"/>
      <c r="E404" s="700"/>
      <c r="F404" s="700"/>
    </row>
    <row r="405" spans="2:6" x14ac:dyDescent="0.3">
      <c r="B405" s="700"/>
      <c r="E405" s="700"/>
      <c r="F405" s="700"/>
    </row>
    <row r="406" spans="2:6" x14ac:dyDescent="0.3">
      <c r="B406" s="700"/>
      <c r="E406" s="700"/>
      <c r="F406" s="700"/>
    </row>
    <row r="407" spans="2:6" x14ac:dyDescent="0.3">
      <c r="B407" s="700"/>
      <c r="E407" s="700"/>
      <c r="F407" s="700"/>
    </row>
    <row r="408" spans="2:6" x14ac:dyDescent="0.3">
      <c r="B408" s="700"/>
      <c r="E408" s="700"/>
      <c r="F408" s="700"/>
    </row>
    <row r="409" spans="2:6" x14ac:dyDescent="0.3">
      <c r="B409" s="700"/>
      <c r="E409" s="700"/>
      <c r="F409" s="700"/>
    </row>
    <row r="410" spans="2:6" x14ac:dyDescent="0.3">
      <c r="B410" s="700"/>
      <c r="E410" s="700"/>
      <c r="F410" s="700"/>
    </row>
    <row r="411" spans="2:6" x14ac:dyDescent="0.3">
      <c r="B411" s="700"/>
      <c r="E411" s="700"/>
      <c r="F411" s="700"/>
    </row>
    <row r="412" spans="2:6" x14ac:dyDescent="0.3">
      <c r="B412" s="700"/>
      <c r="E412" s="700"/>
      <c r="F412" s="700"/>
    </row>
    <row r="413" spans="2:6" x14ac:dyDescent="0.3">
      <c r="B413" s="700"/>
      <c r="E413" s="700"/>
      <c r="F413" s="700"/>
    </row>
    <row r="414" spans="2:6" x14ac:dyDescent="0.3">
      <c r="B414" s="700"/>
      <c r="E414" s="700"/>
      <c r="F414" s="700"/>
    </row>
    <row r="415" spans="2:6" x14ac:dyDescent="0.3">
      <c r="B415" s="700"/>
      <c r="E415" s="700"/>
      <c r="F415" s="700"/>
    </row>
    <row r="416" spans="2:6" x14ac:dyDescent="0.3">
      <c r="B416" s="700"/>
      <c r="E416" s="700"/>
      <c r="F416" s="700"/>
    </row>
    <row r="417" spans="2:6" x14ac:dyDescent="0.3">
      <c r="B417" s="700"/>
      <c r="E417" s="700"/>
      <c r="F417" s="700"/>
    </row>
    <row r="418" spans="2:6" x14ac:dyDescent="0.3">
      <c r="B418" s="700"/>
      <c r="E418" s="700"/>
      <c r="F418" s="700"/>
    </row>
    <row r="419" spans="2:6" x14ac:dyDescent="0.3">
      <c r="B419" s="700"/>
      <c r="E419" s="700"/>
      <c r="F419" s="700"/>
    </row>
    <row r="420" spans="2:6" x14ac:dyDescent="0.3">
      <c r="B420" s="700"/>
      <c r="E420" s="700"/>
      <c r="F420" s="700"/>
    </row>
    <row r="421" spans="2:6" x14ac:dyDescent="0.3">
      <c r="B421" s="700"/>
      <c r="E421" s="700"/>
      <c r="F421" s="700"/>
    </row>
    <row r="422" spans="2:6" x14ac:dyDescent="0.3">
      <c r="B422" s="700"/>
      <c r="E422" s="700"/>
      <c r="F422" s="700"/>
    </row>
    <row r="423" spans="2:6" x14ac:dyDescent="0.3">
      <c r="B423" s="700"/>
      <c r="E423" s="700"/>
      <c r="F423" s="700"/>
    </row>
    <row r="424" spans="2:6" x14ac:dyDescent="0.3">
      <c r="B424" s="700"/>
      <c r="E424" s="700"/>
      <c r="F424" s="700"/>
    </row>
    <row r="425" spans="2:6" x14ac:dyDescent="0.3">
      <c r="B425" s="700"/>
      <c r="E425" s="700"/>
      <c r="F425" s="700"/>
    </row>
    <row r="426" spans="2:6" x14ac:dyDescent="0.3">
      <c r="B426" s="700"/>
      <c r="E426" s="700"/>
      <c r="F426" s="700"/>
    </row>
    <row r="427" spans="2:6" x14ac:dyDescent="0.3">
      <c r="B427" s="700"/>
      <c r="E427" s="700"/>
      <c r="F427" s="700"/>
    </row>
    <row r="428" spans="2:6" x14ac:dyDescent="0.3">
      <c r="B428" s="700"/>
      <c r="E428" s="700"/>
      <c r="F428" s="700"/>
    </row>
    <row r="429" spans="2:6" x14ac:dyDescent="0.3">
      <c r="B429" s="700"/>
      <c r="E429" s="700"/>
      <c r="F429" s="700"/>
    </row>
    <row r="430" spans="2:6" x14ac:dyDescent="0.3">
      <c r="B430" s="700"/>
      <c r="E430" s="700"/>
      <c r="F430" s="700"/>
    </row>
    <row r="431" spans="2:6" x14ac:dyDescent="0.3">
      <c r="B431" s="700"/>
      <c r="E431" s="700"/>
      <c r="F431" s="700"/>
    </row>
    <row r="432" spans="2:6" x14ac:dyDescent="0.3">
      <c r="B432" s="700"/>
      <c r="E432" s="700"/>
      <c r="F432" s="700"/>
    </row>
    <row r="433" spans="2:6" x14ac:dyDescent="0.3">
      <c r="B433" s="700"/>
      <c r="E433" s="700"/>
      <c r="F433" s="700"/>
    </row>
    <row r="434" spans="2:6" x14ac:dyDescent="0.3">
      <c r="B434" s="700"/>
      <c r="E434" s="700"/>
      <c r="F434" s="700"/>
    </row>
    <row r="435" spans="2:6" x14ac:dyDescent="0.3">
      <c r="B435" s="700"/>
      <c r="E435" s="700"/>
      <c r="F435" s="700"/>
    </row>
    <row r="436" spans="2:6" x14ac:dyDescent="0.3">
      <c r="B436" s="700"/>
      <c r="E436" s="700"/>
      <c r="F436" s="700"/>
    </row>
    <row r="437" spans="2:6" x14ac:dyDescent="0.3">
      <c r="B437" s="700"/>
      <c r="E437" s="700"/>
      <c r="F437" s="700"/>
    </row>
    <row r="438" spans="2:6" x14ac:dyDescent="0.3">
      <c r="B438" s="700"/>
      <c r="E438" s="700"/>
      <c r="F438" s="700"/>
    </row>
    <row r="439" spans="2:6" x14ac:dyDescent="0.3">
      <c r="B439" s="700"/>
      <c r="E439" s="700"/>
      <c r="F439" s="700"/>
    </row>
    <row r="440" spans="2:6" x14ac:dyDescent="0.3">
      <c r="B440" s="700"/>
      <c r="E440" s="700"/>
      <c r="F440" s="700"/>
    </row>
    <row r="441" spans="2:6" x14ac:dyDescent="0.3">
      <c r="B441" s="700"/>
      <c r="E441" s="700"/>
      <c r="F441" s="700"/>
    </row>
    <row r="442" spans="2:6" x14ac:dyDescent="0.3">
      <c r="B442" s="700"/>
      <c r="E442" s="700"/>
      <c r="F442" s="700"/>
    </row>
    <row r="443" spans="2:6" x14ac:dyDescent="0.3">
      <c r="B443" s="700"/>
      <c r="E443" s="700"/>
      <c r="F443" s="700"/>
    </row>
    <row r="444" spans="2:6" x14ac:dyDescent="0.3">
      <c r="B444" s="700"/>
      <c r="E444" s="700"/>
      <c r="F444" s="700"/>
    </row>
    <row r="445" spans="2:6" x14ac:dyDescent="0.3">
      <c r="B445" s="700"/>
      <c r="E445" s="700"/>
      <c r="F445" s="700"/>
    </row>
    <row r="446" spans="2:6" x14ac:dyDescent="0.3">
      <c r="B446" s="700"/>
      <c r="E446" s="700"/>
      <c r="F446" s="700"/>
    </row>
    <row r="447" spans="2:6" x14ac:dyDescent="0.3">
      <c r="B447" s="700"/>
      <c r="E447" s="700"/>
      <c r="F447" s="700"/>
    </row>
    <row r="448" spans="2:6" x14ac:dyDescent="0.3">
      <c r="B448" s="700"/>
      <c r="E448" s="700"/>
      <c r="F448" s="700"/>
    </row>
    <row r="449" spans="2:6" x14ac:dyDescent="0.3">
      <c r="B449" s="700"/>
      <c r="E449" s="700"/>
      <c r="F449" s="700"/>
    </row>
    <row r="450" spans="2:6" x14ac:dyDescent="0.3">
      <c r="B450" s="700"/>
      <c r="E450" s="700"/>
      <c r="F450" s="700"/>
    </row>
    <row r="451" spans="2:6" x14ac:dyDescent="0.3">
      <c r="B451" s="700"/>
      <c r="E451" s="700"/>
      <c r="F451" s="700"/>
    </row>
    <row r="452" spans="2:6" x14ac:dyDescent="0.3">
      <c r="B452" s="700"/>
      <c r="E452" s="700"/>
      <c r="F452" s="700"/>
    </row>
    <row r="453" spans="2:6" x14ac:dyDescent="0.3">
      <c r="B453" s="700"/>
      <c r="E453" s="700"/>
      <c r="F453" s="700"/>
    </row>
    <row r="454" spans="2:6" x14ac:dyDescent="0.3">
      <c r="B454" s="700"/>
      <c r="E454" s="700"/>
      <c r="F454" s="700"/>
    </row>
    <row r="455" spans="2:6" x14ac:dyDescent="0.3">
      <c r="B455" s="700"/>
      <c r="E455" s="700"/>
      <c r="F455" s="700"/>
    </row>
    <row r="456" spans="2:6" x14ac:dyDescent="0.3">
      <c r="B456" s="700"/>
      <c r="E456" s="700"/>
      <c r="F456" s="700"/>
    </row>
    <row r="457" spans="2:6" x14ac:dyDescent="0.3">
      <c r="B457" s="700"/>
      <c r="E457" s="700"/>
      <c r="F457" s="700"/>
    </row>
    <row r="458" spans="2:6" x14ac:dyDescent="0.3">
      <c r="B458" s="700"/>
      <c r="E458" s="700"/>
      <c r="F458" s="700"/>
    </row>
    <row r="459" spans="2:6" x14ac:dyDescent="0.3">
      <c r="B459" s="700"/>
      <c r="E459" s="700"/>
      <c r="F459" s="700"/>
    </row>
    <row r="460" spans="2:6" x14ac:dyDescent="0.3">
      <c r="B460" s="700"/>
      <c r="E460" s="700"/>
      <c r="F460" s="700"/>
    </row>
    <row r="461" spans="2:6" x14ac:dyDescent="0.3">
      <c r="B461" s="700"/>
      <c r="E461" s="700"/>
      <c r="F461" s="700"/>
    </row>
    <row r="462" spans="2:6" x14ac:dyDescent="0.3">
      <c r="B462" s="700"/>
      <c r="E462" s="700"/>
      <c r="F462" s="700"/>
    </row>
    <row r="463" spans="2:6" x14ac:dyDescent="0.3">
      <c r="B463" s="700"/>
      <c r="E463" s="700"/>
      <c r="F463" s="700"/>
    </row>
    <row r="464" spans="2:6" x14ac:dyDescent="0.3">
      <c r="B464" s="700"/>
      <c r="E464" s="700"/>
      <c r="F464" s="700"/>
    </row>
    <row r="465" spans="2:6" x14ac:dyDescent="0.3">
      <c r="B465" s="700"/>
      <c r="E465" s="700"/>
      <c r="F465" s="700"/>
    </row>
    <row r="466" spans="2:6" x14ac:dyDescent="0.3">
      <c r="B466" s="700"/>
      <c r="E466" s="700"/>
      <c r="F466" s="700"/>
    </row>
    <row r="467" spans="2:6" x14ac:dyDescent="0.3">
      <c r="B467" s="700"/>
      <c r="E467" s="700"/>
      <c r="F467" s="700"/>
    </row>
    <row r="468" spans="2:6" x14ac:dyDescent="0.3">
      <c r="B468" s="700"/>
      <c r="E468" s="700"/>
      <c r="F468" s="700"/>
    </row>
    <row r="469" spans="2:6" x14ac:dyDescent="0.3">
      <c r="B469" s="700"/>
      <c r="E469" s="700"/>
      <c r="F469" s="700"/>
    </row>
    <row r="470" spans="2:6" x14ac:dyDescent="0.3">
      <c r="B470" s="700"/>
      <c r="E470" s="700"/>
      <c r="F470" s="700"/>
    </row>
    <row r="471" spans="2:6" x14ac:dyDescent="0.3">
      <c r="B471" s="700"/>
      <c r="E471" s="700"/>
      <c r="F471" s="700"/>
    </row>
    <row r="472" spans="2:6" x14ac:dyDescent="0.3">
      <c r="B472" s="700"/>
      <c r="E472" s="700"/>
      <c r="F472" s="700"/>
    </row>
    <row r="473" spans="2:6" x14ac:dyDescent="0.3">
      <c r="B473" s="700"/>
      <c r="E473" s="700"/>
      <c r="F473" s="700"/>
    </row>
    <row r="474" spans="2:6" x14ac:dyDescent="0.3">
      <c r="B474" s="700"/>
      <c r="E474" s="700"/>
      <c r="F474" s="700"/>
    </row>
    <row r="475" spans="2:6" x14ac:dyDescent="0.3">
      <c r="B475" s="700"/>
      <c r="E475" s="700"/>
      <c r="F475" s="700"/>
    </row>
    <row r="476" spans="2:6" x14ac:dyDescent="0.3">
      <c r="B476" s="700"/>
      <c r="E476" s="700"/>
      <c r="F476" s="700"/>
    </row>
    <row r="477" spans="2:6" x14ac:dyDescent="0.3">
      <c r="B477" s="700"/>
      <c r="E477" s="700"/>
      <c r="F477" s="700"/>
    </row>
    <row r="478" spans="2:6" x14ac:dyDescent="0.3">
      <c r="B478" s="700"/>
      <c r="E478" s="700"/>
      <c r="F478" s="700"/>
    </row>
    <row r="479" spans="2:6" x14ac:dyDescent="0.3">
      <c r="B479" s="700"/>
      <c r="E479" s="700"/>
      <c r="F479" s="700"/>
    </row>
    <row r="480" spans="2:6" x14ac:dyDescent="0.3">
      <c r="B480" s="700"/>
      <c r="E480" s="700"/>
      <c r="F480" s="700"/>
    </row>
    <row r="481" spans="2:6" x14ac:dyDescent="0.3">
      <c r="B481" s="700"/>
      <c r="E481" s="700"/>
      <c r="F481" s="700"/>
    </row>
    <row r="482" spans="2:6" x14ac:dyDescent="0.3">
      <c r="B482" s="700"/>
      <c r="E482" s="700"/>
      <c r="F482" s="700"/>
    </row>
    <row r="483" spans="2:6" x14ac:dyDescent="0.3">
      <c r="B483" s="700"/>
      <c r="E483" s="700"/>
      <c r="F483" s="700"/>
    </row>
    <row r="484" spans="2:6" x14ac:dyDescent="0.3">
      <c r="B484" s="700"/>
      <c r="E484" s="700"/>
      <c r="F484" s="700"/>
    </row>
    <row r="485" spans="2:6" x14ac:dyDescent="0.3">
      <c r="B485" s="700"/>
      <c r="E485" s="700"/>
      <c r="F485" s="700"/>
    </row>
    <row r="486" spans="2:6" x14ac:dyDescent="0.3">
      <c r="B486" s="700"/>
      <c r="E486" s="700"/>
      <c r="F486" s="700"/>
    </row>
    <row r="487" spans="2:6" x14ac:dyDescent="0.3">
      <c r="B487" s="700"/>
      <c r="E487" s="700"/>
      <c r="F487" s="700"/>
    </row>
    <row r="488" spans="2:6" x14ac:dyDescent="0.3">
      <c r="B488" s="700"/>
      <c r="E488" s="700"/>
      <c r="F488" s="700"/>
    </row>
    <row r="489" spans="2:6" x14ac:dyDescent="0.3">
      <c r="B489" s="700"/>
      <c r="E489" s="700"/>
      <c r="F489" s="700"/>
    </row>
    <row r="490" spans="2:6" x14ac:dyDescent="0.3">
      <c r="B490" s="700"/>
      <c r="E490" s="700"/>
      <c r="F490" s="700"/>
    </row>
    <row r="491" spans="2:6" x14ac:dyDescent="0.3">
      <c r="B491" s="700"/>
      <c r="E491" s="700"/>
      <c r="F491" s="700"/>
    </row>
    <row r="492" spans="2:6" x14ac:dyDescent="0.3">
      <c r="B492" s="700"/>
      <c r="E492" s="700"/>
      <c r="F492" s="700"/>
    </row>
    <row r="493" spans="2:6" x14ac:dyDescent="0.3">
      <c r="B493" s="700"/>
      <c r="E493" s="700"/>
      <c r="F493" s="700"/>
    </row>
    <row r="494" spans="2:6" x14ac:dyDescent="0.3">
      <c r="B494" s="700"/>
      <c r="E494" s="700"/>
      <c r="F494" s="700"/>
    </row>
    <row r="495" spans="2:6" x14ac:dyDescent="0.3">
      <c r="B495" s="700"/>
      <c r="E495" s="700"/>
      <c r="F495" s="700"/>
    </row>
    <row r="496" spans="2:6" x14ac:dyDescent="0.3">
      <c r="B496" s="700"/>
      <c r="E496" s="700"/>
      <c r="F496" s="700"/>
    </row>
    <row r="497" spans="2:6" x14ac:dyDescent="0.3">
      <c r="B497" s="700"/>
      <c r="E497" s="700"/>
      <c r="F497" s="700"/>
    </row>
    <row r="498" spans="2:6" x14ac:dyDescent="0.3">
      <c r="B498" s="700"/>
      <c r="E498" s="700"/>
      <c r="F498" s="700"/>
    </row>
    <row r="499" spans="2:6" x14ac:dyDescent="0.3">
      <c r="B499" s="700"/>
      <c r="E499" s="700"/>
      <c r="F499" s="700"/>
    </row>
    <row r="500" spans="2:6" x14ac:dyDescent="0.3">
      <c r="B500" s="700"/>
      <c r="E500" s="700"/>
      <c r="F500" s="700"/>
    </row>
    <row r="501" spans="2:6" x14ac:dyDescent="0.3">
      <c r="B501" s="700"/>
      <c r="E501" s="700"/>
      <c r="F501" s="700"/>
    </row>
    <row r="502" spans="2:6" x14ac:dyDescent="0.3">
      <c r="B502" s="700"/>
      <c r="E502" s="700"/>
      <c r="F502" s="700"/>
    </row>
    <row r="503" spans="2:6" x14ac:dyDescent="0.3">
      <c r="B503" s="700"/>
      <c r="E503" s="700"/>
      <c r="F503" s="700"/>
    </row>
    <row r="504" spans="2:6" x14ac:dyDescent="0.3">
      <c r="B504" s="700"/>
      <c r="E504" s="700"/>
      <c r="F504" s="700"/>
    </row>
    <row r="505" spans="2:6" x14ac:dyDescent="0.3">
      <c r="B505" s="700"/>
      <c r="E505" s="700"/>
      <c r="F505" s="700"/>
    </row>
    <row r="506" spans="2:6" x14ac:dyDescent="0.3">
      <c r="B506" s="700"/>
      <c r="E506" s="700"/>
      <c r="F506" s="700"/>
    </row>
    <row r="507" spans="2:6" x14ac:dyDescent="0.3">
      <c r="B507" s="700"/>
      <c r="E507" s="700"/>
      <c r="F507" s="700"/>
    </row>
    <row r="508" spans="2:6" x14ac:dyDescent="0.3">
      <c r="B508" s="700"/>
      <c r="E508" s="700"/>
      <c r="F508" s="700"/>
    </row>
    <row r="509" spans="2:6" x14ac:dyDescent="0.3">
      <c r="B509" s="700"/>
      <c r="E509" s="700"/>
      <c r="F509" s="700"/>
    </row>
    <row r="510" spans="2:6" x14ac:dyDescent="0.3">
      <c r="B510" s="700"/>
      <c r="E510" s="700"/>
      <c r="F510" s="700"/>
    </row>
    <row r="511" spans="2:6" x14ac:dyDescent="0.3">
      <c r="B511" s="700"/>
      <c r="E511" s="700"/>
      <c r="F511" s="700"/>
    </row>
    <row r="512" spans="2:6" x14ac:dyDescent="0.3">
      <c r="B512" s="700"/>
      <c r="E512" s="700"/>
      <c r="F512" s="700"/>
    </row>
    <row r="513" spans="2:6" x14ac:dyDescent="0.3">
      <c r="B513" s="700"/>
      <c r="E513" s="700"/>
      <c r="F513" s="700"/>
    </row>
    <row r="514" spans="2:6" x14ac:dyDescent="0.3">
      <c r="B514" s="700"/>
      <c r="E514" s="700"/>
      <c r="F514" s="700"/>
    </row>
    <row r="515" spans="2:6" x14ac:dyDescent="0.3">
      <c r="B515" s="700"/>
      <c r="E515" s="700"/>
      <c r="F515" s="700"/>
    </row>
    <row r="516" spans="2:6" x14ac:dyDescent="0.3">
      <c r="B516" s="700"/>
      <c r="E516" s="700"/>
      <c r="F516" s="700"/>
    </row>
    <row r="517" spans="2:6" x14ac:dyDescent="0.3">
      <c r="B517" s="700"/>
      <c r="E517" s="700"/>
      <c r="F517" s="700"/>
    </row>
    <row r="518" spans="2:6" x14ac:dyDescent="0.3">
      <c r="B518" s="700"/>
      <c r="E518" s="700"/>
      <c r="F518" s="700"/>
    </row>
    <row r="519" spans="2:6" x14ac:dyDescent="0.3">
      <c r="B519" s="700"/>
      <c r="E519" s="700"/>
      <c r="F519" s="700"/>
    </row>
    <row r="520" spans="2:6" x14ac:dyDescent="0.3">
      <c r="B520" s="700"/>
      <c r="E520" s="700"/>
      <c r="F520" s="700"/>
    </row>
    <row r="521" spans="2:6" x14ac:dyDescent="0.3">
      <c r="B521" s="700"/>
      <c r="E521" s="700"/>
      <c r="F521" s="700"/>
    </row>
    <row r="522" spans="2:6" x14ac:dyDescent="0.3">
      <c r="B522" s="700"/>
      <c r="E522" s="700"/>
      <c r="F522" s="700"/>
    </row>
    <row r="523" spans="2:6" x14ac:dyDescent="0.3">
      <c r="B523" s="700"/>
      <c r="E523" s="700"/>
      <c r="F523" s="700"/>
    </row>
    <row r="524" spans="2:6" x14ac:dyDescent="0.3">
      <c r="B524" s="700"/>
      <c r="E524" s="700"/>
      <c r="F524" s="700"/>
    </row>
    <row r="525" spans="2:6" x14ac:dyDescent="0.3">
      <c r="B525" s="700"/>
      <c r="E525" s="700"/>
      <c r="F525" s="700"/>
    </row>
    <row r="526" spans="2:6" x14ac:dyDescent="0.3">
      <c r="B526" s="700"/>
      <c r="E526" s="700"/>
      <c r="F526" s="700"/>
    </row>
    <row r="527" spans="2:6" x14ac:dyDescent="0.3">
      <c r="B527" s="700"/>
      <c r="E527" s="700"/>
      <c r="F527" s="700"/>
    </row>
    <row r="528" spans="2:6" x14ac:dyDescent="0.3">
      <c r="B528" s="700"/>
      <c r="E528" s="700"/>
      <c r="F528" s="700"/>
    </row>
    <row r="529" spans="2:6" x14ac:dyDescent="0.3">
      <c r="B529" s="700"/>
      <c r="E529" s="700"/>
      <c r="F529" s="700"/>
    </row>
    <row r="530" spans="2:6" x14ac:dyDescent="0.3">
      <c r="B530" s="700"/>
      <c r="E530" s="700"/>
      <c r="F530" s="700"/>
    </row>
    <row r="531" spans="2:6" x14ac:dyDescent="0.3">
      <c r="B531" s="700"/>
      <c r="E531" s="700"/>
      <c r="F531" s="700"/>
    </row>
    <row r="532" spans="2:6" x14ac:dyDescent="0.3">
      <c r="B532" s="700"/>
      <c r="E532" s="700"/>
      <c r="F532" s="700"/>
    </row>
    <row r="533" spans="2:6" x14ac:dyDescent="0.3">
      <c r="B533" s="700"/>
      <c r="E533" s="700"/>
      <c r="F533" s="700"/>
    </row>
    <row r="534" spans="2:6" x14ac:dyDescent="0.3">
      <c r="B534" s="700"/>
      <c r="E534" s="700"/>
      <c r="F534" s="700"/>
    </row>
    <row r="535" spans="2:6" x14ac:dyDescent="0.3">
      <c r="B535" s="700"/>
      <c r="E535" s="700"/>
      <c r="F535" s="700"/>
    </row>
    <row r="536" spans="2:6" x14ac:dyDescent="0.3">
      <c r="B536" s="700"/>
      <c r="E536" s="700"/>
      <c r="F536" s="700"/>
    </row>
    <row r="537" spans="2:6" x14ac:dyDescent="0.3">
      <c r="B537" s="700"/>
      <c r="E537" s="700"/>
      <c r="F537" s="700"/>
    </row>
    <row r="538" spans="2:6" x14ac:dyDescent="0.3">
      <c r="B538" s="700"/>
      <c r="E538" s="700"/>
      <c r="F538" s="700"/>
    </row>
    <row r="539" spans="2:6" x14ac:dyDescent="0.3">
      <c r="B539" s="700"/>
      <c r="E539" s="700"/>
      <c r="F539" s="700"/>
    </row>
    <row r="540" spans="2:6" x14ac:dyDescent="0.3">
      <c r="B540" s="700"/>
      <c r="E540" s="700"/>
      <c r="F540" s="700"/>
    </row>
    <row r="541" spans="2:6" x14ac:dyDescent="0.3">
      <c r="B541" s="700"/>
      <c r="E541" s="700"/>
      <c r="F541" s="700"/>
    </row>
    <row r="542" spans="2:6" x14ac:dyDescent="0.3">
      <c r="B542" s="700"/>
      <c r="E542" s="700"/>
      <c r="F542" s="700"/>
    </row>
    <row r="543" spans="2:6" x14ac:dyDescent="0.3">
      <c r="B543" s="700"/>
      <c r="E543" s="700"/>
      <c r="F543" s="700"/>
    </row>
    <row r="544" spans="2:6" x14ac:dyDescent="0.3">
      <c r="B544" s="700"/>
      <c r="E544" s="700"/>
      <c r="F544" s="700"/>
    </row>
    <row r="545" spans="2:6" x14ac:dyDescent="0.3">
      <c r="B545" s="700"/>
      <c r="E545" s="700"/>
      <c r="F545" s="700"/>
    </row>
    <row r="546" spans="2:6" x14ac:dyDescent="0.3">
      <c r="B546" s="700"/>
      <c r="E546" s="700"/>
      <c r="F546" s="700"/>
    </row>
    <row r="547" spans="2:6" x14ac:dyDescent="0.3">
      <c r="B547" s="700"/>
      <c r="E547" s="700"/>
      <c r="F547" s="700"/>
    </row>
    <row r="548" spans="2:6" x14ac:dyDescent="0.3">
      <c r="B548" s="700"/>
      <c r="E548" s="700"/>
      <c r="F548" s="700"/>
    </row>
    <row r="549" spans="2:6" x14ac:dyDescent="0.3">
      <c r="B549" s="700"/>
      <c r="E549" s="700"/>
      <c r="F549" s="700"/>
    </row>
    <row r="550" spans="2:6" x14ac:dyDescent="0.3">
      <c r="B550" s="700"/>
      <c r="E550" s="700"/>
      <c r="F550" s="700"/>
    </row>
    <row r="551" spans="2:6" x14ac:dyDescent="0.3">
      <c r="B551" s="700"/>
      <c r="E551" s="700"/>
      <c r="F551" s="700"/>
    </row>
    <row r="552" spans="2:6" x14ac:dyDescent="0.3">
      <c r="B552" s="700"/>
      <c r="E552" s="700"/>
      <c r="F552" s="700"/>
    </row>
    <row r="553" spans="2:6" x14ac:dyDescent="0.3">
      <c r="B553" s="700"/>
      <c r="E553" s="700"/>
      <c r="F553" s="700"/>
    </row>
    <row r="554" spans="2:6" x14ac:dyDescent="0.3">
      <c r="B554" s="700"/>
      <c r="E554" s="700"/>
      <c r="F554" s="700"/>
    </row>
    <row r="555" spans="2:6" x14ac:dyDescent="0.3">
      <c r="B555" s="700"/>
      <c r="E555" s="700"/>
      <c r="F555" s="700"/>
    </row>
    <row r="556" spans="2:6" x14ac:dyDescent="0.3">
      <c r="B556" s="700"/>
      <c r="E556" s="700"/>
      <c r="F556" s="700"/>
    </row>
    <row r="557" spans="2:6" x14ac:dyDescent="0.3">
      <c r="B557" s="700"/>
      <c r="E557" s="700"/>
      <c r="F557" s="700"/>
    </row>
    <row r="558" spans="2:6" x14ac:dyDescent="0.3">
      <c r="B558" s="700"/>
      <c r="E558" s="700"/>
      <c r="F558" s="700"/>
    </row>
    <row r="559" spans="2:6" x14ac:dyDescent="0.3">
      <c r="B559" s="700"/>
      <c r="E559" s="700"/>
      <c r="F559" s="700"/>
    </row>
    <row r="560" spans="2:6" x14ac:dyDescent="0.3">
      <c r="B560" s="700"/>
      <c r="E560" s="700"/>
      <c r="F560" s="700"/>
    </row>
    <row r="561" spans="2:6" x14ac:dyDescent="0.3">
      <c r="B561" s="700"/>
      <c r="E561" s="700"/>
      <c r="F561" s="700"/>
    </row>
    <row r="562" spans="2:6" x14ac:dyDescent="0.3">
      <c r="B562" s="700"/>
      <c r="E562" s="700"/>
      <c r="F562" s="700"/>
    </row>
    <row r="563" spans="2:6" x14ac:dyDescent="0.3">
      <c r="B563" s="700"/>
      <c r="E563" s="700"/>
      <c r="F563" s="700"/>
    </row>
    <row r="564" spans="2:6" x14ac:dyDescent="0.3">
      <c r="B564" s="700"/>
      <c r="E564" s="700"/>
      <c r="F564" s="700"/>
    </row>
    <row r="565" spans="2:6" x14ac:dyDescent="0.3">
      <c r="B565" s="700"/>
      <c r="E565" s="700"/>
      <c r="F565" s="700"/>
    </row>
    <row r="566" spans="2:6" x14ac:dyDescent="0.3">
      <c r="B566" s="700"/>
      <c r="E566" s="700"/>
      <c r="F566" s="700"/>
    </row>
    <row r="567" spans="2:6" x14ac:dyDescent="0.3">
      <c r="B567" s="700"/>
      <c r="E567" s="700"/>
      <c r="F567" s="700"/>
    </row>
    <row r="568" spans="2:6" x14ac:dyDescent="0.3">
      <c r="B568" s="700"/>
      <c r="E568" s="700"/>
      <c r="F568" s="700"/>
    </row>
    <row r="569" spans="2:6" x14ac:dyDescent="0.3">
      <c r="B569" s="700"/>
      <c r="E569" s="700"/>
      <c r="F569" s="700"/>
    </row>
    <row r="570" spans="2:6" x14ac:dyDescent="0.3">
      <c r="B570" s="700"/>
      <c r="E570" s="700"/>
      <c r="F570" s="700"/>
    </row>
    <row r="571" spans="2:6" x14ac:dyDescent="0.3">
      <c r="B571" s="700"/>
      <c r="E571" s="700"/>
      <c r="F571" s="700"/>
    </row>
    <row r="572" spans="2:6" x14ac:dyDescent="0.3">
      <c r="B572" s="700"/>
      <c r="E572" s="700"/>
      <c r="F572" s="700"/>
    </row>
    <row r="573" spans="2:6" x14ac:dyDescent="0.3">
      <c r="B573" s="700"/>
      <c r="E573" s="700"/>
      <c r="F573" s="700"/>
    </row>
    <row r="574" spans="2:6" x14ac:dyDescent="0.3">
      <c r="B574" s="700"/>
      <c r="E574" s="700"/>
      <c r="F574" s="700"/>
    </row>
    <row r="575" spans="2:6" x14ac:dyDescent="0.3">
      <c r="B575" s="700"/>
      <c r="E575" s="700"/>
      <c r="F575" s="700"/>
    </row>
    <row r="576" spans="2:6" x14ac:dyDescent="0.3">
      <c r="B576" s="700"/>
      <c r="E576" s="700"/>
      <c r="F576" s="700"/>
    </row>
    <row r="577" spans="2:6" x14ac:dyDescent="0.3">
      <c r="B577" s="700"/>
      <c r="E577" s="700"/>
      <c r="F577" s="700"/>
    </row>
    <row r="578" spans="2:6" x14ac:dyDescent="0.3">
      <c r="B578" s="700"/>
      <c r="E578" s="700"/>
      <c r="F578" s="700"/>
    </row>
    <row r="579" spans="2:6" x14ac:dyDescent="0.3">
      <c r="B579" s="700"/>
      <c r="E579" s="700"/>
      <c r="F579" s="700"/>
    </row>
    <row r="580" spans="2:6" x14ac:dyDescent="0.3">
      <c r="B580" s="700"/>
      <c r="E580" s="700"/>
      <c r="F580" s="700"/>
    </row>
    <row r="581" spans="2:6" x14ac:dyDescent="0.3">
      <c r="B581" s="700"/>
      <c r="E581" s="700"/>
      <c r="F581" s="700"/>
    </row>
    <row r="582" spans="2:6" x14ac:dyDescent="0.3">
      <c r="B582" s="700"/>
      <c r="E582" s="700"/>
      <c r="F582" s="700"/>
    </row>
    <row r="583" spans="2:6" x14ac:dyDescent="0.3">
      <c r="B583" s="700"/>
      <c r="E583" s="700"/>
      <c r="F583" s="700"/>
    </row>
    <row r="584" spans="2:6" x14ac:dyDescent="0.3">
      <c r="B584" s="700"/>
      <c r="E584" s="700"/>
      <c r="F584" s="700"/>
    </row>
    <row r="585" spans="2:6" x14ac:dyDescent="0.3">
      <c r="B585" s="700"/>
      <c r="E585" s="700"/>
      <c r="F585" s="700"/>
    </row>
    <row r="586" spans="2:6" x14ac:dyDescent="0.3">
      <c r="B586" s="700"/>
      <c r="E586" s="700"/>
      <c r="F586" s="700"/>
    </row>
    <row r="587" spans="2:6" x14ac:dyDescent="0.3">
      <c r="B587" s="700"/>
      <c r="E587" s="700"/>
      <c r="F587" s="700"/>
    </row>
    <row r="588" spans="2:6" x14ac:dyDescent="0.3">
      <c r="B588" s="700"/>
      <c r="E588" s="700"/>
      <c r="F588" s="700"/>
    </row>
    <row r="589" spans="2:6" x14ac:dyDescent="0.3">
      <c r="B589" s="700"/>
      <c r="E589" s="700"/>
      <c r="F589" s="700"/>
    </row>
    <row r="590" spans="2:6" x14ac:dyDescent="0.3">
      <c r="B590" s="700"/>
      <c r="E590" s="700"/>
      <c r="F590" s="700"/>
    </row>
    <row r="591" spans="2:6" x14ac:dyDescent="0.3">
      <c r="B591" s="700"/>
      <c r="E591" s="700"/>
      <c r="F591" s="700"/>
    </row>
    <row r="592" spans="2:6" x14ac:dyDescent="0.3">
      <c r="B592" s="700"/>
      <c r="E592" s="700"/>
      <c r="F592" s="700"/>
    </row>
    <row r="593" spans="2:6" x14ac:dyDescent="0.3">
      <c r="B593" s="700"/>
      <c r="E593" s="700"/>
      <c r="F593" s="700"/>
    </row>
    <row r="594" spans="2:6" x14ac:dyDescent="0.3">
      <c r="B594" s="700"/>
      <c r="E594" s="700"/>
      <c r="F594" s="700"/>
    </row>
    <row r="595" spans="2:6" x14ac:dyDescent="0.3">
      <c r="B595" s="700"/>
      <c r="E595" s="700"/>
      <c r="F595" s="700"/>
    </row>
    <row r="596" spans="2:6" x14ac:dyDescent="0.3">
      <c r="B596" s="700"/>
      <c r="E596" s="700"/>
      <c r="F596" s="700"/>
    </row>
    <row r="597" spans="2:6" x14ac:dyDescent="0.3">
      <c r="B597" s="700"/>
      <c r="E597" s="700"/>
      <c r="F597" s="700"/>
    </row>
    <row r="598" spans="2:6" x14ac:dyDescent="0.3">
      <c r="B598" s="700"/>
      <c r="E598" s="700"/>
      <c r="F598" s="700"/>
    </row>
    <row r="599" spans="2:6" x14ac:dyDescent="0.3">
      <c r="B599" s="700"/>
      <c r="E599" s="700"/>
      <c r="F599" s="700"/>
    </row>
    <row r="600" spans="2:6" x14ac:dyDescent="0.3">
      <c r="B600" s="700"/>
      <c r="E600" s="700"/>
      <c r="F600" s="700"/>
    </row>
    <row r="601" spans="2:6" x14ac:dyDescent="0.3">
      <c r="B601" s="700"/>
      <c r="E601" s="700"/>
      <c r="F601" s="700"/>
    </row>
    <row r="602" spans="2:6" x14ac:dyDescent="0.3">
      <c r="B602" s="700"/>
      <c r="E602" s="700"/>
      <c r="F602" s="700"/>
    </row>
    <row r="603" spans="2:6" x14ac:dyDescent="0.3">
      <c r="B603" s="700"/>
      <c r="E603" s="700"/>
      <c r="F603" s="700"/>
    </row>
    <row r="604" spans="2:6" x14ac:dyDescent="0.3">
      <c r="B604" s="700"/>
      <c r="E604" s="700"/>
      <c r="F604" s="700"/>
    </row>
    <row r="605" spans="2:6" x14ac:dyDescent="0.3">
      <c r="B605" s="700"/>
      <c r="E605" s="700"/>
      <c r="F605" s="700"/>
    </row>
    <row r="606" spans="2:6" x14ac:dyDescent="0.3">
      <c r="B606" s="700"/>
      <c r="E606" s="700"/>
      <c r="F606" s="700"/>
    </row>
    <row r="607" spans="2:6" x14ac:dyDescent="0.3">
      <c r="B607" s="700"/>
      <c r="E607" s="700"/>
      <c r="F607" s="700"/>
    </row>
    <row r="608" spans="2:6" x14ac:dyDescent="0.3">
      <c r="B608" s="700"/>
      <c r="E608" s="700"/>
      <c r="F608" s="700"/>
    </row>
    <row r="609" spans="2:6" x14ac:dyDescent="0.3">
      <c r="B609" s="700"/>
      <c r="E609" s="700"/>
      <c r="F609" s="700"/>
    </row>
    <row r="610" spans="2:6" x14ac:dyDescent="0.3">
      <c r="B610" s="700"/>
      <c r="E610" s="700"/>
      <c r="F610" s="700"/>
    </row>
    <row r="611" spans="2:6" x14ac:dyDescent="0.3">
      <c r="B611" s="700"/>
      <c r="E611" s="700"/>
      <c r="F611" s="700"/>
    </row>
    <row r="612" spans="2:6" x14ac:dyDescent="0.3">
      <c r="B612" s="700"/>
      <c r="E612" s="700"/>
      <c r="F612" s="700"/>
    </row>
    <row r="613" spans="2:6" x14ac:dyDescent="0.3">
      <c r="B613" s="700"/>
      <c r="E613" s="700"/>
      <c r="F613" s="700"/>
    </row>
    <row r="614" spans="2:6" x14ac:dyDescent="0.3">
      <c r="B614" s="700"/>
      <c r="E614" s="700"/>
      <c r="F614" s="700"/>
    </row>
    <row r="615" spans="2:6" x14ac:dyDescent="0.3">
      <c r="B615" s="700"/>
      <c r="E615" s="700"/>
      <c r="F615" s="700"/>
    </row>
    <row r="616" spans="2:6" x14ac:dyDescent="0.3">
      <c r="B616" s="700"/>
      <c r="E616" s="700"/>
      <c r="F616" s="700"/>
    </row>
    <row r="617" spans="2:6" x14ac:dyDescent="0.3">
      <c r="B617" s="700"/>
      <c r="E617" s="700"/>
      <c r="F617" s="700"/>
    </row>
    <row r="618" spans="2:6" x14ac:dyDescent="0.3">
      <c r="B618" s="700"/>
      <c r="E618" s="700"/>
      <c r="F618" s="700"/>
    </row>
    <row r="619" spans="2:6" x14ac:dyDescent="0.3">
      <c r="B619" s="700"/>
      <c r="E619" s="700"/>
      <c r="F619" s="700"/>
    </row>
    <row r="620" spans="2:6" x14ac:dyDescent="0.3">
      <c r="B620" s="700"/>
      <c r="E620" s="700"/>
      <c r="F620" s="700"/>
    </row>
    <row r="621" spans="2:6" x14ac:dyDescent="0.3">
      <c r="B621" s="700"/>
      <c r="E621" s="700"/>
      <c r="F621" s="700"/>
    </row>
    <row r="622" spans="2:6" x14ac:dyDescent="0.3">
      <c r="B622" s="700"/>
      <c r="E622" s="700"/>
      <c r="F622" s="700"/>
    </row>
    <row r="623" spans="2:6" x14ac:dyDescent="0.3">
      <c r="B623" s="700"/>
      <c r="E623" s="700"/>
      <c r="F623" s="700"/>
    </row>
    <row r="624" spans="2:6" x14ac:dyDescent="0.3">
      <c r="B624" s="700"/>
      <c r="E624" s="700"/>
      <c r="F624" s="700"/>
    </row>
    <row r="625" spans="2:6" x14ac:dyDescent="0.3">
      <c r="B625" s="700"/>
      <c r="E625" s="700"/>
      <c r="F625" s="700"/>
    </row>
    <row r="626" spans="2:6" x14ac:dyDescent="0.3">
      <c r="B626" s="700"/>
      <c r="E626" s="700"/>
      <c r="F626" s="700"/>
    </row>
    <row r="627" spans="2:6" x14ac:dyDescent="0.3">
      <c r="B627" s="700"/>
      <c r="E627" s="700"/>
      <c r="F627" s="700"/>
    </row>
    <row r="628" spans="2:6" x14ac:dyDescent="0.3">
      <c r="B628" s="700"/>
      <c r="E628" s="700"/>
      <c r="F628" s="700"/>
    </row>
    <row r="629" spans="2:6" x14ac:dyDescent="0.3">
      <c r="B629" s="700"/>
      <c r="E629" s="700"/>
      <c r="F629" s="700"/>
    </row>
    <row r="630" spans="2:6" x14ac:dyDescent="0.3">
      <c r="B630" s="700"/>
      <c r="E630" s="700"/>
      <c r="F630" s="700"/>
    </row>
    <row r="631" spans="2:6" x14ac:dyDescent="0.3">
      <c r="B631" s="700"/>
      <c r="E631" s="700"/>
      <c r="F631" s="700"/>
    </row>
    <row r="632" spans="2:6" x14ac:dyDescent="0.3">
      <c r="B632" s="700"/>
      <c r="E632" s="700"/>
      <c r="F632" s="700"/>
    </row>
    <row r="633" spans="2:6" x14ac:dyDescent="0.3">
      <c r="B633" s="700"/>
      <c r="E633" s="700"/>
      <c r="F633" s="700"/>
    </row>
    <row r="634" spans="2:6" x14ac:dyDescent="0.3">
      <c r="B634" s="700"/>
      <c r="E634" s="700"/>
      <c r="F634" s="700"/>
    </row>
    <row r="635" spans="2:6" x14ac:dyDescent="0.3">
      <c r="B635" s="700"/>
      <c r="E635" s="700"/>
      <c r="F635" s="700"/>
    </row>
    <row r="636" spans="2:6" x14ac:dyDescent="0.3">
      <c r="B636" s="700"/>
      <c r="E636" s="700"/>
      <c r="F636" s="700"/>
    </row>
    <row r="637" spans="2:6" x14ac:dyDescent="0.3">
      <c r="B637" s="700"/>
      <c r="E637" s="700"/>
      <c r="F637" s="700"/>
    </row>
    <row r="638" spans="2:6" x14ac:dyDescent="0.3">
      <c r="B638" s="700"/>
      <c r="E638" s="700"/>
      <c r="F638" s="700"/>
    </row>
    <row r="639" spans="2:6" x14ac:dyDescent="0.3">
      <c r="B639" s="700"/>
      <c r="E639" s="700"/>
      <c r="F639" s="700"/>
    </row>
    <row r="640" spans="2:6" x14ac:dyDescent="0.3">
      <c r="B640" s="700"/>
      <c r="E640" s="700"/>
      <c r="F640" s="700"/>
    </row>
    <row r="641" spans="2:6" x14ac:dyDescent="0.3">
      <c r="B641" s="700"/>
      <c r="E641" s="700"/>
      <c r="F641" s="700"/>
    </row>
    <row r="642" spans="2:6" x14ac:dyDescent="0.3">
      <c r="B642" s="700"/>
      <c r="E642" s="700"/>
      <c r="F642" s="700"/>
    </row>
    <row r="643" spans="2:6" x14ac:dyDescent="0.3">
      <c r="B643" s="700"/>
      <c r="E643" s="700"/>
      <c r="F643" s="700"/>
    </row>
    <row r="644" spans="2:6" x14ac:dyDescent="0.3">
      <c r="B644" s="700"/>
      <c r="E644" s="700"/>
      <c r="F644" s="700"/>
    </row>
    <row r="645" spans="2:6" x14ac:dyDescent="0.3">
      <c r="B645" s="700"/>
      <c r="E645" s="700"/>
      <c r="F645" s="700"/>
    </row>
    <row r="646" spans="2:6" x14ac:dyDescent="0.3">
      <c r="B646" s="700"/>
      <c r="E646" s="700"/>
      <c r="F646" s="700"/>
    </row>
    <row r="647" spans="2:6" x14ac:dyDescent="0.3">
      <c r="B647" s="700"/>
      <c r="E647" s="700"/>
      <c r="F647" s="700"/>
    </row>
    <row r="648" spans="2:6" x14ac:dyDescent="0.3">
      <c r="B648" s="700"/>
      <c r="E648" s="700"/>
      <c r="F648" s="700"/>
    </row>
    <row r="649" spans="2:6" x14ac:dyDescent="0.3">
      <c r="B649" s="700"/>
      <c r="E649" s="700"/>
      <c r="F649" s="700"/>
    </row>
    <row r="650" spans="2:6" x14ac:dyDescent="0.3">
      <c r="B650" s="700"/>
      <c r="E650" s="700"/>
      <c r="F650" s="700"/>
    </row>
    <row r="651" spans="2:6" x14ac:dyDescent="0.3">
      <c r="B651" s="700"/>
      <c r="E651" s="700"/>
      <c r="F651" s="700"/>
    </row>
    <row r="652" spans="2:6" x14ac:dyDescent="0.3">
      <c r="B652" s="700"/>
      <c r="E652" s="700"/>
      <c r="F652" s="700"/>
    </row>
    <row r="653" spans="2:6" x14ac:dyDescent="0.3">
      <c r="B653" s="700"/>
      <c r="E653" s="700"/>
      <c r="F653" s="700"/>
    </row>
    <row r="654" spans="2:6" x14ac:dyDescent="0.3">
      <c r="B654" s="700"/>
      <c r="E654" s="700"/>
      <c r="F654" s="700"/>
    </row>
    <row r="655" spans="2:6" x14ac:dyDescent="0.3">
      <c r="B655" s="700"/>
      <c r="E655" s="700"/>
      <c r="F655" s="700"/>
    </row>
    <row r="656" spans="2:6" x14ac:dyDescent="0.3">
      <c r="B656" s="700"/>
      <c r="E656" s="700"/>
      <c r="F656" s="700"/>
    </row>
    <row r="657" spans="2:6" x14ac:dyDescent="0.3">
      <c r="B657" s="700"/>
      <c r="E657" s="700"/>
      <c r="F657" s="700"/>
    </row>
    <row r="658" spans="2:6" x14ac:dyDescent="0.3">
      <c r="B658" s="700"/>
      <c r="E658" s="700"/>
      <c r="F658" s="700"/>
    </row>
    <row r="659" spans="2:6" x14ac:dyDescent="0.3">
      <c r="B659" s="700"/>
      <c r="E659" s="700"/>
      <c r="F659" s="700"/>
    </row>
    <row r="660" spans="2:6" x14ac:dyDescent="0.3">
      <c r="B660" s="700"/>
      <c r="E660" s="700"/>
      <c r="F660" s="700"/>
    </row>
    <row r="661" spans="2:6" x14ac:dyDescent="0.3">
      <c r="B661" s="700"/>
      <c r="E661" s="700"/>
      <c r="F661" s="700"/>
    </row>
    <row r="662" spans="2:6" x14ac:dyDescent="0.3">
      <c r="B662" s="700"/>
      <c r="E662" s="700"/>
      <c r="F662" s="700"/>
    </row>
    <row r="663" spans="2:6" x14ac:dyDescent="0.3">
      <c r="B663" s="700"/>
      <c r="E663" s="700"/>
      <c r="F663" s="700"/>
    </row>
    <row r="664" spans="2:6" x14ac:dyDescent="0.3">
      <c r="B664" s="700"/>
      <c r="E664" s="700"/>
      <c r="F664" s="700"/>
    </row>
    <row r="665" spans="2:6" x14ac:dyDescent="0.3">
      <c r="B665" s="700"/>
      <c r="E665" s="700"/>
      <c r="F665" s="700"/>
    </row>
    <row r="666" spans="2:6" x14ac:dyDescent="0.3">
      <c r="B666" s="700"/>
      <c r="E666" s="700"/>
      <c r="F666" s="700"/>
    </row>
    <row r="667" spans="2:6" x14ac:dyDescent="0.3">
      <c r="B667" s="700"/>
      <c r="E667" s="700"/>
      <c r="F667" s="700"/>
    </row>
    <row r="668" spans="2:6" x14ac:dyDescent="0.3">
      <c r="B668" s="700"/>
      <c r="E668" s="700"/>
      <c r="F668" s="700"/>
    </row>
    <row r="669" spans="2:6" x14ac:dyDescent="0.3">
      <c r="B669" s="700"/>
      <c r="E669" s="700"/>
      <c r="F669" s="700"/>
    </row>
    <row r="670" spans="2:6" x14ac:dyDescent="0.3">
      <c r="B670" s="700"/>
      <c r="E670" s="700"/>
      <c r="F670" s="700"/>
    </row>
    <row r="671" spans="2:6" x14ac:dyDescent="0.3">
      <c r="B671" s="700"/>
      <c r="E671" s="700"/>
      <c r="F671" s="700"/>
    </row>
    <row r="672" spans="2:6" x14ac:dyDescent="0.3">
      <c r="B672" s="700"/>
      <c r="E672" s="700"/>
      <c r="F672" s="700"/>
    </row>
    <row r="673" spans="2:6" x14ac:dyDescent="0.3">
      <c r="B673" s="700"/>
      <c r="E673" s="700"/>
      <c r="F673" s="700"/>
    </row>
    <row r="674" spans="2:6" x14ac:dyDescent="0.3">
      <c r="B674" s="700"/>
      <c r="E674" s="700"/>
      <c r="F674" s="700"/>
    </row>
    <row r="675" spans="2:6" x14ac:dyDescent="0.3">
      <c r="B675" s="700"/>
      <c r="E675" s="700"/>
      <c r="F675" s="700"/>
    </row>
    <row r="676" spans="2:6" x14ac:dyDescent="0.3">
      <c r="B676" s="700"/>
      <c r="E676" s="700"/>
      <c r="F676" s="700"/>
    </row>
    <row r="677" spans="2:6" x14ac:dyDescent="0.3">
      <c r="B677" s="700"/>
      <c r="E677" s="700"/>
      <c r="F677" s="700"/>
    </row>
    <row r="678" spans="2:6" x14ac:dyDescent="0.3">
      <c r="B678" s="700"/>
      <c r="E678" s="700"/>
      <c r="F678" s="700"/>
    </row>
    <row r="679" spans="2:6" x14ac:dyDescent="0.3">
      <c r="B679" s="700"/>
      <c r="E679" s="700"/>
      <c r="F679" s="700"/>
    </row>
    <row r="680" spans="2:6" x14ac:dyDescent="0.3">
      <c r="B680" s="700"/>
      <c r="E680" s="700"/>
      <c r="F680" s="700"/>
    </row>
    <row r="681" spans="2:6" x14ac:dyDescent="0.3">
      <c r="B681" s="700"/>
      <c r="E681" s="700"/>
      <c r="F681" s="700"/>
    </row>
    <row r="682" spans="2:6" x14ac:dyDescent="0.3">
      <c r="B682" s="700"/>
      <c r="E682" s="700"/>
      <c r="F682" s="700"/>
    </row>
    <row r="683" spans="2:6" x14ac:dyDescent="0.3">
      <c r="B683" s="700"/>
      <c r="E683" s="700"/>
      <c r="F683" s="700"/>
    </row>
    <row r="684" spans="2:6" x14ac:dyDescent="0.3">
      <c r="B684" s="700"/>
      <c r="E684" s="700"/>
      <c r="F684" s="700"/>
    </row>
    <row r="685" spans="2:6" x14ac:dyDescent="0.3">
      <c r="B685" s="700"/>
      <c r="E685" s="700"/>
      <c r="F685" s="700"/>
    </row>
    <row r="686" spans="2:6" x14ac:dyDescent="0.3">
      <c r="B686" s="700"/>
      <c r="E686" s="700"/>
      <c r="F686" s="700"/>
    </row>
    <row r="687" spans="2:6" x14ac:dyDescent="0.3">
      <c r="B687" s="700"/>
      <c r="E687" s="700"/>
      <c r="F687" s="700"/>
    </row>
    <row r="688" spans="2:6" x14ac:dyDescent="0.3">
      <c r="B688" s="700"/>
      <c r="E688" s="700"/>
      <c r="F688" s="700"/>
    </row>
    <row r="689" spans="2:6" x14ac:dyDescent="0.3">
      <c r="B689" s="700"/>
      <c r="E689" s="700"/>
      <c r="F689" s="700"/>
    </row>
    <row r="690" spans="2:6" x14ac:dyDescent="0.3">
      <c r="B690" s="700"/>
      <c r="E690" s="700"/>
      <c r="F690" s="700"/>
    </row>
    <row r="691" spans="2:6" x14ac:dyDescent="0.3">
      <c r="B691" s="700"/>
      <c r="E691" s="700"/>
      <c r="F691" s="700"/>
    </row>
    <row r="692" spans="2:6" x14ac:dyDescent="0.3">
      <c r="B692" s="700"/>
      <c r="E692" s="700"/>
      <c r="F692" s="700"/>
    </row>
    <row r="693" spans="2:6" x14ac:dyDescent="0.3">
      <c r="B693" s="700"/>
      <c r="E693" s="700"/>
      <c r="F693" s="700"/>
    </row>
    <row r="694" spans="2:6" x14ac:dyDescent="0.3">
      <c r="B694" s="700"/>
      <c r="E694" s="700"/>
      <c r="F694" s="700"/>
    </row>
    <row r="695" spans="2:6" x14ac:dyDescent="0.3">
      <c r="B695" s="700"/>
      <c r="E695" s="700"/>
      <c r="F695" s="700"/>
    </row>
    <row r="696" spans="2:6" x14ac:dyDescent="0.3">
      <c r="B696" s="700"/>
      <c r="E696" s="700"/>
      <c r="F696" s="700"/>
    </row>
    <row r="697" spans="2:6" x14ac:dyDescent="0.3">
      <c r="B697" s="700"/>
      <c r="E697" s="700"/>
      <c r="F697" s="700"/>
    </row>
    <row r="698" spans="2:6" x14ac:dyDescent="0.3">
      <c r="B698" s="700"/>
      <c r="E698" s="700"/>
      <c r="F698" s="700"/>
    </row>
    <row r="699" spans="2:6" x14ac:dyDescent="0.3">
      <c r="B699" s="700"/>
      <c r="E699" s="700"/>
      <c r="F699" s="700"/>
    </row>
    <row r="700" spans="2:6" x14ac:dyDescent="0.3">
      <c r="B700" s="700"/>
      <c r="E700" s="700"/>
      <c r="F700" s="700"/>
    </row>
    <row r="701" spans="2:6" x14ac:dyDescent="0.3">
      <c r="B701" s="700"/>
      <c r="E701" s="700"/>
      <c r="F701" s="700"/>
    </row>
    <row r="702" spans="2:6" x14ac:dyDescent="0.3">
      <c r="B702" s="700"/>
      <c r="E702" s="700"/>
      <c r="F702" s="700"/>
    </row>
    <row r="703" spans="2:6" x14ac:dyDescent="0.3">
      <c r="B703" s="700"/>
      <c r="E703" s="700"/>
      <c r="F703" s="700"/>
    </row>
    <row r="704" spans="2:6" x14ac:dyDescent="0.3">
      <c r="B704" s="700"/>
      <c r="E704" s="700"/>
      <c r="F704" s="700"/>
    </row>
    <row r="705" spans="2:6" x14ac:dyDescent="0.3">
      <c r="B705" s="700"/>
      <c r="E705" s="700"/>
      <c r="F705" s="700"/>
    </row>
    <row r="706" spans="2:6" x14ac:dyDescent="0.3">
      <c r="B706" s="700"/>
      <c r="E706" s="700"/>
      <c r="F706" s="700"/>
    </row>
    <row r="707" spans="2:6" x14ac:dyDescent="0.3">
      <c r="B707" s="700"/>
      <c r="E707" s="700"/>
      <c r="F707" s="700"/>
    </row>
    <row r="708" spans="2:6" x14ac:dyDescent="0.3">
      <c r="B708" s="700"/>
      <c r="E708" s="700"/>
      <c r="F708" s="700"/>
    </row>
    <row r="709" spans="2:6" x14ac:dyDescent="0.3">
      <c r="B709" s="700"/>
      <c r="E709" s="700"/>
      <c r="F709" s="700"/>
    </row>
    <row r="710" spans="2:6" x14ac:dyDescent="0.3">
      <c r="B710" s="700"/>
      <c r="E710" s="700"/>
      <c r="F710" s="700"/>
    </row>
    <row r="711" spans="2:6" x14ac:dyDescent="0.3">
      <c r="B711" s="700"/>
      <c r="E711" s="700"/>
      <c r="F711" s="700"/>
    </row>
    <row r="712" spans="2:6" x14ac:dyDescent="0.3">
      <c r="B712" s="700"/>
      <c r="E712" s="700"/>
      <c r="F712" s="700"/>
    </row>
    <row r="713" spans="2:6" x14ac:dyDescent="0.3">
      <c r="B713" s="700"/>
      <c r="E713" s="700"/>
      <c r="F713" s="700"/>
    </row>
    <row r="714" spans="2:6" x14ac:dyDescent="0.3">
      <c r="B714" s="700"/>
      <c r="E714" s="700"/>
      <c r="F714" s="700"/>
    </row>
    <row r="715" spans="2:6" x14ac:dyDescent="0.3">
      <c r="B715" s="700"/>
      <c r="E715" s="700"/>
      <c r="F715" s="700"/>
    </row>
    <row r="716" spans="2:6" x14ac:dyDescent="0.3">
      <c r="B716" s="700"/>
      <c r="E716" s="700"/>
      <c r="F716" s="700"/>
    </row>
    <row r="717" spans="2:6" x14ac:dyDescent="0.3">
      <c r="B717" s="700"/>
      <c r="E717" s="700"/>
      <c r="F717" s="700"/>
    </row>
    <row r="718" spans="2:6" x14ac:dyDescent="0.3">
      <c r="B718" s="700"/>
      <c r="E718" s="700"/>
      <c r="F718" s="700"/>
    </row>
    <row r="719" spans="2:6" x14ac:dyDescent="0.3">
      <c r="B719" s="700"/>
      <c r="E719" s="700"/>
      <c r="F719" s="700"/>
    </row>
    <row r="720" spans="2:6" x14ac:dyDescent="0.3">
      <c r="B720" s="700"/>
      <c r="E720" s="700"/>
      <c r="F720" s="700"/>
    </row>
    <row r="721" spans="2:6" x14ac:dyDescent="0.3">
      <c r="B721" s="700"/>
      <c r="E721" s="700"/>
      <c r="F721" s="700"/>
    </row>
    <row r="722" spans="2:6" x14ac:dyDescent="0.3">
      <c r="B722" s="700"/>
      <c r="E722" s="700"/>
      <c r="F722" s="700"/>
    </row>
    <row r="723" spans="2:6" x14ac:dyDescent="0.3">
      <c r="B723" s="700"/>
      <c r="E723" s="700"/>
      <c r="F723" s="700"/>
    </row>
    <row r="724" spans="2:6" x14ac:dyDescent="0.3">
      <c r="B724" s="700"/>
      <c r="E724" s="700"/>
      <c r="F724" s="700"/>
    </row>
    <row r="725" spans="2:6" x14ac:dyDescent="0.3">
      <c r="B725" s="700"/>
      <c r="E725" s="700"/>
      <c r="F725" s="700"/>
    </row>
    <row r="726" spans="2:6" x14ac:dyDescent="0.3">
      <c r="B726" s="700"/>
      <c r="E726" s="700"/>
      <c r="F726" s="700"/>
    </row>
    <row r="727" spans="2:6" x14ac:dyDescent="0.3">
      <c r="B727" s="700"/>
      <c r="E727" s="700"/>
      <c r="F727" s="700"/>
    </row>
    <row r="728" spans="2:6" x14ac:dyDescent="0.3">
      <c r="B728" s="700"/>
      <c r="E728" s="700"/>
      <c r="F728" s="700"/>
    </row>
    <row r="729" spans="2:6" x14ac:dyDescent="0.3">
      <c r="B729" s="700"/>
      <c r="E729" s="700"/>
      <c r="F729" s="700"/>
    </row>
    <row r="730" spans="2:6" x14ac:dyDescent="0.3">
      <c r="B730" s="700"/>
      <c r="E730" s="700"/>
      <c r="F730" s="700"/>
    </row>
    <row r="731" spans="2:6" x14ac:dyDescent="0.3">
      <c r="B731" s="700"/>
      <c r="E731" s="700"/>
      <c r="F731" s="700"/>
    </row>
    <row r="732" spans="2:6" x14ac:dyDescent="0.3">
      <c r="B732" s="700"/>
      <c r="E732" s="700"/>
      <c r="F732" s="700"/>
    </row>
    <row r="733" spans="2:6" x14ac:dyDescent="0.3">
      <c r="B733" s="700"/>
      <c r="E733" s="700"/>
      <c r="F733" s="700"/>
    </row>
    <row r="734" spans="2:6" x14ac:dyDescent="0.3">
      <c r="B734" s="700"/>
      <c r="E734" s="700"/>
      <c r="F734" s="700"/>
    </row>
    <row r="735" spans="2:6" x14ac:dyDescent="0.3">
      <c r="B735" s="700"/>
      <c r="E735" s="700"/>
      <c r="F735" s="700"/>
    </row>
    <row r="736" spans="2:6" x14ac:dyDescent="0.3">
      <c r="B736" s="700"/>
      <c r="E736" s="700"/>
      <c r="F736" s="700"/>
    </row>
    <row r="737" spans="2:6" x14ac:dyDescent="0.3">
      <c r="B737" s="700"/>
      <c r="E737" s="700"/>
      <c r="F737" s="700"/>
    </row>
    <row r="738" spans="2:6" x14ac:dyDescent="0.3">
      <c r="B738" s="700"/>
      <c r="E738" s="700"/>
      <c r="F738" s="700"/>
    </row>
    <row r="739" spans="2:6" x14ac:dyDescent="0.3">
      <c r="B739" s="700"/>
      <c r="E739" s="700"/>
      <c r="F739" s="700"/>
    </row>
    <row r="740" spans="2:6" x14ac:dyDescent="0.3">
      <c r="B740" s="700"/>
      <c r="E740" s="700"/>
      <c r="F740" s="700"/>
    </row>
    <row r="741" spans="2:6" x14ac:dyDescent="0.3">
      <c r="B741" s="700"/>
      <c r="E741" s="700"/>
      <c r="F741" s="700"/>
    </row>
    <row r="742" spans="2:6" x14ac:dyDescent="0.3">
      <c r="B742" s="700"/>
      <c r="E742" s="700"/>
      <c r="F742" s="700"/>
    </row>
    <row r="743" spans="2:6" x14ac:dyDescent="0.3">
      <c r="B743" s="700"/>
      <c r="E743" s="700"/>
      <c r="F743" s="700"/>
    </row>
    <row r="744" spans="2:6" x14ac:dyDescent="0.3">
      <c r="B744" s="700"/>
      <c r="E744" s="700"/>
      <c r="F744" s="700"/>
    </row>
    <row r="745" spans="2:6" x14ac:dyDescent="0.3">
      <c r="B745" s="700"/>
      <c r="E745" s="700"/>
      <c r="F745" s="700"/>
    </row>
    <row r="746" spans="2:6" x14ac:dyDescent="0.3">
      <c r="B746" s="700"/>
      <c r="E746" s="700"/>
      <c r="F746" s="700"/>
    </row>
    <row r="747" spans="2:6" x14ac:dyDescent="0.3">
      <c r="B747" s="700"/>
      <c r="E747" s="700"/>
      <c r="F747" s="700"/>
    </row>
    <row r="748" spans="2:6" x14ac:dyDescent="0.3">
      <c r="B748" s="700"/>
      <c r="E748" s="700"/>
      <c r="F748" s="700"/>
    </row>
    <row r="749" spans="2:6" x14ac:dyDescent="0.3">
      <c r="B749" s="700"/>
      <c r="E749" s="700"/>
      <c r="F749" s="700"/>
    </row>
    <row r="750" spans="2:6" x14ac:dyDescent="0.3">
      <c r="B750" s="700"/>
      <c r="E750" s="700"/>
      <c r="F750" s="700"/>
    </row>
    <row r="751" spans="2:6" x14ac:dyDescent="0.3">
      <c r="B751" s="700"/>
      <c r="E751" s="700"/>
      <c r="F751" s="700"/>
    </row>
    <row r="752" spans="2:6" x14ac:dyDescent="0.3">
      <c r="B752" s="700"/>
      <c r="E752" s="700"/>
      <c r="F752" s="700"/>
    </row>
    <row r="753" spans="2:6" x14ac:dyDescent="0.3">
      <c r="B753" s="700"/>
      <c r="E753" s="700"/>
      <c r="F753" s="700"/>
    </row>
    <row r="754" spans="2:6" x14ac:dyDescent="0.3">
      <c r="B754" s="700"/>
      <c r="E754" s="700"/>
      <c r="F754" s="700"/>
    </row>
    <row r="755" spans="2:6" x14ac:dyDescent="0.3">
      <c r="B755" s="700"/>
      <c r="E755" s="700"/>
      <c r="F755" s="700"/>
    </row>
    <row r="756" spans="2:6" x14ac:dyDescent="0.3">
      <c r="B756" s="700"/>
      <c r="E756" s="700"/>
      <c r="F756" s="700"/>
    </row>
    <row r="757" spans="2:6" x14ac:dyDescent="0.3">
      <c r="B757" s="700"/>
      <c r="E757" s="700"/>
      <c r="F757" s="700"/>
    </row>
    <row r="758" spans="2:6" x14ac:dyDescent="0.3">
      <c r="B758" s="700"/>
      <c r="E758" s="700"/>
      <c r="F758" s="700"/>
    </row>
    <row r="759" spans="2:6" x14ac:dyDescent="0.3">
      <c r="B759" s="700"/>
      <c r="E759" s="700"/>
      <c r="F759" s="700"/>
    </row>
    <row r="760" spans="2:6" x14ac:dyDescent="0.3">
      <c r="B760" s="700"/>
      <c r="E760" s="700"/>
      <c r="F760" s="700"/>
    </row>
    <row r="761" spans="2:6" x14ac:dyDescent="0.3">
      <c r="B761" s="700"/>
      <c r="E761" s="700"/>
      <c r="F761" s="700"/>
    </row>
    <row r="762" spans="2:6" x14ac:dyDescent="0.3">
      <c r="B762" s="700"/>
      <c r="E762" s="700"/>
      <c r="F762" s="700"/>
    </row>
    <row r="763" spans="2:6" x14ac:dyDescent="0.3">
      <c r="B763" s="700"/>
      <c r="E763" s="700"/>
      <c r="F763" s="700"/>
    </row>
    <row r="764" spans="2:6" x14ac:dyDescent="0.3">
      <c r="B764" s="700"/>
      <c r="E764" s="700"/>
      <c r="F764" s="700"/>
    </row>
    <row r="765" spans="2:6" x14ac:dyDescent="0.3">
      <c r="B765" s="700"/>
      <c r="E765" s="700"/>
      <c r="F765" s="700"/>
    </row>
    <row r="766" spans="2:6" x14ac:dyDescent="0.3">
      <c r="B766" s="700"/>
      <c r="E766" s="700"/>
      <c r="F766" s="700"/>
    </row>
    <row r="767" spans="2:6" x14ac:dyDescent="0.3">
      <c r="B767" s="700"/>
      <c r="E767" s="700"/>
      <c r="F767" s="700"/>
    </row>
    <row r="768" spans="2:6" x14ac:dyDescent="0.3">
      <c r="B768" s="700"/>
      <c r="E768" s="700"/>
      <c r="F768" s="700"/>
    </row>
    <row r="769" spans="2:6" x14ac:dyDescent="0.3">
      <c r="B769" s="700"/>
      <c r="E769" s="700"/>
      <c r="F769" s="700"/>
    </row>
    <row r="770" spans="2:6" x14ac:dyDescent="0.3">
      <c r="B770" s="700"/>
      <c r="E770" s="700"/>
      <c r="F770" s="700"/>
    </row>
    <row r="771" spans="2:6" x14ac:dyDescent="0.3">
      <c r="B771" s="700"/>
      <c r="E771" s="700"/>
      <c r="F771" s="700"/>
    </row>
    <row r="772" spans="2:6" x14ac:dyDescent="0.3">
      <c r="B772" s="700"/>
      <c r="E772" s="700"/>
      <c r="F772" s="700"/>
    </row>
    <row r="773" spans="2:6" x14ac:dyDescent="0.3">
      <c r="B773" s="700"/>
      <c r="E773" s="700"/>
      <c r="F773" s="700"/>
    </row>
    <row r="774" spans="2:6" x14ac:dyDescent="0.3">
      <c r="B774" s="700"/>
      <c r="E774" s="700"/>
      <c r="F774" s="700"/>
    </row>
    <row r="775" spans="2:6" x14ac:dyDescent="0.3">
      <c r="B775" s="700"/>
      <c r="E775" s="700"/>
      <c r="F775" s="700"/>
    </row>
    <row r="776" spans="2:6" x14ac:dyDescent="0.3">
      <c r="B776" s="700"/>
      <c r="E776" s="700"/>
      <c r="F776" s="700"/>
    </row>
    <row r="777" spans="2:6" x14ac:dyDescent="0.3">
      <c r="B777" s="700"/>
      <c r="E777" s="700"/>
      <c r="F777" s="700"/>
    </row>
    <row r="778" spans="2:6" x14ac:dyDescent="0.3">
      <c r="B778" s="700"/>
      <c r="E778" s="700"/>
      <c r="F778" s="700"/>
    </row>
    <row r="779" spans="2:6" x14ac:dyDescent="0.3">
      <c r="B779" s="700"/>
      <c r="E779" s="700"/>
      <c r="F779" s="700"/>
    </row>
    <row r="780" spans="2:6" x14ac:dyDescent="0.3">
      <c r="B780" s="700"/>
      <c r="E780" s="700"/>
      <c r="F780" s="700"/>
    </row>
    <row r="781" spans="2:6" x14ac:dyDescent="0.3">
      <c r="B781" s="700"/>
      <c r="E781" s="700"/>
      <c r="F781" s="700"/>
    </row>
    <row r="782" spans="2:6" x14ac:dyDescent="0.3">
      <c r="B782" s="700"/>
      <c r="E782" s="700"/>
      <c r="F782" s="700"/>
    </row>
    <row r="783" spans="2:6" x14ac:dyDescent="0.3">
      <c r="B783" s="700"/>
      <c r="E783" s="700"/>
      <c r="F783" s="700"/>
    </row>
    <row r="784" spans="2:6" x14ac:dyDescent="0.3">
      <c r="B784" s="700"/>
      <c r="E784" s="700"/>
      <c r="F784" s="700"/>
    </row>
    <row r="785" spans="2:6" x14ac:dyDescent="0.3">
      <c r="B785" s="700"/>
      <c r="E785" s="700"/>
      <c r="F785" s="700"/>
    </row>
    <row r="786" spans="2:6" x14ac:dyDescent="0.3">
      <c r="B786" s="700"/>
      <c r="E786" s="700"/>
      <c r="F786" s="700"/>
    </row>
    <row r="787" spans="2:6" x14ac:dyDescent="0.3">
      <c r="B787" s="700"/>
      <c r="E787" s="700"/>
      <c r="F787" s="700"/>
    </row>
    <row r="788" spans="2:6" x14ac:dyDescent="0.3">
      <c r="B788" s="700"/>
      <c r="E788" s="700"/>
      <c r="F788" s="700"/>
    </row>
    <row r="789" spans="2:6" x14ac:dyDescent="0.3">
      <c r="B789" s="700"/>
      <c r="E789" s="700"/>
      <c r="F789" s="700"/>
    </row>
    <row r="790" spans="2:6" x14ac:dyDescent="0.3">
      <c r="B790" s="700"/>
      <c r="E790" s="700"/>
      <c r="F790" s="700"/>
    </row>
    <row r="791" spans="2:6" x14ac:dyDescent="0.3">
      <c r="B791" s="700"/>
      <c r="E791" s="700"/>
      <c r="F791" s="700"/>
    </row>
    <row r="792" spans="2:6" x14ac:dyDescent="0.3">
      <c r="B792" s="700"/>
      <c r="E792" s="700"/>
      <c r="F792" s="700"/>
    </row>
    <row r="793" spans="2:6" x14ac:dyDescent="0.3">
      <c r="B793" s="700"/>
      <c r="E793" s="700"/>
      <c r="F793" s="700"/>
    </row>
    <row r="794" spans="2:6" x14ac:dyDescent="0.3">
      <c r="B794" s="700"/>
      <c r="E794" s="700"/>
      <c r="F794" s="700"/>
    </row>
    <row r="795" spans="2:6" x14ac:dyDescent="0.3">
      <c r="B795" s="700"/>
      <c r="E795" s="700"/>
      <c r="F795" s="700"/>
    </row>
    <row r="796" spans="2:6" x14ac:dyDescent="0.3">
      <c r="B796" s="700"/>
      <c r="E796" s="700"/>
      <c r="F796" s="700"/>
    </row>
    <row r="797" spans="2:6" x14ac:dyDescent="0.3">
      <c r="B797" s="700"/>
      <c r="E797" s="700"/>
      <c r="F797" s="700"/>
    </row>
    <row r="798" spans="2:6" x14ac:dyDescent="0.3">
      <c r="B798" s="700"/>
      <c r="E798" s="700"/>
      <c r="F798" s="700"/>
    </row>
    <row r="799" spans="2:6" x14ac:dyDescent="0.3">
      <c r="B799" s="700"/>
      <c r="E799" s="700"/>
      <c r="F799" s="700"/>
    </row>
    <row r="800" spans="2:6" x14ac:dyDescent="0.3">
      <c r="B800" s="700"/>
      <c r="E800" s="700"/>
      <c r="F800" s="700"/>
    </row>
    <row r="801" spans="2:6" x14ac:dyDescent="0.3">
      <c r="B801" s="700"/>
      <c r="E801" s="700"/>
      <c r="F801" s="700"/>
    </row>
    <row r="802" spans="2:6" x14ac:dyDescent="0.3">
      <c r="B802" s="700"/>
      <c r="E802" s="700"/>
      <c r="F802" s="700"/>
    </row>
    <row r="803" spans="2:6" x14ac:dyDescent="0.3">
      <c r="B803" s="700"/>
      <c r="E803" s="700"/>
      <c r="F803" s="700"/>
    </row>
    <row r="804" spans="2:6" x14ac:dyDescent="0.3">
      <c r="B804" s="700"/>
      <c r="E804" s="700"/>
      <c r="F804" s="700"/>
    </row>
    <row r="805" spans="2:6" x14ac:dyDescent="0.3">
      <c r="B805" s="700"/>
      <c r="E805" s="700"/>
      <c r="F805" s="700"/>
    </row>
    <row r="806" spans="2:6" x14ac:dyDescent="0.3">
      <c r="B806" s="700"/>
      <c r="E806" s="700"/>
      <c r="F806" s="700"/>
    </row>
    <row r="807" spans="2:6" x14ac:dyDescent="0.3">
      <c r="B807" s="700"/>
      <c r="E807" s="700"/>
      <c r="F807" s="700"/>
    </row>
    <row r="808" spans="2:6" x14ac:dyDescent="0.3">
      <c r="B808" s="700"/>
      <c r="E808" s="700"/>
      <c r="F808" s="700"/>
    </row>
    <row r="809" spans="2:6" x14ac:dyDescent="0.3">
      <c r="B809" s="700"/>
      <c r="E809" s="700"/>
      <c r="F809" s="700"/>
    </row>
    <row r="810" spans="2:6" x14ac:dyDescent="0.3">
      <c r="B810" s="700"/>
      <c r="E810" s="700"/>
      <c r="F810" s="700"/>
    </row>
    <row r="811" spans="2:6" x14ac:dyDescent="0.3">
      <c r="B811" s="700"/>
      <c r="E811" s="700"/>
      <c r="F811" s="700"/>
    </row>
    <row r="812" spans="2:6" x14ac:dyDescent="0.3">
      <c r="B812" s="700"/>
      <c r="E812" s="700"/>
      <c r="F812" s="700"/>
    </row>
    <row r="813" spans="2:6" x14ac:dyDescent="0.3">
      <c r="B813" s="700"/>
      <c r="E813" s="700"/>
      <c r="F813" s="700"/>
    </row>
    <row r="814" spans="2:6" x14ac:dyDescent="0.3">
      <c r="B814" s="700"/>
      <c r="E814" s="700"/>
      <c r="F814" s="700"/>
    </row>
    <row r="815" spans="2:6" x14ac:dyDescent="0.3">
      <c r="B815" s="700"/>
      <c r="E815" s="700"/>
      <c r="F815" s="700"/>
    </row>
    <row r="816" spans="2:6" x14ac:dyDescent="0.3">
      <c r="B816" s="700"/>
      <c r="E816" s="700"/>
      <c r="F816" s="700"/>
    </row>
    <row r="817" spans="2:6" x14ac:dyDescent="0.3">
      <c r="B817" s="700"/>
      <c r="E817" s="700"/>
      <c r="F817" s="700"/>
    </row>
    <row r="818" spans="2:6" x14ac:dyDescent="0.3">
      <c r="B818" s="700"/>
      <c r="E818" s="700"/>
      <c r="F818" s="700"/>
    </row>
    <row r="819" spans="2:6" x14ac:dyDescent="0.3">
      <c r="B819" s="700"/>
      <c r="E819" s="700"/>
      <c r="F819" s="700"/>
    </row>
    <row r="820" spans="2:6" x14ac:dyDescent="0.3">
      <c r="B820" s="700"/>
      <c r="E820" s="700"/>
      <c r="F820" s="700"/>
    </row>
    <row r="821" spans="2:6" x14ac:dyDescent="0.3">
      <c r="B821" s="700"/>
      <c r="E821" s="700"/>
      <c r="F821" s="700"/>
    </row>
    <row r="822" spans="2:6" x14ac:dyDescent="0.3">
      <c r="B822" s="700"/>
      <c r="E822" s="700"/>
      <c r="F822" s="700"/>
    </row>
    <row r="823" spans="2:6" x14ac:dyDescent="0.3">
      <c r="B823" s="700"/>
      <c r="E823" s="700"/>
      <c r="F823" s="700"/>
    </row>
    <row r="824" spans="2:6" x14ac:dyDescent="0.3">
      <c r="B824" s="700"/>
      <c r="E824" s="700"/>
      <c r="F824" s="700"/>
    </row>
    <row r="825" spans="2:6" x14ac:dyDescent="0.3">
      <c r="B825" s="700"/>
      <c r="E825" s="700"/>
      <c r="F825" s="700"/>
    </row>
    <row r="826" spans="2:6" x14ac:dyDescent="0.3">
      <c r="B826" s="700"/>
      <c r="E826" s="700"/>
      <c r="F826" s="700"/>
    </row>
    <row r="827" spans="2:6" x14ac:dyDescent="0.3">
      <c r="B827" s="700"/>
      <c r="E827" s="700"/>
      <c r="F827" s="700"/>
    </row>
    <row r="828" spans="2:6" x14ac:dyDescent="0.3">
      <c r="B828" s="700"/>
      <c r="E828" s="700"/>
      <c r="F828" s="700"/>
    </row>
    <row r="829" spans="2:6" x14ac:dyDescent="0.3">
      <c r="B829" s="700"/>
      <c r="E829" s="700"/>
      <c r="F829" s="700"/>
    </row>
    <row r="830" spans="2:6" x14ac:dyDescent="0.3">
      <c r="B830" s="700"/>
      <c r="E830" s="700"/>
      <c r="F830" s="700"/>
    </row>
    <row r="831" spans="2:6" x14ac:dyDescent="0.3">
      <c r="B831" s="700"/>
      <c r="E831" s="700"/>
      <c r="F831" s="700"/>
    </row>
    <row r="832" spans="2:6" x14ac:dyDescent="0.3">
      <c r="B832" s="700"/>
      <c r="E832" s="700"/>
      <c r="F832" s="700"/>
    </row>
    <row r="833" spans="2:6" x14ac:dyDescent="0.3">
      <c r="B833" s="700"/>
      <c r="E833" s="700"/>
      <c r="F833" s="700"/>
    </row>
    <row r="834" spans="2:6" x14ac:dyDescent="0.3">
      <c r="B834" s="700"/>
      <c r="E834" s="700"/>
      <c r="F834" s="700"/>
    </row>
    <row r="835" spans="2:6" x14ac:dyDescent="0.3">
      <c r="B835" s="700"/>
      <c r="E835" s="700"/>
      <c r="F835" s="700"/>
    </row>
    <row r="836" spans="2:6" x14ac:dyDescent="0.3">
      <c r="B836" s="700"/>
      <c r="E836" s="700"/>
      <c r="F836" s="700"/>
    </row>
    <row r="837" spans="2:6" x14ac:dyDescent="0.3">
      <c r="B837" s="700"/>
      <c r="E837" s="700"/>
      <c r="F837" s="700"/>
    </row>
    <row r="838" spans="2:6" x14ac:dyDescent="0.3">
      <c r="B838" s="700"/>
      <c r="E838" s="700"/>
      <c r="F838" s="700"/>
    </row>
    <row r="839" spans="2:6" x14ac:dyDescent="0.3">
      <c r="B839" s="700"/>
      <c r="E839" s="700"/>
      <c r="F839" s="700"/>
    </row>
    <row r="840" spans="2:6" x14ac:dyDescent="0.3">
      <c r="B840" s="700"/>
      <c r="E840" s="700"/>
      <c r="F840" s="700"/>
    </row>
    <row r="841" spans="2:6" x14ac:dyDescent="0.3">
      <c r="B841" s="700"/>
      <c r="E841" s="700"/>
      <c r="F841" s="700"/>
    </row>
    <row r="842" spans="2:6" x14ac:dyDescent="0.3">
      <c r="B842" s="700"/>
      <c r="E842" s="700"/>
      <c r="F842" s="700"/>
    </row>
    <row r="843" spans="2:6" x14ac:dyDescent="0.3">
      <c r="B843" s="700"/>
      <c r="E843" s="700"/>
      <c r="F843" s="700"/>
    </row>
    <row r="844" spans="2:6" x14ac:dyDescent="0.3">
      <c r="B844" s="700"/>
      <c r="E844" s="700"/>
      <c r="F844" s="700"/>
    </row>
    <row r="845" spans="2:6" x14ac:dyDescent="0.3">
      <c r="B845" s="700"/>
      <c r="E845" s="700"/>
      <c r="F845" s="700"/>
    </row>
    <row r="846" spans="2:6" x14ac:dyDescent="0.3">
      <c r="B846" s="700"/>
      <c r="E846" s="700"/>
      <c r="F846" s="700"/>
    </row>
    <row r="847" spans="2:6" x14ac:dyDescent="0.3">
      <c r="B847" s="700"/>
      <c r="E847" s="700"/>
      <c r="F847" s="700"/>
    </row>
    <row r="848" spans="2:6" x14ac:dyDescent="0.3">
      <c r="B848" s="700"/>
      <c r="E848" s="700"/>
      <c r="F848" s="700"/>
    </row>
    <row r="849" spans="2:6" x14ac:dyDescent="0.3">
      <c r="B849" s="700"/>
      <c r="E849" s="700"/>
      <c r="F849" s="700"/>
    </row>
    <row r="850" spans="2:6" x14ac:dyDescent="0.3">
      <c r="B850" s="700"/>
      <c r="E850" s="700"/>
      <c r="F850" s="700"/>
    </row>
    <row r="851" spans="2:6" x14ac:dyDescent="0.3">
      <c r="B851" s="700"/>
      <c r="E851" s="700"/>
      <c r="F851" s="700"/>
    </row>
    <row r="852" spans="2:6" x14ac:dyDescent="0.3">
      <c r="B852" s="700"/>
      <c r="E852" s="700"/>
      <c r="F852" s="700"/>
    </row>
    <row r="853" spans="2:6" x14ac:dyDescent="0.3">
      <c r="B853" s="700"/>
      <c r="E853" s="700"/>
      <c r="F853" s="700"/>
    </row>
    <row r="854" spans="2:6" x14ac:dyDescent="0.3">
      <c r="B854" s="700"/>
      <c r="E854" s="700"/>
      <c r="F854" s="700"/>
    </row>
    <row r="855" spans="2:6" x14ac:dyDescent="0.3">
      <c r="B855" s="700"/>
      <c r="E855" s="700"/>
      <c r="F855" s="700"/>
    </row>
    <row r="856" spans="2:6" x14ac:dyDescent="0.3">
      <c r="B856" s="700"/>
      <c r="E856" s="700"/>
      <c r="F856" s="700"/>
    </row>
    <row r="857" spans="2:6" x14ac:dyDescent="0.3">
      <c r="B857" s="700"/>
      <c r="E857" s="700"/>
      <c r="F857" s="700"/>
    </row>
    <row r="858" spans="2:6" x14ac:dyDescent="0.3">
      <c r="B858" s="700"/>
      <c r="E858" s="700"/>
      <c r="F858" s="700"/>
    </row>
    <row r="859" spans="2:6" x14ac:dyDescent="0.3">
      <c r="B859" s="700"/>
      <c r="E859" s="700"/>
      <c r="F859" s="700"/>
    </row>
    <row r="860" spans="2:6" x14ac:dyDescent="0.3">
      <c r="B860" s="700"/>
      <c r="E860" s="700"/>
      <c r="F860" s="700"/>
    </row>
    <row r="861" spans="2:6" x14ac:dyDescent="0.3">
      <c r="B861" s="700"/>
      <c r="E861" s="700"/>
      <c r="F861" s="700"/>
    </row>
    <row r="862" spans="2:6" x14ac:dyDescent="0.3">
      <c r="B862" s="700"/>
      <c r="E862" s="700"/>
      <c r="F862" s="700"/>
    </row>
    <row r="863" spans="2:6" x14ac:dyDescent="0.3">
      <c r="B863" s="700"/>
      <c r="E863" s="700"/>
      <c r="F863" s="700"/>
    </row>
    <row r="864" spans="2:6" x14ac:dyDescent="0.3">
      <c r="B864" s="700"/>
      <c r="E864" s="700"/>
      <c r="F864" s="700"/>
    </row>
    <row r="865" spans="2:6" x14ac:dyDescent="0.3">
      <c r="B865" s="700"/>
      <c r="E865" s="700"/>
      <c r="F865" s="700"/>
    </row>
    <row r="866" spans="2:6" x14ac:dyDescent="0.3">
      <c r="B866" s="700"/>
      <c r="E866" s="700"/>
      <c r="F866" s="700"/>
    </row>
    <row r="867" spans="2:6" x14ac:dyDescent="0.3">
      <c r="B867" s="700"/>
      <c r="E867" s="700"/>
      <c r="F867" s="700"/>
    </row>
    <row r="868" spans="2:6" x14ac:dyDescent="0.3">
      <c r="B868" s="700"/>
      <c r="E868" s="700"/>
      <c r="F868" s="700"/>
    </row>
    <row r="869" spans="2:6" x14ac:dyDescent="0.3">
      <c r="B869" s="700"/>
      <c r="E869" s="700"/>
      <c r="F869" s="700"/>
    </row>
    <row r="870" spans="2:6" x14ac:dyDescent="0.3">
      <c r="B870" s="700"/>
      <c r="E870" s="700"/>
      <c r="F870" s="700"/>
    </row>
    <row r="871" spans="2:6" x14ac:dyDescent="0.3">
      <c r="B871" s="700"/>
      <c r="E871" s="700"/>
      <c r="F871" s="700"/>
    </row>
    <row r="872" spans="2:6" x14ac:dyDescent="0.3">
      <c r="B872" s="700"/>
      <c r="E872" s="700"/>
      <c r="F872" s="700"/>
    </row>
    <row r="873" spans="2:6" x14ac:dyDescent="0.3">
      <c r="B873" s="700"/>
      <c r="E873" s="700"/>
      <c r="F873" s="700"/>
    </row>
    <row r="874" spans="2:6" x14ac:dyDescent="0.3">
      <c r="B874" s="700"/>
      <c r="E874" s="700"/>
      <c r="F874" s="700"/>
    </row>
    <row r="875" spans="2:6" x14ac:dyDescent="0.3">
      <c r="B875" s="700"/>
      <c r="E875" s="700"/>
      <c r="F875" s="700"/>
    </row>
    <row r="876" spans="2:6" x14ac:dyDescent="0.3">
      <c r="B876" s="700"/>
      <c r="E876" s="700"/>
      <c r="F876" s="700"/>
    </row>
    <row r="877" spans="2:6" x14ac:dyDescent="0.3">
      <c r="B877" s="700"/>
      <c r="E877" s="700"/>
      <c r="F877" s="700"/>
    </row>
    <row r="878" spans="2:6" x14ac:dyDescent="0.3">
      <c r="B878" s="700"/>
      <c r="E878" s="700"/>
      <c r="F878" s="700"/>
    </row>
    <row r="879" spans="2:6" x14ac:dyDescent="0.3">
      <c r="B879" s="700"/>
      <c r="E879" s="700"/>
      <c r="F879" s="700"/>
    </row>
    <row r="880" spans="2:6" x14ac:dyDescent="0.3">
      <c r="B880" s="700"/>
      <c r="E880" s="700"/>
      <c r="F880" s="700"/>
    </row>
    <row r="881" spans="2:6" x14ac:dyDescent="0.3">
      <c r="B881" s="700"/>
      <c r="E881" s="700"/>
      <c r="F881" s="700"/>
    </row>
    <row r="882" spans="2:6" x14ac:dyDescent="0.3">
      <c r="B882" s="700"/>
      <c r="E882" s="700"/>
      <c r="F882" s="700"/>
    </row>
    <row r="883" spans="2:6" x14ac:dyDescent="0.3">
      <c r="B883" s="700"/>
      <c r="E883" s="700"/>
      <c r="F883" s="700"/>
    </row>
    <row r="884" spans="2:6" x14ac:dyDescent="0.3">
      <c r="B884" s="700"/>
      <c r="E884" s="700"/>
      <c r="F884" s="700"/>
    </row>
    <row r="885" spans="2:6" x14ac:dyDescent="0.3">
      <c r="B885" s="700"/>
      <c r="E885" s="700"/>
      <c r="F885" s="700"/>
    </row>
    <row r="886" spans="2:6" x14ac:dyDescent="0.3">
      <c r="B886" s="700"/>
      <c r="E886" s="700"/>
      <c r="F886" s="700"/>
    </row>
    <row r="887" spans="2:6" x14ac:dyDescent="0.3">
      <c r="B887" s="700"/>
      <c r="E887" s="700"/>
      <c r="F887" s="700"/>
    </row>
    <row r="888" spans="2:6" x14ac:dyDescent="0.3">
      <c r="B888" s="700"/>
      <c r="E888" s="700"/>
      <c r="F888" s="700"/>
    </row>
    <row r="889" spans="2:6" x14ac:dyDescent="0.3">
      <c r="B889" s="700"/>
      <c r="E889" s="700"/>
      <c r="F889" s="700"/>
    </row>
    <row r="890" spans="2:6" x14ac:dyDescent="0.3">
      <c r="B890" s="700"/>
      <c r="E890" s="700"/>
      <c r="F890" s="700"/>
    </row>
    <row r="891" spans="2:6" x14ac:dyDescent="0.3">
      <c r="B891" s="700"/>
      <c r="E891" s="700"/>
      <c r="F891" s="700"/>
    </row>
    <row r="892" spans="2:6" x14ac:dyDescent="0.3">
      <c r="B892" s="700"/>
      <c r="E892" s="700"/>
      <c r="F892" s="700"/>
    </row>
    <row r="893" spans="2:6" x14ac:dyDescent="0.3">
      <c r="B893" s="700"/>
      <c r="E893" s="700"/>
      <c r="F893" s="700"/>
    </row>
    <row r="894" spans="2:6" x14ac:dyDescent="0.3">
      <c r="B894" s="700"/>
      <c r="E894" s="700"/>
      <c r="F894" s="700"/>
    </row>
    <row r="895" spans="2:6" x14ac:dyDescent="0.3">
      <c r="B895" s="700"/>
      <c r="E895" s="700"/>
      <c r="F895" s="700"/>
    </row>
    <row r="896" spans="2:6" x14ac:dyDescent="0.3">
      <c r="B896" s="700"/>
      <c r="E896" s="700"/>
      <c r="F896" s="700"/>
    </row>
    <row r="897" spans="2:6" x14ac:dyDescent="0.3">
      <c r="B897" s="700"/>
      <c r="E897" s="700"/>
      <c r="F897" s="700"/>
    </row>
    <row r="898" spans="2:6" x14ac:dyDescent="0.3">
      <c r="B898" s="700"/>
      <c r="E898" s="700"/>
      <c r="F898" s="700"/>
    </row>
    <row r="899" spans="2:6" x14ac:dyDescent="0.3">
      <c r="B899" s="700"/>
      <c r="E899" s="700"/>
      <c r="F899" s="700"/>
    </row>
    <row r="900" spans="2:6" x14ac:dyDescent="0.3">
      <c r="B900" s="700"/>
      <c r="E900" s="700"/>
      <c r="F900" s="700"/>
    </row>
    <row r="901" spans="2:6" x14ac:dyDescent="0.3">
      <c r="B901" s="700"/>
      <c r="E901" s="700"/>
      <c r="F901" s="700"/>
    </row>
    <row r="902" spans="2:6" x14ac:dyDescent="0.3">
      <c r="B902" s="700"/>
      <c r="E902" s="700"/>
      <c r="F902" s="700"/>
    </row>
    <row r="903" spans="2:6" x14ac:dyDescent="0.3">
      <c r="B903" s="700"/>
      <c r="E903" s="700"/>
      <c r="F903" s="700"/>
    </row>
    <row r="904" spans="2:6" x14ac:dyDescent="0.3">
      <c r="B904" s="700"/>
      <c r="E904" s="700"/>
      <c r="F904" s="700"/>
    </row>
    <row r="905" spans="2:6" x14ac:dyDescent="0.3">
      <c r="B905" s="700"/>
      <c r="E905" s="700"/>
      <c r="F905" s="700"/>
    </row>
    <row r="906" spans="2:6" x14ac:dyDescent="0.3">
      <c r="B906" s="700"/>
      <c r="E906" s="700"/>
      <c r="F906" s="700"/>
    </row>
    <row r="907" spans="2:6" x14ac:dyDescent="0.3">
      <c r="B907" s="700"/>
      <c r="E907" s="700"/>
      <c r="F907" s="700"/>
    </row>
    <row r="908" spans="2:6" x14ac:dyDescent="0.3">
      <c r="B908" s="700"/>
      <c r="E908" s="700"/>
      <c r="F908" s="700"/>
    </row>
    <row r="909" spans="2:6" x14ac:dyDescent="0.3">
      <c r="B909" s="700"/>
      <c r="E909" s="700"/>
      <c r="F909" s="700"/>
    </row>
    <row r="910" spans="2:6" x14ac:dyDescent="0.3">
      <c r="B910" s="700"/>
      <c r="E910" s="700"/>
      <c r="F910" s="700"/>
    </row>
    <row r="911" spans="2:6" x14ac:dyDescent="0.3">
      <c r="B911" s="700"/>
      <c r="E911" s="700"/>
      <c r="F911" s="700"/>
    </row>
    <row r="912" spans="2:6" x14ac:dyDescent="0.3">
      <c r="B912" s="700"/>
      <c r="E912" s="700"/>
      <c r="F912" s="700"/>
    </row>
    <row r="913" spans="2:6" x14ac:dyDescent="0.3">
      <c r="B913" s="700"/>
      <c r="E913" s="700"/>
      <c r="F913" s="700"/>
    </row>
    <row r="914" spans="2:6" x14ac:dyDescent="0.3">
      <c r="B914" s="700"/>
      <c r="E914" s="700"/>
      <c r="F914" s="700"/>
    </row>
    <row r="915" spans="2:6" x14ac:dyDescent="0.3">
      <c r="B915" s="700"/>
      <c r="E915" s="700"/>
      <c r="F915" s="700"/>
    </row>
    <row r="916" spans="2:6" x14ac:dyDescent="0.3">
      <c r="B916" s="700"/>
      <c r="E916" s="700"/>
      <c r="F916" s="700"/>
    </row>
    <row r="917" spans="2:6" x14ac:dyDescent="0.3">
      <c r="B917" s="700"/>
      <c r="E917" s="700"/>
      <c r="F917" s="700"/>
    </row>
    <row r="918" spans="2:6" x14ac:dyDescent="0.3">
      <c r="B918" s="700"/>
      <c r="E918" s="700"/>
      <c r="F918" s="700"/>
    </row>
    <row r="919" spans="2:6" x14ac:dyDescent="0.3">
      <c r="B919" s="700"/>
      <c r="E919" s="700"/>
      <c r="F919" s="700"/>
    </row>
    <row r="920" spans="2:6" x14ac:dyDescent="0.3">
      <c r="B920" s="700"/>
      <c r="E920" s="700"/>
      <c r="F920" s="700"/>
    </row>
    <row r="921" spans="2:6" x14ac:dyDescent="0.3">
      <c r="B921" s="700"/>
      <c r="E921" s="700"/>
      <c r="F921" s="700"/>
    </row>
    <row r="922" spans="2:6" x14ac:dyDescent="0.3">
      <c r="B922" s="700"/>
      <c r="E922" s="700"/>
      <c r="F922" s="700"/>
    </row>
    <row r="923" spans="2:6" x14ac:dyDescent="0.3">
      <c r="B923" s="700"/>
      <c r="E923" s="700"/>
      <c r="F923" s="700"/>
    </row>
    <row r="924" spans="2:6" x14ac:dyDescent="0.3">
      <c r="B924" s="700"/>
      <c r="E924" s="700"/>
      <c r="F924" s="700"/>
    </row>
    <row r="925" spans="2:6" x14ac:dyDescent="0.3">
      <c r="B925" s="700"/>
      <c r="E925" s="700"/>
      <c r="F925" s="700"/>
    </row>
    <row r="926" spans="2:6" x14ac:dyDescent="0.3">
      <c r="B926" s="700"/>
      <c r="E926" s="700"/>
      <c r="F926" s="700"/>
    </row>
    <row r="927" spans="2:6" x14ac:dyDescent="0.3">
      <c r="B927" s="700"/>
      <c r="E927" s="700"/>
      <c r="F927" s="700"/>
    </row>
    <row r="928" spans="2:6" x14ac:dyDescent="0.3">
      <c r="B928" s="700"/>
      <c r="E928" s="700"/>
      <c r="F928" s="700"/>
    </row>
    <row r="929" spans="2:6" x14ac:dyDescent="0.3">
      <c r="B929" s="700"/>
      <c r="E929" s="700"/>
      <c r="F929" s="700"/>
    </row>
    <row r="930" spans="2:6" x14ac:dyDescent="0.3">
      <c r="B930" s="700"/>
      <c r="E930" s="700"/>
      <c r="F930" s="700"/>
    </row>
    <row r="931" spans="2:6" x14ac:dyDescent="0.3">
      <c r="B931" s="700"/>
      <c r="E931" s="700"/>
      <c r="F931" s="700"/>
    </row>
    <row r="932" spans="2:6" x14ac:dyDescent="0.3">
      <c r="B932" s="700"/>
      <c r="E932" s="700"/>
      <c r="F932" s="700"/>
    </row>
    <row r="933" spans="2:6" x14ac:dyDescent="0.3">
      <c r="B933" s="700"/>
      <c r="E933" s="700"/>
      <c r="F933" s="700"/>
    </row>
    <row r="934" spans="2:6" x14ac:dyDescent="0.3">
      <c r="B934" s="700"/>
      <c r="E934" s="700"/>
      <c r="F934" s="700"/>
    </row>
    <row r="935" spans="2:6" x14ac:dyDescent="0.3">
      <c r="B935" s="700"/>
      <c r="E935" s="700"/>
      <c r="F935" s="700"/>
    </row>
    <row r="936" spans="2:6" x14ac:dyDescent="0.3">
      <c r="B936" s="700"/>
      <c r="E936" s="700"/>
      <c r="F936" s="700"/>
    </row>
    <row r="937" spans="2:6" x14ac:dyDescent="0.3">
      <c r="B937" s="700"/>
      <c r="E937" s="700"/>
      <c r="F937" s="700"/>
    </row>
    <row r="938" spans="2:6" x14ac:dyDescent="0.3">
      <c r="B938" s="700"/>
      <c r="E938" s="700"/>
      <c r="F938" s="700"/>
    </row>
    <row r="939" spans="2:6" x14ac:dyDescent="0.3">
      <c r="B939" s="700"/>
      <c r="E939" s="700"/>
      <c r="F939" s="700"/>
    </row>
    <row r="940" spans="2:6" x14ac:dyDescent="0.3">
      <c r="B940" s="700"/>
      <c r="E940" s="700"/>
      <c r="F940" s="700"/>
    </row>
    <row r="941" spans="2:6" x14ac:dyDescent="0.3">
      <c r="B941" s="700"/>
      <c r="E941" s="700"/>
      <c r="F941" s="700"/>
    </row>
    <row r="942" spans="2:6" x14ac:dyDescent="0.3">
      <c r="B942" s="700"/>
      <c r="E942" s="700"/>
      <c r="F942" s="700"/>
    </row>
    <row r="943" spans="2:6" x14ac:dyDescent="0.3">
      <c r="B943" s="700"/>
      <c r="E943" s="700"/>
      <c r="F943" s="700"/>
    </row>
    <row r="944" spans="2:6" x14ac:dyDescent="0.3">
      <c r="B944" s="700"/>
      <c r="E944" s="700"/>
      <c r="F944" s="700"/>
    </row>
    <row r="945" spans="2:6" x14ac:dyDescent="0.3">
      <c r="B945" s="700"/>
      <c r="E945" s="700"/>
      <c r="F945" s="700"/>
    </row>
    <row r="946" spans="2:6" x14ac:dyDescent="0.3">
      <c r="B946" s="700"/>
      <c r="E946" s="700"/>
      <c r="F946" s="700"/>
    </row>
    <row r="947" spans="2:6" x14ac:dyDescent="0.3">
      <c r="B947" s="700"/>
      <c r="E947" s="700"/>
      <c r="F947" s="700"/>
    </row>
    <row r="948" spans="2:6" x14ac:dyDescent="0.3">
      <c r="B948" s="700"/>
      <c r="E948" s="700"/>
      <c r="F948" s="700"/>
    </row>
    <row r="949" spans="2:6" x14ac:dyDescent="0.3">
      <c r="B949" s="700"/>
      <c r="E949" s="700"/>
      <c r="F949" s="700"/>
    </row>
    <row r="950" spans="2:6" x14ac:dyDescent="0.3">
      <c r="B950" s="700"/>
      <c r="E950" s="700"/>
      <c r="F950" s="700"/>
    </row>
    <row r="951" spans="2:6" x14ac:dyDescent="0.3">
      <c r="B951" s="700"/>
      <c r="E951" s="700"/>
      <c r="F951" s="700"/>
    </row>
    <row r="952" spans="2:6" x14ac:dyDescent="0.3">
      <c r="B952" s="700"/>
      <c r="E952" s="700"/>
      <c r="F952" s="700"/>
    </row>
    <row r="953" spans="2:6" x14ac:dyDescent="0.3">
      <c r="B953" s="700"/>
      <c r="E953" s="700"/>
      <c r="F953" s="700"/>
    </row>
    <row r="954" spans="2:6" x14ac:dyDescent="0.3">
      <c r="B954" s="700"/>
      <c r="E954" s="700"/>
      <c r="F954" s="700"/>
    </row>
    <row r="955" spans="2:6" x14ac:dyDescent="0.3">
      <c r="B955" s="700"/>
      <c r="E955" s="700"/>
      <c r="F955" s="700"/>
    </row>
    <row r="956" spans="2:6" x14ac:dyDescent="0.3">
      <c r="B956" s="700"/>
      <c r="E956" s="700"/>
      <c r="F956" s="700"/>
    </row>
    <row r="957" spans="2:6" x14ac:dyDescent="0.3">
      <c r="B957" s="700"/>
      <c r="E957" s="700"/>
      <c r="F957" s="700"/>
    </row>
    <row r="958" spans="2:6" x14ac:dyDescent="0.3">
      <c r="B958" s="700"/>
      <c r="E958" s="700"/>
      <c r="F958" s="700"/>
    </row>
    <row r="959" spans="2:6" x14ac:dyDescent="0.3">
      <c r="B959" s="700"/>
      <c r="E959" s="700"/>
      <c r="F959" s="700"/>
    </row>
    <row r="960" spans="2:6" x14ac:dyDescent="0.3">
      <c r="B960" s="700"/>
      <c r="E960" s="700"/>
      <c r="F960" s="700"/>
    </row>
    <row r="961" spans="2:6" x14ac:dyDescent="0.3">
      <c r="B961" s="700"/>
      <c r="E961" s="700"/>
      <c r="F961" s="700"/>
    </row>
    <row r="962" spans="2:6" x14ac:dyDescent="0.3">
      <c r="B962" s="700"/>
      <c r="E962" s="700"/>
      <c r="F962" s="700"/>
    </row>
    <row r="963" spans="2:6" x14ac:dyDescent="0.3">
      <c r="B963" s="700"/>
      <c r="E963" s="700"/>
      <c r="F963" s="700"/>
    </row>
    <row r="964" spans="2:6" x14ac:dyDescent="0.3">
      <c r="B964" s="700"/>
      <c r="E964" s="700"/>
      <c r="F964" s="700"/>
    </row>
    <row r="965" spans="2:6" x14ac:dyDescent="0.3">
      <c r="B965" s="700"/>
      <c r="E965" s="700"/>
      <c r="F965" s="700"/>
    </row>
    <row r="966" spans="2:6" x14ac:dyDescent="0.3">
      <c r="B966" s="700"/>
      <c r="E966" s="700"/>
      <c r="F966" s="700"/>
    </row>
    <row r="967" spans="2:6" x14ac:dyDescent="0.3">
      <c r="B967" s="700"/>
      <c r="E967" s="700"/>
      <c r="F967" s="700"/>
    </row>
    <row r="968" spans="2:6" x14ac:dyDescent="0.3">
      <c r="B968" s="700"/>
      <c r="E968" s="700"/>
      <c r="F968" s="700"/>
    </row>
    <row r="969" spans="2:6" x14ac:dyDescent="0.3">
      <c r="B969" s="700"/>
      <c r="E969" s="700"/>
      <c r="F969" s="700"/>
    </row>
    <row r="970" spans="2:6" x14ac:dyDescent="0.3">
      <c r="B970" s="700"/>
      <c r="E970" s="700"/>
      <c r="F970" s="700"/>
    </row>
  </sheetData>
  <mergeCells count="9">
    <mergeCell ref="B84:H84"/>
    <mergeCell ref="R26:U26"/>
    <mergeCell ref="A2:A3"/>
    <mergeCell ref="B2:H2"/>
    <mergeCell ref="R25:U25"/>
    <mergeCell ref="N28:O28"/>
    <mergeCell ref="B62:H62"/>
    <mergeCell ref="B63:H63"/>
    <mergeCell ref="B83:H83"/>
  </mergeCells>
  <printOptions horizontalCentered="1"/>
  <pageMargins left="0.5" right="0.5" top="1" bottom="0.5" header="0.3" footer="0.511811023622047"/>
  <pageSetup paperSize="9" scale="18" orientation="portrait" r:id="rId1"/>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rgb="FFBF9000"/>
    <pageSetUpPr fitToPage="1"/>
  </sheetPr>
  <dimension ref="A1:AG98"/>
  <sheetViews>
    <sheetView topLeftCell="O1" zoomScale="55" zoomScaleNormal="55" workbookViewId="0">
      <selection activeCell="R52" sqref="Q52:R53"/>
    </sheetView>
  </sheetViews>
  <sheetFormatPr defaultColWidth="12.5" defaultRowHeight="14" x14ac:dyDescent="0.3"/>
  <cols>
    <col min="1" max="1" width="16.33203125" style="1" customWidth="1"/>
    <col min="2" max="2" width="30.9140625" customWidth="1"/>
    <col min="3" max="3" width="16.9140625" customWidth="1"/>
    <col min="4" max="4" width="19" customWidth="1"/>
    <col min="5" max="5" width="16.1640625" customWidth="1"/>
    <col min="6" max="6" width="23.08203125" customWidth="1"/>
    <col min="7" max="7" width="25.1640625" customWidth="1"/>
    <col min="8" max="8" width="36.1640625" customWidth="1"/>
    <col min="9" max="9" width="18" customWidth="1"/>
    <col min="12" max="12" width="8.33203125" customWidth="1"/>
    <col min="13" max="13" width="31.83203125" customWidth="1"/>
    <col min="18" max="18" width="32" customWidth="1"/>
    <col min="23" max="23" width="29.4140625" customWidth="1"/>
    <col min="24" max="24" width="31.6640625" customWidth="1"/>
    <col min="28" max="28" width="11" bestFit="1" customWidth="1"/>
  </cols>
  <sheetData>
    <row r="1" spans="1:33" ht="24" customHeight="1" x14ac:dyDescent="0.3">
      <c r="A1" s="79" t="s">
        <v>235</v>
      </c>
      <c r="B1" s="80">
        <v>1000</v>
      </c>
      <c r="C1" s="88" t="s">
        <v>317</v>
      </c>
      <c r="D1" s="89">
        <f>$S$30/J1</f>
        <v>24887.096774193549</v>
      </c>
      <c r="E1" s="90" t="s">
        <v>240</v>
      </c>
      <c r="F1" s="91" t="s">
        <v>396</v>
      </c>
      <c r="G1" s="90" t="s">
        <v>319</v>
      </c>
      <c r="H1" s="304">
        <f>H52</f>
        <v>15.43</v>
      </c>
      <c r="I1" s="92" t="s">
        <v>242</v>
      </c>
      <c r="J1" s="305">
        <v>0.62</v>
      </c>
      <c r="K1" s="99"/>
      <c r="Y1" s="90" t="s">
        <v>463</v>
      </c>
      <c r="Z1" s="835">
        <v>14430</v>
      </c>
      <c r="AA1" s="90" t="s">
        <v>578</v>
      </c>
      <c r="AB1" s="835">
        <v>1000</v>
      </c>
      <c r="AC1" s="90" t="s">
        <v>567</v>
      </c>
      <c r="AD1" s="835">
        <v>101</v>
      </c>
    </row>
    <row r="2" spans="1:33" ht="12.75" customHeight="1" x14ac:dyDescent="0.3">
      <c r="A2" s="264"/>
      <c r="B2" s="1450" t="s">
        <v>397</v>
      </c>
      <c r="C2" s="1458"/>
      <c r="D2" s="1458"/>
      <c r="E2" s="1458"/>
      <c r="F2" s="1458"/>
      <c r="G2" s="1458"/>
      <c r="H2" s="1458"/>
      <c r="I2" s="1458"/>
      <c r="J2" s="1458"/>
      <c r="K2" s="1458"/>
      <c r="L2" s="292"/>
      <c r="M2" s="99"/>
      <c r="N2" s="99"/>
      <c r="AE2" s="1433"/>
      <c r="AF2" s="1458"/>
      <c r="AG2" s="1458"/>
    </row>
    <row r="3" spans="1:33" ht="12.75" customHeight="1" x14ac:dyDescent="0.3">
      <c r="A3" s="264"/>
      <c r="B3" s="1444"/>
      <c r="C3" s="1444"/>
      <c r="D3" s="1444"/>
      <c r="E3" s="1444"/>
      <c r="F3" s="1444"/>
      <c r="G3" s="1444"/>
      <c r="H3" s="1444"/>
      <c r="I3" s="1444"/>
      <c r="J3" s="1444"/>
      <c r="K3" s="1444"/>
      <c r="L3" s="292"/>
      <c r="M3" s="99"/>
      <c r="N3" s="99"/>
      <c r="AE3" s="1458"/>
      <c r="AF3" s="1458"/>
      <c r="AG3" s="1458"/>
    </row>
    <row r="4" spans="1:33" ht="46.5" customHeight="1" x14ac:dyDescent="0.3">
      <c r="A4" s="90" t="s">
        <v>1</v>
      </c>
      <c r="B4" s="90" t="s">
        <v>245</v>
      </c>
      <c r="C4" s="306" t="s">
        <v>321</v>
      </c>
      <c r="D4" s="90" t="s">
        <v>322</v>
      </c>
      <c r="E4" s="107" t="s">
        <v>323</v>
      </c>
      <c r="F4" s="107" t="s">
        <v>324</v>
      </c>
      <c r="G4" s="307" t="s">
        <v>325</v>
      </c>
      <c r="H4" s="108" t="s">
        <v>326</v>
      </c>
      <c r="I4" s="90" t="s">
        <v>250</v>
      </c>
      <c r="J4" s="90" t="s">
        <v>251</v>
      </c>
      <c r="K4" s="90" t="s">
        <v>252</v>
      </c>
      <c r="L4" s="90" t="s">
        <v>253</v>
      </c>
    </row>
    <row r="5" spans="1:33" ht="14.25" customHeight="1" x14ac:dyDescent="0.3">
      <c r="A5" s="265" t="s">
        <v>225</v>
      </c>
      <c r="B5" s="308" t="s">
        <v>224</v>
      </c>
      <c r="C5" s="123" t="s">
        <v>14</v>
      </c>
      <c r="D5" s="267">
        <f>I51/H51</f>
        <v>1612.9032258064517</v>
      </c>
      <c r="E5" s="118">
        <f>I52/D5</f>
        <v>15.43</v>
      </c>
      <c r="F5" s="126">
        <v>1</v>
      </c>
      <c r="G5" s="116">
        <f>D1</f>
        <v>24887.096774193549</v>
      </c>
      <c r="H5" s="405">
        <f>D1</f>
        <v>24887.096774193549</v>
      </c>
      <c r="I5" s="80">
        <f>VLOOKUP(B5,All_Ingredients!$A$1:$F$149,6,FALSE())</f>
        <v>0.86</v>
      </c>
      <c r="J5" s="118">
        <f>VLOOKUP(B5,All_Ingredients!$A$1:$J$149,10,FALSE())</f>
        <v>17.100000000000001</v>
      </c>
      <c r="K5" s="121">
        <f t="shared" ref="K5" si="0">(H5/I5)/1000</f>
        <v>28.93848462115529</v>
      </c>
      <c r="L5" s="121">
        <f t="shared" ref="L5" si="1">K5*J5</f>
        <v>494.84808702175548</v>
      </c>
    </row>
    <row r="6" spans="1:33" ht="14.25" customHeight="1" x14ac:dyDescent="0.3">
      <c r="A6" s="269" t="s">
        <v>95</v>
      </c>
      <c r="B6" s="22" t="s">
        <v>106</v>
      </c>
      <c r="C6" s="123" t="s">
        <v>14</v>
      </c>
      <c r="D6" s="124">
        <v>25</v>
      </c>
      <c r="E6" s="196">
        <f>$H$52</f>
        <v>15.43</v>
      </c>
      <c r="F6" s="126">
        <v>0.7</v>
      </c>
      <c r="G6" s="118">
        <f>D6*E6</f>
        <v>385.75</v>
      </c>
      <c r="H6" s="119">
        <f>G6*F6</f>
        <v>270.02499999999998</v>
      </c>
      <c r="I6" s="80">
        <f>VLOOKUP(B6,All_Ingredients!$A$1:$F$149,6,FALSE())</f>
        <v>1</v>
      </c>
      <c r="J6" s="118">
        <f>VLOOKUP(B6,All_Ingredients!$A$1:$J$149,10,FALSE())</f>
        <v>15</v>
      </c>
      <c r="K6" s="121">
        <f t="shared" ref="K6:K10" si="2">(H6/I6)/1000</f>
        <v>0.27002499999999996</v>
      </c>
      <c r="L6" s="121">
        <f t="shared" ref="L6:L10" si="3">K6*J6</f>
        <v>4.0503749999999989</v>
      </c>
    </row>
    <row r="7" spans="1:33" ht="14.25" customHeight="1" x14ac:dyDescent="0.3">
      <c r="A7" s="269" t="s">
        <v>192</v>
      </c>
      <c r="B7" s="293" t="s">
        <v>731</v>
      </c>
      <c r="C7" s="123" t="s">
        <v>14</v>
      </c>
      <c r="D7" s="124">
        <v>35</v>
      </c>
      <c r="E7" s="196">
        <f>$H$52</f>
        <v>15.43</v>
      </c>
      <c r="F7" s="126">
        <v>0.75</v>
      </c>
      <c r="G7" s="118">
        <f>D7*E7</f>
        <v>540.04999999999995</v>
      </c>
      <c r="H7" s="119">
        <f>G7*F7</f>
        <v>405.03749999999997</v>
      </c>
      <c r="I7" s="80">
        <f>VLOOKUP(B7,All_Ingredients!$A$1:$F$149,6,FALSE())</f>
        <v>1</v>
      </c>
      <c r="J7" s="118">
        <f>VLOOKUP(B7,All_Ingredients!$A$1:$J$149,10,FALSE())</f>
        <v>8.1520833333333336</v>
      </c>
      <c r="K7" s="121">
        <f t="shared" si="2"/>
        <v>0.40503749999999994</v>
      </c>
      <c r="L7" s="121">
        <f t="shared" si="3"/>
        <v>3.3018994531249994</v>
      </c>
    </row>
    <row r="8" spans="1:33" ht="14.25" customHeight="1" x14ac:dyDescent="0.3">
      <c r="A8" s="269" t="s">
        <v>95</v>
      </c>
      <c r="B8" s="22" t="s">
        <v>108</v>
      </c>
      <c r="C8" s="123" t="s">
        <v>14</v>
      </c>
      <c r="D8" s="124">
        <v>20</v>
      </c>
      <c r="E8" s="196">
        <f>$H$52</f>
        <v>15.43</v>
      </c>
      <c r="F8" s="126">
        <v>0.7</v>
      </c>
      <c r="G8" s="118">
        <f>D8*E8</f>
        <v>308.60000000000002</v>
      </c>
      <c r="H8" s="119">
        <f>G8*F8</f>
        <v>216.02</v>
      </c>
      <c r="I8" s="80">
        <f>VLOOKUP(B8,All_Ingredients!$A$1:$F$149,6,FALSE())</f>
        <v>1</v>
      </c>
      <c r="J8" s="118">
        <f>VLOOKUP(B8,All_Ingredients!$A$1:$J$149,10,FALSE())</f>
        <v>8</v>
      </c>
      <c r="K8" s="121">
        <f t="shared" si="2"/>
        <v>0.21602000000000002</v>
      </c>
      <c r="L8" s="121">
        <f t="shared" si="3"/>
        <v>1.7281600000000001</v>
      </c>
    </row>
    <row r="9" spans="1:33" ht="14.25" customHeight="1" x14ac:dyDescent="0.3">
      <c r="A9" s="269" t="s">
        <v>95</v>
      </c>
      <c r="B9" s="322" t="s">
        <v>94</v>
      </c>
      <c r="C9" s="123" t="s">
        <v>14</v>
      </c>
      <c r="D9" s="124">
        <v>15</v>
      </c>
      <c r="E9" s="196">
        <f>$H$52</f>
        <v>15.43</v>
      </c>
      <c r="F9" s="126">
        <v>0.75</v>
      </c>
      <c r="G9" s="118">
        <f>D9*E9</f>
        <v>231.45</v>
      </c>
      <c r="H9" s="119">
        <f>G9*F9</f>
        <v>173.58749999999998</v>
      </c>
      <c r="I9" s="80">
        <f>VLOOKUP(B9,All_Ingredients!$A$1:$F$149,6,FALSE())</f>
        <v>1</v>
      </c>
      <c r="J9" s="118">
        <f>VLOOKUP(B9,All_Ingredients!$A$1:$J$149,10,FALSE())</f>
        <v>0.74</v>
      </c>
      <c r="K9" s="121">
        <f t="shared" si="2"/>
        <v>0.17358749999999998</v>
      </c>
      <c r="L9" s="121">
        <f t="shared" si="3"/>
        <v>0.12845474999999998</v>
      </c>
    </row>
    <row r="10" spans="1:33" x14ac:dyDescent="0.3">
      <c r="A10" s="269" t="s">
        <v>206</v>
      </c>
      <c r="B10" s="322" t="s">
        <v>205</v>
      </c>
      <c r="C10" s="123" t="s">
        <v>161</v>
      </c>
      <c r="D10" s="124">
        <v>1500</v>
      </c>
      <c r="E10" s="196">
        <f>$H$52</f>
        <v>15.43</v>
      </c>
      <c r="F10" s="126">
        <v>1</v>
      </c>
      <c r="G10" s="118">
        <f>D10*E10</f>
        <v>23145</v>
      </c>
      <c r="H10" s="119">
        <f>G10*F10</f>
        <v>23145</v>
      </c>
      <c r="I10" s="80">
        <f>VLOOKUP(B10,All_Ingredients!$A$1:$F$149,6,FALSE())</f>
        <v>1</v>
      </c>
      <c r="J10" s="248">
        <f>VLOOKUP(B10,All_Ingredients!$A$1:$J$149,10,FALSE())</f>
        <v>0</v>
      </c>
      <c r="K10" s="121">
        <f t="shared" si="2"/>
        <v>23.145</v>
      </c>
      <c r="L10" s="121">
        <f t="shared" si="3"/>
        <v>0</v>
      </c>
    </row>
    <row r="11" spans="1:33" ht="14.25" customHeight="1" x14ac:dyDescent="0.3">
      <c r="A11" s="99"/>
      <c r="B11" s="99"/>
      <c r="C11" s="99"/>
      <c r="D11" s="99"/>
      <c r="E11" s="99"/>
      <c r="F11" s="99"/>
      <c r="L11" s="208"/>
    </row>
    <row r="12" spans="1:33" ht="14.25" customHeight="1" x14ac:dyDescent="0.3">
      <c r="A12" s="99"/>
      <c r="B12" s="99"/>
      <c r="C12" s="99"/>
      <c r="D12" s="99"/>
      <c r="E12" s="99"/>
      <c r="F12" s="99"/>
      <c r="L12" s="208"/>
    </row>
    <row r="13" spans="1:33" ht="14.25" customHeight="1" x14ac:dyDescent="0.3">
      <c r="A13" s="99"/>
      <c r="B13" s="99"/>
      <c r="C13" s="99"/>
      <c r="D13" s="99"/>
      <c r="E13" s="99"/>
      <c r="F13" s="99"/>
      <c r="L13" s="208"/>
    </row>
    <row r="14" spans="1:33" ht="14.25" customHeight="1" x14ac:dyDescent="0.3">
      <c r="A14" s="99"/>
      <c r="F14" s="99"/>
      <c r="L14" s="208"/>
    </row>
    <row r="15" spans="1:33" ht="15" customHeight="1" x14ac:dyDescent="0.3">
      <c r="A15" s="99"/>
      <c r="F15" s="99"/>
      <c r="L15" s="208"/>
    </row>
    <row r="16" spans="1:33" ht="14.25" customHeight="1" x14ac:dyDescent="0.3">
      <c r="A16" s="99"/>
      <c r="F16" s="99"/>
    </row>
    <row r="17" spans="1:29" ht="14.25" customHeight="1" x14ac:dyDescent="0.3">
      <c r="A17" s="99"/>
      <c r="F17" s="99"/>
    </row>
    <row r="18" spans="1:29" ht="14.25" customHeight="1" x14ac:dyDescent="0.3">
      <c r="A18" s="99"/>
      <c r="F18" s="99"/>
    </row>
    <row r="19" spans="1:29" ht="14.25" customHeight="1" x14ac:dyDescent="0.3">
      <c r="A19" s="99"/>
      <c r="F19" s="99"/>
    </row>
    <row r="20" spans="1:29" ht="14.25" customHeight="1" x14ac:dyDescent="0.3">
      <c r="F20" s="99"/>
    </row>
    <row r="21" spans="1:29" ht="14.25" customHeight="1" x14ac:dyDescent="0.3">
      <c r="B21" s="99"/>
      <c r="E21" s="99"/>
      <c r="F21" s="99"/>
    </row>
    <row r="22" spans="1:29" ht="14.25" customHeight="1" x14ac:dyDescent="0.3">
      <c r="B22" s="99"/>
      <c r="E22" s="99"/>
      <c r="F22" s="99"/>
    </row>
    <row r="23" spans="1:29" ht="14.25" customHeight="1" x14ac:dyDescent="0.3">
      <c r="B23" s="99"/>
      <c r="E23" s="99"/>
      <c r="F23" s="99"/>
    </row>
    <row r="24" spans="1:29" ht="14.25" customHeight="1" x14ac:dyDescent="0.3">
      <c r="B24" s="99"/>
      <c r="E24" s="99"/>
      <c r="F24" s="99"/>
      <c r="Z24" s="1265"/>
    </row>
    <row r="25" spans="1:29" ht="15.75" customHeight="1" x14ac:dyDescent="0.35">
      <c r="B25" s="99"/>
      <c r="D25" s="690"/>
      <c r="E25" s="99"/>
      <c r="F25" s="99"/>
      <c r="R25" s="1440" t="str">
        <f>B2</f>
        <v>Chicken Saleeq - دجاج سليق</v>
      </c>
      <c r="S25" s="1444"/>
      <c r="T25" s="1444"/>
      <c r="Z25" s="140" t="s">
        <v>256</v>
      </c>
      <c r="AA25" s="141">
        <v>1</v>
      </c>
      <c r="AB25" s="140" t="s">
        <v>253</v>
      </c>
      <c r="AC25" s="142">
        <f>AC30*AA25</f>
        <v>3.2667334816907354E-2</v>
      </c>
    </row>
    <row r="26" spans="1:29" ht="27.75" customHeight="1" x14ac:dyDescent="0.3">
      <c r="B26" s="99"/>
      <c r="E26" s="99"/>
      <c r="F26" s="99"/>
      <c r="R26" s="1445" t="s">
        <v>328</v>
      </c>
      <c r="S26" s="1446"/>
      <c r="T26" s="1446"/>
      <c r="AB26" s="14"/>
      <c r="AC26" s="14"/>
    </row>
    <row r="27" spans="1:29" ht="14.25" customHeight="1" thickBot="1" x14ac:dyDescent="0.35">
      <c r="B27" s="99"/>
      <c r="E27" s="99"/>
      <c r="F27" s="99"/>
      <c r="R27" s="144" t="s">
        <v>258</v>
      </c>
      <c r="S27" s="145" t="s">
        <v>259</v>
      </c>
      <c r="T27" s="145" t="s">
        <v>261</v>
      </c>
      <c r="U27" s="145" t="s">
        <v>817</v>
      </c>
      <c r="Z27" s="140" t="s">
        <v>262</v>
      </c>
      <c r="AA27" s="146" t="s">
        <v>263</v>
      </c>
      <c r="AB27" s="1167" t="s">
        <v>817</v>
      </c>
      <c r="AC27" s="146" t="s">
        <v>266</v>
      </c>
    </row>
    <row r="28" spans="1:29" ht="14.25" customHeight="1" thickBot="1" x14ac:dyDescent="0.35">
      <c r="B28" s="99"/>
      <c r="E28" s="99"/>
      <c r="F28" s="99"/>
      <c r="R28" s="147" t="s">
        <v>329</v>
      </c>
      <c r="S28" s="760">
        <f>$Z$1</f>
        <v>14430</v>
      </c>
      <c r="T28" s="754">
        <f>S28</f>
        <v>14430</v>
      </c>
      <c r="U28" s="754">
        <f>SUM(G21)</f>
        <v>0</v>
      </c>
      <c r="Z28" s="150"/>
      <c r="AA28" s="151">
        <f>AA25</f>
        <v>1</v>
      </c>
      <c r="AB28" s="1169"/>
      <c r="AC28" s="153">
        <f>SUM(AA28:AB28)</f>
        <v>1</v>
      </c>
    </row>
    <row r="29" spans="1:29" ht="14.25" customHeight="1" thickBot="1" x14ac:dyDescent="0.35">
      <c r="B29" s="99"/>
      <c r="E29" s="99"/>
      <c r="F29" s="99"/>
      <c r="R29" s="147" t="s">
        <v>330</v>
      </c>
      <c r="S29" s="782">
        <f>$AB$1</f>
        <v>1000</v>
      </c>
      <c r="T29" s="756">
        <f>S29</f>
        <v>1000</v>
      </c>
      <c r="U29" s="756"/>
      <c r="Z29" s="150"/>
      <c r="AA29" s="155">
        <v>1</v>
      </c>
      <c r="AB29" s="1173"/>
      <c r="AC29" s="155">
        <f>AC28/$AC$28</f>
        <v>1</v>
      </c>
    </row>
    <row r="30" spans="1:29" ht="14.25" customHeight="1" thickBot="1" x14ac:dyDescent="0.35">
      <c r="B30" s="99"/>
      <c r="E30" s="99"/>
      <c r="F30" s="99"/>
      <c r="R30" s="159" t="s">
        <v>331</v>
      </c>
      <c r="S30" s="148">
        <f>S28+S29</f>
        <v>15430</v>
      </c>
      <c r="T30" s="148">
        <f>T28+T29</f>
        <v>15430</v>
      </c>
      <c r="U30" s="148">
        <f>U28+U29</f>
        <v>0</v>
      </c>
      <c r="Z30" s="140" t="s">
        <v>270</v>
      </c>
      <c r="AA30" s="156">
        <f>S33/(S30)</f>
        <v>3.2667334816907354E-2</v>
      </c>
      <c r="AB30" s="1180">
        <f>U33/T30</f>
        <v>0</v>
      </c>
      <c r="AC30" s="1182">
        <f>SUMPRODUCT(AA30,AA29)+AB30</f>
        <v>3.2667334816907354E-2</v>
      </c>
    </row>
    <row r="31" spans="1:29" ht="14.25" customHeight="1" thickBot="1" x14ac:dyDescent="0.35">
      <c r="B31" s="99"/>
      <c r="E31" s="99"/>
      <c r="F31" s="99"/>
      <c r="R31" s="160" t="s">
        <v>272</v>
      </c>
      <c r="S31" s="154"/>
      <c r="T31" s="154"/>
      <c r="U31" s="154"/>
    </row>
    <row r="32" spans="1:29" ht="14.25" customHeight="1" thickBot="1" x14ac:dyDescent="0.35">
      <c r="R32" s="161" t="s">
        <v>273</v>
      </c>
      <c r="S32" s="154"/>
      <c r="T32" s="154"/>
      <c r="U32" s="154"/>
    </row>
    <row r="33" spans="17:24" ht="14.25" customHeight="1" thickBot="1" x14ac:dyDescent="0.35">
      <c r="R33" s="162" t="s">
        <v>253</v>
      </c>
      <c r="S33" s="163">
        <f>SUM(L5:L10)</f>
        <v>504.05697622488043</v>
      </c>
      <c r="T33" s="163">
        <f>S33</f>
        <v>504.05697622488043</v>
      </c>
      <c r="U33" s="163">
        <f>SUM(L37)</f>
        <v>0</v>
      </c>
    </row>
    <row r="40" spans="17:24" ht="14.25" customHeight="1" x14ac:dyDescent="0.3">
      <c r="Q40" s="14"/>
      <c r="R40" s="164" t="s">
        <v>332</v>
      </c>
      <c r="S40" s="238">
        <v>1</v>
      </c>
      <c r="X40" s="14"/>
    </row>
    <row r="41" spans="17:24" ht="14.25" customHeight="1" x14ac:dyDescent="0.3">
      <c r="Q41" s="14"/>
      <c r="R41" s="14"/>
      <c r="S41" s="14"/>
      <c r="T41" s="14"/>
      <c r="U41" s="168"/>
      <c r="V41" s="14"/>
      <c r="W41" s="14"/>
      <c r="X41" s="14"/>
    </row>
    <row r="42" spans="17:24" ht="14.25" customHeight="1" x14ac:dyDescent="0.3">
      <c r="Q42" s="14"/>
      <c r="R42" s="14"/>
      <c r="S42" s="14"/>
      <c r="T42" s="14"/>
      <c r="U42" s="14"/>
      <c r="V42" s="14"/>
      <c r="W42" s="14"/>
      <c r="X42" s="14"/>
    </row>
    <row r="43" spans="17:24" ht="14.25" customHeight="1" x14ac:dyDescent="0.3">
      <c r="Q43" s="169" t="s">
        <v>276</v>
      </c>
      <c r="R43" s="169" t="s">
        <v>277</v>
      </c>
      <c r="S43" s="169" t="s">
        <v>278</v>
      </c>
      <c r="T43" s="169" t="s">
        <v>279</v>
      </c>
      <c r="U43" s="169" t="s">
        <v>280</v>
      </c>
      <c r="V43" s="169" t="s">
        <v>281</v>
      </c>
      <c r="W43" s="257" t="s">
        <v>333</v>
      </c>
      <c r="X43" s="320"/>
    </row>
    <row r="44" spans="17:24" ht="14.25" customHeight="1" x14ac:dyDescent="0.3">
      <c r="Q44" s="171">
        <v>10000</v>
      </c>
      <c r="R44" s="172">
        <v>0</v>
      </c>
      <c r="S44" s="240">
        <v>0</v>
      </c>
      <c r="T44" s="240">
        <v>0</v>
      </c>
      <c r="U44" s="241">
        <f>R44*S44</f>
        <v>0</v>
      </c>
      <c r="V44" s="175">
        <f>R44*T44</f>
        <v>0</v>
      </c>
      <c r="W44" s="259">
        <f>Q44-U44</f>
        <v>10000</v>
      </c>
      <c r="X44" s="297"/>
    </row>
    <row r="50" spans="1:10" ht="14.5" thickBot="1" x14ac:dyDescent="0.35">
      <c r="G50" s="145" t="s">
        <v>284</v>
      </c>
      <c r="H50" s="145" t="s">
        <v>237</v>
      </c>
      <c r="I50" s="145" t="s">
        <v>285</v>
      </c>
      <c r="J50" s="145" t="s">
        <v>286</v>
      </c>
    </row>
    <row r="51" spans="1:10" ht="14.5" thickBot="1" x14ac:dyDescent="0.35">
      <c r="G51" s="309" t="s">
        <v>327</v>
      </c>
      <c r="H51" s="310">
        <v>10</v>
      </c>
      <c r="I51" s="310">
        <f>J51/J1</f>
        <v>16129.032258064517</v>
      </c>
      <c r="J51" s="311">
        <f>$W$44</f>
        <v>10000</v>
      </c>
    </row>
    <row r="52" spans="1:10" x14ac:dyDescent="0.3">
      <c r="G52" s="161" t="s">
        <v>266</v>
      </c>
      <c r="H52" s="312">
        <f>E5</f>
        <v>15.43</v>
      </c>
      <c r="I52" s="313">
        <f>J52/$J$1</f>
        <v>24887.096774193549</v>
      </c>
      <c r="J52" s="314">
        <f>$S$30</f>
        <v>15430</v>
      </c>
    </row>
    <row r="53" spans="1:10" x14ac:dyDescent="0.3">
      <c r="D53" s="489"/>
      <c r="G53" s="147" t="s">
        <v>288</v>
      </c>
      <c r="H53" s="315">
        <f>MIN($H$52, H51)</f>
        <v>10</v>
      </c>
      <c r="I53" s="175">
        <f>J53/$J$1</f>
        <v>16129.032258064517</v>
      </c>
      <c r="J53" s="316">
        <f>MIN(MAX($J$52,0),$J$51)</f>
        <v>10000</v>
      </c>
    </row>
    <row r="54" spans="1:10" x14ac:dyDescent="0.3">
      <c r="D54" s="489"/>
      <c r="G54" s="147" t="s">
        <v>289</v>
      </c>
      <c r="H54" s="315">
        <f>MIN(MAX($H$52-H53,0),H51)</f>
        <v>5.43</v>
      </c>
      <c r="I54" s="175">
        <f>J54/$J$1</f>
        <v>8758.0645161290322</v>
      </c>
      <c r="J54" s="183">
        <f>MIN(MAX($J$52-J53,0),$J$51)</f>
        <v>5430</v>
      </c>
    </row>
    <row r="55" spans="1:10" x14ac:dyDescent="0.3">
      <c r="D55" s="489"/>
      <c r="G55" s="144" t="s">
        <v>290</v>
      </c>
      <c r="H55" s="315">
        <f>MIN(MAX($H$52-H53-H54,0),H51)</f>
        <v>0</v>
      </c>
      <c r="I55" s="175">
        <f>J55/$J$1</f>
        <v>0</v>
      </c>
      <c r="J55" s="316">
        <f>MIN(MAX($J$52-J53-J54,0),$J$51)</f>
        <v>0</v>
      </c>
    </row>
    <row r="56" spans="1:10" x14ac:dyDescent="0.3">
      <c r="G56" s="144" t="s">
        <v>297</v>
      </c>
      <c r="H56" s="315">
        <f>MIN(MAX($H$52-H53-H54-H55,0),H52)</f>
        <v>0</v>
      </c>
      <c r="I56" s="175">
        <f>J56/$J$1</f>
        <v>0</v>
      </c>
      <c r="J56" s="316">
        <f>MIN(MAX($J$52-J53-J54-J55,0),$J$51)</f>
        <v>0</v>
      </c>
    </row>
    <row r="62" spans="1:10" ht="17.75" customHeight="1" x14ac:dyDescent="0.3">
      <c r="A62" s="321"/>
      <c r="B62" s="1447" t="str">
        <f>"دجاج سليق 1 / " &amp; COUNTIF($H$53:$H$55, "&gt;0")</f>
        <v>دجاج سليق 1 / 2</v>
      </c>
      <c r="C62" s="1456"/>
      <c r="D62" s="1456"/>
      <c r="E62" s="1456"/>
      <c r="F62" s="1456"/>
      <c r="G62" s="1456"/>
      <c r="H62" s="1456"/>
    </row>
    <row r="63" spans="1:10" ht="17.75" customHeight="1" x14ac:dyDescent="0.3">
      <c r="A63" s="321"/>
      <c r="B63" s="1447" t="str">
        <f>"Chicken Saleeq 1 / " &amp; COUNTIF($H$53:$H$55, "&gt;0")</f>
        <v>Chicken Saleeq 1 / 2</v>
      </c>
      <c r="C63" s="1456"/>
      <c r="D63" s="1456"/>
      <c r="E63" s="1456"/>
      <c r="F63" s="1456"/>
      <c r="G63" s="1456"/>
      <c r="H63" s="1456"/>
    </row>
    <row r="64" spans="1:10" ht="46.5" customHeight="1" x14ac:dyDescent="0.3">
      <c r="A64" s="90"/>
      <c r="B64" s="90" t="s">
        <v>245</v>
      </c>
      <c r="C64" s="306" t="s">
        <v>321</v>
      </c>
      <c r="D64" s="90" t="s">
        <v>322</v>
      </c>
      <c r="E64" s="107" t="s">
        <v>323</v>
      </c>
      <c r="F64" s="107" t="s">
        <v>324</v>
      </c>
      <c r="G64" s="307" t="s">
        <v>325</v>
      </c>
      <c r="H64" s="108" t="s">
        <v>326</v>
      </c>
    </row>
    <row r="65" spans="1:8" ht="14.25" customHeight="1" x14ac:dyDescent="0.3">
      <c r="A65" s="218" t="s">
        <v>225</v>
      </c>
      <c r="B65" s="322" t="str">
        <f t="shared" ref="B65:D70" si="4">B5</f>
        <v>Chicken - دجاج</v>
      </c>
      <c r="C65" s="322" t="str">
        <f t="shared" si="4"/>
        <v>gm</v>
      </c>
      <c r="D65" s="323">
        <f t="shared" si="4"/>
        <v>1612.9032258064517</v>
      </c>
      <c r="E65" s="196">
        <f t="shared" ref="E65:E70" si="5">$H$53</f>
        <v>10</v>
      </c>
      <c r="F65" s="126">
        <f t="shared" ref="F65:F70" si="6">F5</f>
        <v>1</v>
      </c>
      <c r="G65" s="118">
        <f t="shared" ref="G65:G70" si="7">D65*E65</f>
        <v>16129.032258064517</v>
      </c>
      <c r="H65" s="119">
        <f t="shared" ref="H65:H70" si="8">G65*F65</f>
        <v>16129.032258064517</v>
      </c>
    </row>
    <row r="66" spans="1:8" ht="14.25" customHeight="1" x14ac:dyDescent="0.3">
      <c r="A66" s="269" t="s">
        <v>95</v>
      </c>
      <c r="B66" s="322" t="str">
        <f t="shared" si="4"/>
        <v>Cumin Powder - كمون مطحون</v>
      </c>
      <c r="C66" s="322" t="str">
        <f t="shared" si="4"/>
        <v>gm</v>
      </c>
      <c r="D66" s="322">
        <f t="shared" si="4"/>
        <v>25</v>
      </c>
      <c r="E66" s="196">
        <f t="shared" si="5"/>
        <v>10</v>
      </c>
      <c r="F66" s="126">
        <f t="shared" si="6"/>
        <v>0.7</v>
      </c>
      <c r="G66" s="80">
        <f t="shared" si="7"/>
        <v>250</v>
      </c>
      <c r="H66" s="119">
        <f t="shared" si="8"/>
        <v>175</v>
      </c>
    </row>
    <row r="67" spans="1:8" ht="14.25" customHeight="1" x14ac:dyDescent="0.3">
      <c r="A67" s="269" t="s">
        <v>192</v>
      </c>
      <c r="B67" s="322" t="str">
        <f t="shared" si="4"/>
        <v>Tomato Paste - صلصة طماطم</v>
      </c>
      <c r="C67" s="322" t="str">
        <f t="shared" si="4"/>
        <v>gm</v>
      </c>
      <c r="D67" s="322">
        <f t="shared" si="4"/>
        <v>35</v>
      </c>
      <c r="E67" s="196">
        <f t="shared" si="5"/>
        <v>10</v>
      </c>
      <c r="F67" s="126">
        <f t="shared" si="6"/>
        <v>0.75</v>
      </c>
      <c r="G67" s="80">
        <f t="shared" si="7"/>
        <v>350</v>
      </c>
      <c r="H67" s="119">
        <f t="shared" si="8"/>
        <v>262.5</v>
      </c>
    </row>
    <row r="68" spans="1:8" ht="14.25" customHeight="1" x14ac:dyDescent="0.3">
      <c r="A68" s="269" t="s">
        <v>95</v>
      </c>
      <c r="B68" s="322" t="str">
        <f t="shared" si="4"/>
        <v>Coriander Powder - كزبرة مطحونة</v>
      </c>
      <c r="C68" s="322" t="str">
        <f t="shared" si="4"/>
        <v>gm</v>
      </c>
      <c r="D68" s="322">
        <f t="shared" si="4"/>
        <v>20</v>
      </c>
      <c r="E68" s="196">
        <f t="shared" si="5"/>
        <v>10</v>
      </c>
      <c r="F68" s="126">
        <f t="shared" si="6"/>
        <v>0.7</v>
      </c>
      <c r="G68" s="80">
        <f t="shared" si="7"/>
        <v>200</v>
      </c>
      <c r="H68" s="119">
        <f t="shared" si="8"/>
        <v>140</v>
      </c>
    </row>
    <row r="69" spans="1:8" ht="14.25" customHeight="1" x14ac:dyDescent="0.3">
      <c r="A69" s="269" t="s">
        <v>95</v>
      </c>
      <c r="B69" s="322" t="str">
        <f t="shared" si="4"/>
        <v>Salt - ملح</v>
      </c>
      <c r="C69" s="322" t="str">
        <f t="shared" si="4"/>
        <v>gm</v>
      </c>
      <c r="D69" s="322">
        <f t="shared" si="4"/>
        <v>15</v>
      </c>
      <c r="E69" s="196">
        <f t="shared" si="5"/>
        <v>10</v>
      </c>
      <c r="F69" s="126">
        <f t="shared" si="6"/>
        <v>0.75</v>
      </c>
      <c r="G69" s="80">
        <f t="shared" si="7"/>
        <v>150</v>
      </c>
      <c r="H69" s="119">
        <f t="shared" si="8"/>
        <v>112.5</v>
      </c>
    </row>
    <row r="70" spans="1:8" ht="14.25" customHeight="1" x14ac:dyDescent="0.3">
      <c r="A70" s="269" t="s">
        <v>206</v>
      </c>
      <c r="B70" s="322" t="str">
        <f t="shared" si="4"/>
        <v>Water - ماء</v>
      </c>
      <c r="C70" s="322" t="str">
        <f t="shared" si="4"/>
        <v>ml</v>
      </c>
      <c r="D70" s="322">
        <f t="shared" si="4"/>
        <v>1500</v>
      </c>
      <c r="E70" s="196">
        <f t="shared" si="5"/>
        <v>10</v>
      </c>
      <c r="F70" s="126">
        <f t="shared" si="6"/>
        <v>1</v>
      </c>
      <c r="G70" s="80">
        <f t="shared" si="7"/>
        <v>15000</v>
      </c>
      <c r="H70" s="119">
        <f t="shared" si="8"/>
        <v>15000</v>
      </c>
    </row>
    <row r="71" spans="1:8" ht="20.25" customHeight="1" x14ac:dyDescent="0.3">
      <c r="A71" s="210"/>
      <c r="B71" s="197" t="s">
        <v>291</v>
      </c>
      <c r="C71" s="199" t="s">
        <v>277</v>
      </c>
      <c r="D71" s="14"/>
      <c r="E71" s="199" t="s">
        <v>292</v>
      </c>
      <c r="F71" s="14"/>
      <c r="G71" s="878" t="s">
        <v>268</v>
      </c>
      <c r="H71" s="878" t="s">
        <v>703</v>
      </c>
    </row>
    <row r="72" spans="1:8" ht="23" customHeight="1" x14ac:dyDescent="0.4">
      <c r="A72" s="210"/>
      <c r="B72" s="198">
        <f>$J$53</f>
        <v>10000</v>
      </c>
      <c r="C72" s="200">
        <f>E72+G72</f>
        <v>0</v>
      </c>
      <c r="D72" s="208"/>
      <c r="E72" s="200">
        <f>$C$53*$S$44</f>
        <v>0</v>
      </c>
      <c r="F72" s="99"/>
      <c r="G72" s="201">
        <f>$C$53*$T$44</f>
        <v>0</v>
      </c>
      <c r="H72" s="201">
        <f>B72+E72</f>
        <v>10000</v>
      </c>
    </row>
    <row r="73" spans="1:8" ht="14.25" customHeight="1" x14ac:dyDescent="0.3">
      <c r="B73" s="99"/>
      <c r="E73" s="99"/>
      <c r="F73" s="99"/>
    </row>
    <row r="74" spans="1:8" ht="17.75" customHeight="1" x14ac:dyDescent="0.3">
      <c r="A74" s="321"/>
      <c r="B74" s="1447" t="str">
        <f>"دجاج سليق 2 / " &amp; COUNTIF($H$53:$H$55, "&gt;0")</f>
        <v>دجاج سليق 2 / 2</v>
      </c>
      <c r="C74" s="1456"/>
      <c r="D74" s="1456"/>
      <c r="E74" s="1456"/>
      <c r="F74" s="1456"/>
      <c r="G74" s="1456"/>
      <c r="H74" s="1456"/>
    </row>
    <row r="75" spans="1:8" ht="17.75" customHeight="1" x14ac:dyDescent="0.3">
      <c r="A75" s="321"/>
      <c r="B75" s="1447" t="str">
        <f>"Chicken Saleeq 2 / " &amp; COUNTIF($H$53:$H$55, "&gt;0")</f>
        <v>Chicken Saleeq 2 / 2</v>
      </c>
      <c r="C75" s="1456"/>
      <c r="D75" s="1456"/>
      <c r="E75" s="1456"/>
      <c r="F75" s="1456"/>
      <c r="G75" s="1456"/>
      <c r="H75" s="1456"/>
    </row>
    <row r="76" spans="1:8" ht="46.5" customHeight="1" x14ac:dyDescent="0.3">
      <c r="A76" s="90"/>
      <c r="B76" s="90" t="s">
        <v>245</v>
      </c>
      <c r="C76" s="306" t="s">
        <v>321</v>
      </c>
      <c r="D76" s="90" t="s">
        <v>322</v>
      </c>
      <c r="E76" s="107" t="s">
        <v>323</v>
      </c>
      <c r="F76" s="107" t="s">
        <v>324</v>
      </c>
      <c r="G76" s="307" t="s">
        <v>325</v>
      </c>
      <c r="H76" s="108" t="s">
        <v>326</v>
      </c>
    </row>
    <row r="77" spans="1:8" ht="14.25" customHeight="1" x14ac:dyDescent="0.3">
      <c r="A77" s="218" t="s">
        <v>225</v>
      </c>
      <c r="B77" s="322" t="str">
        <f t="shared" ref="B77:D82" si="9">B5</f>
        <v>Chicken - دجاج</v>
      </c>
      <c r="C77" s="322" t="str">
        <f t="shared" si="9"/>
        <v>gm</v>
      </c>
      <c r="D77" s="118">
        <f t="shared" si="9"/>
        <v>1612.9032258064517</v>
      </c>
      <c r="E77" s="196">
        <f t="shared" ref="E77:E82" si="10">$H$54</f>
        <v>5.43</v>
      </c>
      <c r="F77" s="126">
        <f t="shared" ref="F77:F82" si="11">F5</f>
        <v>1</v>
      </c>
      <c r="G77" s="118">
        <f t="shared" ref="G77:G82" si="12">D77*E77</f>
        <v>8758.0645161290322</v>
      </c>
      <c r="H77" s="119">
        <f t="shared" ref="H77:H82" si="13">G77*F77</f>
        <v>8758.0645161290322</v>
      </c>
    </row>
    <row r="78" spans="1:8" ht="14.25" customHeight="1" x14ac:dyDescent="0.3">
      <c r="A78" s="269" t="s">
        <v>95</v>
      </c>
      <c r="B78" s="322" t="str">
        <f t="shared" si="9"/>
        <v>Cumin Powder - كمون مطحون</v>
      </c>
      <c r="C78" s="322" t="str">
        <f t="shared" si="9"/>
        <v>gm</v>
      </c>
      <c r="D78" s="322">
        <f t="shared" si="9"/>
        <v>25</v>
      </c>
      <c r="E78" s="196">
        <f t="shared" si="10"/>
        <v>5.43</v>
      </c>
      <c r="F78" s="126">
        <f t="shared" si="11"/>
        <v>0.7</v>
      </c>
      <c r="G78" s="118">
        <f t="shared" si="12"/>
        <v>135.75</v>
      </c>
      <c r="H78" s="119">
        <f t="shared" si="13"/>
        <v>95.024999999999991</v>
      </c>
    </row>
    <row r="79" spans="1:8" ht="14.25" customHeight="1" x14ac:dyDescent="0.3">
      <c r="A79" s="269" t="s">
        <v>192</v>
      </c>
      <c r="B79" s="322" t="str">
        <f t="shared" si="9"/>
        <v>Tomato Paste - صلصة طماطم</v>
      </c>
      <c r="C79" s="322" t="str">
        <f t="shared" si="9"/>
        <v>gm</v>
      </c>
      <c r="D79" s="322">
        <f t="shared" si="9"/>
        <v>35</v>
      </c>
      <c r="E79" s="196">
        <f t="shared" si="10"/>
        <v>5.43</v>
      </c>
      <c r="F79" s="126">
        <f t="shared" si="11"/>
        <v>0.75</v>
      </c>
      <c r="G79" s="118">
        <f t="shared" si="12"/>
        <v>190.04999999999998</v>
      </c>
      <c r="H79" s="119">
        <f t="shared" si="13"/>
        <v>142.53749999999999</v>
      </c>
    </row>
    <row r="80" spans="1:8" ht="14.25" customHeight="1" x14ac:dyDescent="0.3">
      <c r="A80" s="269" t="s">
        <v>95</v>
      </c>
      <c r="B80" s="322" t="str">
        <f t="shared" si="9"/>
        <v>Coriander Powder - كزبرة مطحونة</v>
      </c>
      <c r="C80" s="322" t="str">
        <f t="shared" si="9"/>
        <v>gm</v>
      </c>
      <c r="D80" s="322">
        <f t="shared" si="9"/>
        <v>20</v>
      </c>
      <c r="E80" s="196">
        <f t="shared" si="10"/>
        <v>5.43</v>
      </c>
      <c r="F80" s="126">
        <f t="shared" si="11"/>
        <v>0.7</v>
      </c>
      <c r="G80" s="118">
        <f t="shared" si="12"/>
        <v>108.6</v>
      </c>
      <c r="H80" s="119">
        <f t="shared" si="13"/>
        <v>76.02</v>
      </c>
    </row>
    <row r="81" spans="1:8" ht="14.25" customHeight="1" x14ac:dyDescent="0.3">
      <c r="A81" s="269" t="s">
        <v>95</v>
      </c>
      <c r="B81" s="322" t="str">
        <f t="shared" si="9"/>
        <v>Salt - ملح</v>
      </c>
      <c r="C81" s="322" t="str">
        <f t="shared" si="9"/>
        <v>gm</v>
      </c>
      <c r="D81" s="322">
        <f t="shared" si="9"/>
        <v>15</v>
      </c>
      <c r="E81" s="196">
        <f t="shared" si="10"/>
        <v>5.43</v>
      </c>
      <c r="F81" s="126">
        <f t="shared" si="11"/>
        <v>0.75</v>
      </c>
      <c r="G81" s="118">
        <f t="shared" si="12"/>
        <v>81.449999999999989</v>
      </c>
      <c r="H81" s="119">
        <f t="shared" si="13"/>
        <v>61.087499999999991</v>
      </c>
    </row>
    <row r="82" spans="1:8" ht="14.25" customHeight="1" x14ac:dyDescent="0.3">
      <c r="A82" s="269" t="s">
        <v>206</v>
      </c>
      <c r="B82" s="322" t="str">
        <f t="shared" si="9"/>
        <v>Water - ماء</v>
      </c>
      <c r="C82" s="322" t="str">
        <f t="shared" si="9"/>
        <v>ml</v>
      </c>
      <c r="D82" s="322">
        <f t="shared" si="9"/>
        <v>1500</v>
      </c>
      <c r="E82" s="196">
        <f t="shared" si="10"/>
        <v>5.43</v>
      </c>
      <c r="F82" s="126">
        <f t="shared" si="11"/>
        <v>1</v>
      </c>
      <c r="G82" s="118">
        <f t="shared" si="12"/>
        <v>8145</v>
      </c>
      <c r="H82" s="119">
        <f t="shared" si="13"/>
        <v>8145</v>
      </c>
    </row>
    <row r="83" spans="1:8" ht="20.25" customHeight="1" x14ac:dyDescent="0.3">
      <c r="A83" s="210"/>
      <c r="B83" s="197" t="s">
        <v>291</v>
      </c>
      <c r="C83" s="199" t="s">
        <v>277</v>
      </c>
      <c r="D83" s="14"/>
      <c r="E83" s="199" t="s">
        <v>292</v>
      </c>
      <c r="F83" s="14"/>
      <c r="G83" s="878" t="s">
        <v>268</v>
      </c>
      <c r="H83" s="878" t="s">
        <v>703</v>
      </c>
    </row>
    <row r="84" spans="1:8" ht="22.25" customHeight="1" x14ac:dyDescent="0.4">
      <c r="A84" s="210"/>
      <c r="B84" s="198">
        <f>$J$54</f>
        <v>5430</v>
      </c>
      <c r="C84" s="200">
        <f>E84+G84</f>
        <v>0</v>
      </c>
      <c r="D84" s="208"/>
      <c r="E84" s="200">
        <f>$C$54*$S$44</f>
        <v>0</v>
      </c>
      <c r="F84" s="99"/>
      <c r="G84" s="201">
        <f>$C$54*$T$44</f>
        <v>0</v>
      </c>
      <c r="H84" s="201">
        <f>B84+E84</f>
        <v>5430</v>
      </c>
    </row>
    <row r="88" spans="1:8" ht="17.75" customHeight="1" x14ac:dyDescent="0.3">
      <c r="A88" s="321"/>
      <c r="B88" s="1447" t="str">
        <f>"دجاج سليق 3 / " &amp; COUNTIF($H$53:$H$55, "&gt;0")</f>
        <v>دجاج سليق 3 / 2</v>
      </c>
      <c r="C88" s="1456"/>
      <c r="D88" s="1456"/>
      <c r="E88" s="1456"/>
      <c r="F88" s="1456"/>
      <c r="G88" s="1456"/>
      <c r="H88" s="1456"/>
    </row>
    <row r="89" spans="1:8" ht="17.75" customHeight="1" x14ac:dyDescent="0.3">
      <c r="A89" s="406"/>
      <c r="B89" s="1447" t="str">
        <f>"Chicken Saleeq 3 / " &amp; COUNTIF($H$53:$H$55, "&gt;0")</f>
        <v>Chicken Saleeq 3 / 2</v>
      </c>
      <c r="C89" s="1456"/>
      <c r="D89" s="1456"/>
      <c r="E89" s="1456"/>
      <c r="F89" s="1456"/>
      <c r="G89" s="1456"/>
      <c r="H89" s="1456"/>
    </row>
    <row r="90" spans="1:8" ht="46.5" customHeight="1" x14ac:dyDescent="0.3">
      <c r="A90" s="90"/>
      <c r="B90" s="90" t="s">
        <v>245</v>
      </c>
      <c r="C90" s="306" t="s">
        <v>321</v>
      </c>
      <c r="D90" s="90" t="s">
        <v>322</v>
      </c>
      <c r="E90" s="107" t="s">
        <v>323</v>
      </c>
      <c r="F90" s="107" t="s">
        <v>324</v>
      </c>
      <c r="G90" s="307" t="s">
        <v>325</v>
      </c>
      <c r="H90" s="108" t="s">
        <v>326</v>
      </c>
    </row>
    <row r="91" spans="1:8" ht="14.25" customHeight="1" x14ac:dyDescent="0.3">
      <c r="A91" s="218" t="s">
        <v>225</v>
      </c>
      <c r="B91" s="218" t="str">
        <f t="shared" ref="B91:D96" si="14">B5</f>
        <v>Chicken - دجاج</v>
      </c>
      <c r="C91" s="218" t="str">
        <f t="shared" si="14"/>
        <v>gm</v>
      </c>
      <c r="D91" s="118">
        <f t="shared" si="14"/>
        <v>1612.9032258064517</v>
      </c>
      <c r="E91" s="196">
        <f t="shared" ref="E91:E96" si="15">$H$55</f>
        <v>0</v>
      </c>
      <c r="F91" s="324">
        <f t="shared" ref="F91:F96" si="16">F5</f>
        <v>1</v>
      </c>
      <c r="G91" s="118">
        <f t="shared" ref="G91:G96" si="17">D91*E91</f>
        <v>0</v>
      </c>
      <c r="H91" s="119">
        <f t="shared" ref="H91:H96" si="18">G91*F91</f>
        <v>0</v>
      </c>
    </row>
    <row r="92" spans="1:8" ht="14.25" customHeight="1" x14ac:dyDescent="0.3">
      <c r="A92" s="218" t="s">
        <v>95</v>
      </c>
      <c r="B92" s="218" t="str">
        <f t="shared" si="14"/>
        <v>Cumin Powder - كمون مطحون</v>
      </c>
      <c r="C92" s="218" t="str">
        <f t="shared" si="14"/>
        <v>gm</v>
      </c>
      <c r="D92" s="218">
        <f t="shared" si="14"/>
        <v>25</v>
      </c>
      <c r="E92" s="196">
        <f t="shared" si="15"/>
        <v>0</v>
      </c>
      <c r="F92" s="324">
        <f t="shared" si="16"/>
        <v>0.7</v>
      </c>
      <c r="G92" s="118">
        <f t="shared" si="17"/>
        <v>0</v>
      </c>
      <c r="H92" s="119">
        <f t="shared" si="18"/>
        <v>0</v>
      </c>
    </row>
    <row r="93" spans="1:8" ht="14.25" customHeight="1" x14ac:dyDescent="0.3">
      <c r="A93" s="218" t="s">
        <v>192</v>
      </c>
      <c r="B93" s="218" t="str">
        <f t="shared" si="14"/>
        <v>Tomato Paste - صلصة طماطم</v>
      </c>
      <c r="C93" s="218" t="str">
        <f t="shared" si="14"/>
        <v>gm</v>
      </c>
      <c r="D93" s="218">
        <f t="shared" si="14"/>
        <v>35</v>
      </c>
      <c r="E93" s="196">
        <f t="shared" si="15"/>
        <v>0</v>
      </c>
      <c r="F93" s="324">
        <f t="shared" si="16"/>
        <v>0.75</v>
      </c>
      <c r="G93" s="118">
        <f t="shared" si="17"/>
        <v>0</v>
      </c>
      <c r="H93" s="119">
        <f t="shared" si="18"/>
        <v>0</v>
      </c>
    </row>
    <row r="94" spans="1:8" ht="14.25" customHeight="1" x14ac:dyDescent="0.3">
      <c r="A94" s="218" t="s">
        <v>95</v>
      </c>
      <c r="B94" s="218" t="str">
        <f t="shared" si="14"/>
        <v>Coriander Powder - كزبرة مطحونة</v>
      </c>
      <c r="C94" s="218" t="str">
        <f t="shared" si="14"/>
        <v>gm</v>
      </c>
      <c r="D94" s="218">
        <f t="shared" si="14"/>
        <v>20</v>
      </c>
      <c r="E94" s="196">
        <f t="shared" si="15"/>
        <v>0</v>
      </c>
      <c r="F94" s="324">
        <f t="shared" si="16"/>
        <v>0.7</v>
      </c>
      <c r="G94" s="118">
        <f t="shared" si="17"/>
        <v>0</v>
      </c>
      <c r="H94" s="119">
        <f t="shared" si="18"/>
        <v>0</v>
      </c>
    </row>
    <row r="95" spans="1:8" ht="14.25" customHeight="1" x14ac:dyDescent="0.3">
      <c r="A95" s="218" t="s">
        <v>95</v>
      </c>
      <c r="B95" s="218" t="str">
        <f t="shared" si="14"/>
        <v>Salt - ملح</v>
      </c>
      <c r="C95" s="218" t="str">
        <f t="shared" si="14"/>
        <v>gm</v>
      </c>
      <c r="D95" s="218">
        <f t="shared" si="14"/>
        <v>15</v>
      </c>
      <c r="E95" s="196">
        <f t="shared" si="15"/>
        <v>0</v>
      </c>
      <c r="F95" s="324">
        <f t="shared" si="16"/>
        <v>0.75</v>
      </c>
      <c r="G95" s="118">
        <f t="shared" si="17"/>
        <v>0</v>
      </c>
      <c r="H95" s="119">
        <f t="shared" si="18"/>
        <v>0</v>
      </c>
    </row>
    <row r="96" spans="1:8" ht="14.25" customHeight="1" x14ac:dyDescent="0.3">
      <c r="A96" s="218" t="s">
        <v>206</v>
      </c>
      <c r="B96" s="218" t="str">
        <f t="shared" si="14"/>
        <v>Water - ماء</v>
      </c>
      <c r="C96" s="218" t="str">
        <f t="shared" si="14"/>
        <v>ml</v>
      </c>
      <c r="D96" s="218">
        <f t="shared" si="14"/>
        <v>1500</v>
      </c>
      <c r="E96" s="196">
        <f t="shared" si="15"/>
        <v>0</v>
      </c>
      <c r="F96" s="324">
        <f t="shared" si="16"/>
        <v>1</v>
      </c>
      <c r="G96" s="118">
        <f t="shared" si="17"/>
        <v>0</v>
      </c>
      <c r="H96" s="119">
        <f t="shared" si="18"/>
        <v>0</v>
      </c>
    </row>
    <row r="97" spans="1:8" ht="20.25" customHeight="1" x14ac:dyDescent="0.3">
      <c r="A97" s="210"/>
      <c r="B97" s="197" t="s">
        <v>291</v>
      </c>
      <c r="C97" s="199" t="s">
        <v>277</v>
      </c>
      <c r="D97" s="14"/>
      <c r="E97" s="199" t="s">
        <v>292</v>
      </c>
      <c r="F97" s="14"/>
      <c r="G97" s="878" t="s">
        <v>268</v>
      </c>
      <c r="H97" s="878" t="s">
        <v>703</v>
      </c>
    </row>
    <row r="98" spans="1:8" ht="20" x14ac:dyDescent="0.4">
      <c r="A98" s="210"/>
      <c r="B98" s="198">
        <f>$J$55</f>
        <v>0</v>
      </c>
      <c r="C98" s="200">
        <f>E98+G98</f>
        <v>0</v>
      </c>
      <c r="D98" s="208"/>
      <c r="E98" s="200">
        <f>$C$55*$S$44</f>
        <v>0</v>
      </c>
      <c r="F98" s="99"/>
      <c r="G98" s="201">
        <f>$C$55*$T$44</f>
        <v>0</v>
      </c>
      <c r="H98" s="201">
        <f>B98+E98</f>
        <v>0</v>
      </c>
    </row>
  </sheetData>
  <mergeCells count="10">
    <mergeCell ref="B89:H89"/>
    <mergeCell ref="AE2:AG3"/>
    <mergeCell ref="B74:H74"/>
    <mergeCell ref="B88:H88"/>
    <mergeCell ref="B75:H75"/>
    <mergeCell ref="B62:H62"/>
    <mergeCell ref="R26:T26"/>
    <mergeCell ref="R25:T25"/>
    <mergeCell ref="B2:K3"/>
    <mergeCell ref="B63:H63"/>
  </mergeCells>
  <printOptions horizontalCentered="1"/>
  <pageMargins left="0.5" right="0.5" top="1" bottom="0.5" header="0.3" footer="0.511811023622047"/>
  <pageSetup paperSize="9" scale="27" orientation="portrait" r:id="rId1"/>
  <legacyDrawing r:id="rId2"/>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rgb="FFBF9000"/>
    <pageSetUpPr fitToPage="1"/>
  </sheetPr>
  <dimension ref="A1:AG95"/>
  <sheetViews>
    <sheetView topLeftCell="N8" zoomScale="70" zoomScaleNormal="70" workbookViewId="0">
      <selection activeCell="R52" sqref="Q52:R53"/>
    </sheetView>
  </sheetViews>
  <sheetFormatPr defaultColWidth="12.5" defaultRowHeight="14" x14ac:dyDescent="0.3"/>
  <cols>
    <col min="1" max="1" width="16.33203125" style="1" customWidth="1"/>
    <col min="2" max="2" width="30.9140625" customWidth="1"/>
    <col min="3" max="3" width="16.9140625" customWidth="1"/>
    <col min="4" max="4" width="19" customWidth="1"/>
    <col min="5" max="5" width="16.1640625" customWidth="1"/>
    <col min="6" max="6" width="23.08203125" customWidth="1"/>
    <col min="7" max="7" width="25.1640625" customWidth="1"/>
    <col min="8" max="8" width="36.1640625" customWidth="1"/>
    <col min="9" max="9" width="18" customWidth="1"/>
    <col min="12" max="12" width="8.33203125" customWidth="1"/>
    <col min="13" max="16" width="4.6640625" customWidth="1"/>
    <col min="18" max="18" width="32" customWidth="1"/>
    <col min="23" max="23" width="29.4140625" customWidth="1"/>
    <col min="24" max="24" width="31.6640625" customWidth="1"/>
    <col min="28" max="28" width="6.75" customWidth="1"/>
  </cols>
  <sheetData>
    <row r="1" spans="1:33" ht="24" customHeight="1" x14ac:dyDescent="0.3">
      <c r="A1" s="79" t="s">
        <v>235</v>
      </c>
      <c r="B1" s="80">
        <v>1000</v>
      </c>
      <c r="C1" s="88" t="s">
        <v>317</v>
      </c>
      <c r="D1" s="89">
        <f>$S$30/J1</f>
        <v>29400.584795321636</v>
      </c>
      <c r="E1" s="90" t="s">
        <v>240</v>
      </c>
      <c r="F1" s="91" t="s">
        <v>318</v>
      </c>
      <c r="G1" s="90" t="s">
        <v>319</v>
      </c>
      <c r="H1" s="304">
        <f>H52</f>
        <v>20.110000000000003</v>
      </c>
      <c r="I1" s="92" t="s">
        <v>242</v>
      </c>
      <c r="J1" s="305">
        <v>0.68400000000000005</v>
      </c>
      <c r="K1" s="99"/>
      <c r="Y1" s="90" t="s">
        <v>463</v>
      </c>
      <c r="Z1" s="835">
        <v>19110</v>
      </c>
      <c r="AA1" s="90" t="s">
        <v>578</v>
      </c>
      <c r="AB1" s="835">
        <v>1000</v>
      </c>
      <c r="AC1" s="90" t="s">
        <v>567</v>
      </c>
      <c r="AD1" s="835">
        <v>129</v>
      </c>
    </row>
    <row r="2" spans="1:33" ht="12.75" customHeight="1" x14ac:dyDescent="0.3">
      <c r="A2" s="264"/>
      <c r="B2" s="1450" t="s">
        <v>320</v>
      </c>
      <c r="C2" s="1458"/>
      <c r="D2" s="1458"/>
      <c r="E2" s="1458"/>
      <c r="F2" s="1458"/>
      <c r="G2" s="1458"/>
      <c r="H2" s="1458"/>
      <c r="I2" s="1458"/>
      <c r="J2" s="1458"/>
      <c r="K2" s="1458"/>
      <c r="L2" s="292"/>
      <c r="M2" s="99"/>
      <c r="N2" s="99"/>
      <c r="AE2" s="1433"/>
      <c r="AF2" s="1458"/>
      <c r="AG2" s="1458"/>
    </row>
    <row r="3" spans="1:33" ht="12.75" customHeight="1" x14ac:dyDescent="0.3">
      <c r="A3" s="264"/>
      <c r="B3" s="1444"/>
      <c r="C3" s="1444"/>
      <c r="D3" s="1444"/>
      <c r="E3" s="1444"/>
      <c r="F3" s="1444"/>
      <c r="G3" s="1444"/>
      <c r="H3" s="1444"/>
      <c r="I3" s="1444"/>
      <c r="J3" s="1444"/>
      <c r="K3" s="1444"/>
      <c r="L3" s="292"/>
      <c r="M3" s="99"/>
      <c r="N3" s="99"/>
      <c r="AE3" s="1458"/>
      <c r="AF3" s="1458"/>
      <c r="AG3" s="1458"/>
    </row>
    <row r="4" spans="1:33" ht="46.5" customHeight="1" x14ac:dyDescent="0.3">
      <c r="A4" s="90" t="s">
        <v>1</v>
      </c>
      <c r="B4" s="90" t="s">
        <v>245</v>
      </c>
      <c r="C4" s="306" t="s">
        <v>321</v>
      </c>
      <c r="D4" s="90" t="s">
        <v>322</v>
      </c>
      <c r="E4" s="107" t="s">
        <v>323</v>
      </c>
      <c r="F4" s="107" t="s">
        <v>324</v>
      </c>
      <c r="G4" s="307" t="s">
        <v>325</v>
      </c>
      <c r="H4" s="108" t="s">
        <v>326</v>
      </c>
      <c r="I4" s="90" t="s">
        <v>250</v>
      </c>
      <c r="J4" s="90" t="s">
        <v>251</v>
      </c>
      <c r="K4" s="90" t="s">
        <v>252</v>
      </c>
      <c r="L4" s="90" t="s">
        <v>253</v>
      </c>
    </row>
    <row r="5" spans="1:33" ht="14.25" customHeight="1" x14ac:dyDescent="0.3">
      <c r="A5" s="157" t="s">
        <v>225</v>
      </c>
      <c r="B5" s="308" t="s">
        <v>224</v>
      </c>
      <c r="C5" s="123" t="s">
        <v>14</v>
      </c>
      <c r="D5" s="115">
        <f>I51/H51</f>
        <v>1461.988304093567</v>
      </c>
      <c r="E5" s="115">
        <f>I52/D5</f>
        <v>20.110000000000003</v>
      </c>
      <c r="F5" s="126">
        <v>1</v>
      </c>
      <c r="G5" s="118">
        <f>D5*E5</f>
        <v>29400.584795321636</v>
      </c>
      <c r="H5" s="118">
        <f>D1</f>
        <v>29400.584795321636</v>
      </c>
      <c r="I5" s="80">
        <f>VLOOKUP(B5,All_Ingredients!$A$1:$F$149,6,FALSE())</f>
        <v>0.86</v>
      </c>
      <c r="J5" s="118">
        <f>VLOOKUP(B5,All_Ingredients!$A$1:$J$149,10,FALSE())</f>
        <v>17.100000000000001</v>
      </c>
      <c r="K5" s="121">
        <f>(H5/I5)/1000</f>
        <v>34.186726506187952</v>
      </c>
      <c r="L5" s="121">
        <f>K5*J5</f>
        <v>584.59302325581405</v>
      </c>
    </row>
    <row r="6" spans="1:33" ht="14.25" customHeight="1" x14ac:dyDescent="0.3">
      <c r="A6" s="269" t="s">
        <v>95</v>
      </c>
      <c r="B6" s="22" t="s">
        <v>94</v>
      </c>
      <c r="C6" s="123" t="s">
        <v>14</v>
      </c>
      <c r="D6" s="124">
        <v>50</v>
      </c>
      <c r="E6" s="115">
        <f>$H$52</f>
        <v>20.110000000000003</v>
      </c>
      <c r="F6" s="126">
        <v>0.75</v>
      </c>
      <c r="G6" s="118">
        <f>D6*E6</f>
        <v>1005.5000000000001</v>
      </c>
      <c r="H6" s="119">
        <f>G6*F6</f>
        <v>754.12500000000011</v>
      </c>
      <c r="I6" s="80">
        <f>VLOOKUP(B6,All_Ingredients!$A$1:$F$149,6,FALSE())</f>
        <v>1</v>
      </c>
      <c r="J6" s="118">
        <f>VLOOKUP(B6,All_Ingredients!$A$1:$J$149,10,FALSE())</f>
        <v>0.74</v>
      </c>
      <c r="K6" s="121">
        <f t="shared" ref="K6:K9" si="0">(H6/I6)/1000</f>
        <v>0.75412500000000016</v>
      </c>
      <c r="L6" s="121">
        <f t="shared" ref="L6:L9" si="1">K6*J6</f>
        <v>0.55805250000000006</v>
      </c>
    </row>
    <row r="7" spans="1:33" ht="14.25" customHeight="1" x14ac:dyDescent="0.3">
      <c r="A7" s="269" t="s">
        <v>215</v>
      </c>
      <c r="B7" s="22" t="s">
        <v>877</v>
      </c>
      <c r="C7" s="123" t="s">
        <v>14</v>
      </c>
      <c r="D7" s="124">
        <v>3</v>
      </c>
      <c r="E7" s="115">
        <f>$H$52</f>
        <v>20.110000000000003</v>
      </c>
      <c r="F7" s="126">
        <v>0.75</v>
      </c>
      <c r="G7" s="118">
        <f>D7*E7</f>
        <v>60.330000000000013</v>
      </c>
      <c r="H7" s="119">
        <f>G7*F7</f>
        <v>45.247500000000009</v>
      </c>
      <c r="I7" s="80">
        <f>VLOOKUP(B7,All_Ingredients!$A$1:$F$149,6,FALSE())</f>
        <v>1</v>
      </c>
      <c r="J7" s="118">
        <f>VLOOKUP(B7,All_Ingredients!$A$1:$J$149,10,FALSE())</f>
        <v>22.5</v>
      </c>
      <c r="K7" s="121">
        <f t="shared" si="0"/>
        <v>4.524750000000001E-2</v>
      </c>
      <c r="L7" s="121">
        <f t="shared" si="1"/>
        <v>1.0180687500000003</v>
      </c>
    </row>
    <row r="8" spans="1:33" ht="14.25" customHeight="1" x14ac:dyDescent="0.3">
      <c r="A8" s="269" t="s">
        <v>215</v>
      </c>
      <c r="B8" s="22" t="s">
        <v>216</v>
      </c>
      <c r="C8" s="123" t="s">
        <v>14</v>
      </c>
      <c r="D8" s="124">
        <v>3</v>
      </c>
      <c r="E8" s="115">
        <f>$H$52</f>
        <v>20.110000000000003</v>
      </c>
      <c r="F8" s="126">
        <v>0.9</v>
      </c>
      <c r="G8" s="118">
        <f>D8*E8</f>
        <v>60.330000000000013</v>
      </c>
      <c r="H8" s="119">
        <f>G8*F8</f>
        <v>54.297000000000011</v>
      </c>
      <c r="I8" s="80">
        <f>VLOOKUP(B8,All_Ingredients!$A$1:$F$149,6,FALSE())</f>
        <v>1</v>
      </c>
      <c r="J8" s="118">
        <f>VLOOKUP(B8,All_Ingredients!$A$1:$J$149,10,FALSE())</f>
        <v>35</v>
      </c>
      <c r="K8" s="121">
        <f t="shared" si="0"/>
        <v>5.4297000000000012E-2</v>
      </c>
      <c r="L8" s="121">
        <f t="shared" si="1"/>
        <v>1.9003950000000005</v>
      </c>
    </row>
    <row r="9" spans="1:33" ht="14.25" customHeight="1" x14ac:dyDescent="0.3">
      <c r="A9" s="269" t="s">
        <v>95</v>
      </c>
      <c r="B9" s="22" t="s">
        <v>106</v>
      </c>
      <c r="C9" s="123" t="s">
        <v>14</v>
      </c>
      <c r="D9" s="124">
        <v>5</v>
      </c>
      <c r="E9" s="115">
        <f>$H$52</f>
        <v>20.110000000000003</v>
      </c>
      <c r="F9" s="126">
        <v>0.8</v>
      </c>
      <c r="G9" s="118">
        <f>D9*E9</f>
        <v>100.55000000000001</v>
      </c>
      <c r="H9" s="119">
        <f>G9*F9</f>
        <v>80.440000000000012</v>
      </c>
      <c r="I9" s="80">
        <f>VLOOKUP(B9,All_Ingredients!$A$1:$F$149,6,FALSE())</f>
        <v>1</v>
      </c>
      <c r="J9" s="118">
        <f>VLOOKUP(B9,All_Ingredients!$A$1:$J$149,10,FALSE())</f>
        <v>15</v>
      </c>
      <c r="K9" s="121">
        <f t="shared" si="0"/>
        <v>8.0440000000000011E-2</v>
      </c>
      <c r="L9" s="121">
        <f t="shared" si="1"/>
        <v>1.2066000000000001</v>
      </c>
    </row>
    <row r="10" spans="1:33" ht="14.25" customHeight="1" x14ac:dyDescent="0.3">
      <c r="A10" s="99"/>
      <c r="B10" s="99"/>
      <c r="C10" s="99"/>
      <c r="D10" s="99"/>
      <c r="E10" s="99"/>
      <c r="F10" s="99"/>
      <c r="L10" s="208"/>
    </row>
    <row r="11" spans="1:33" ht="14.25" customHeight="1" x14ac:dyDescent="0.3">
      <c r="A11" s="99"/>
      <c r="B11" s="99"/>
      <c r="C11" s="99"/>
      <c r="D11" s="99"/>
      <c r="E11" s="99"/>
      <c r="F11" s="99"/>
      <c r="L11" s="208"/>
    </row>
    <row r="12" spans="1:33" ht="14.25" customHeight="1" x14ac:dyDescent="0.3">
      <c r="A12" s="99"/>
      <c r="B12" s="99"/>
      <c r="C12" s="99"/>
      <c r="D12" s="99"/>
      <c r="E12" s="99"/>
      <c r="F12" s="99"/>
      <c r="L12" s="208"/>
    </row>
    <row r="13" spans="1:33" ht="14.25" customHeight="1" x14ac:dyDescent="0.3">
      <c r="A13" s="99"/>
      <c r="F13" s="99"/>
      <c r="L13" s="208"/>
    </row>
    <row r="14" spans="1:33" ht="14.25" customHeight="1" x14ac:dyDescent="0.3">
      <c r="A14" s="99"/>
      <c r="F14" s="99"/>
      <c r="L14" s="208"/>
    </row>
    <row r="15" spans="1:33" ht="15" customHeight="1" x14ac:dyDescent="0.3">
      <c r="A15" s="99"/>
      <c r="F15" s="99"/>
    </row>
    <row r="16" spans="1:33" ht="14.25" customHeight="1" x14ac:dyDescent="0.3">
      <c r="A16" s="99"/>
      <c r="F16" s="99"/>
    </row>
    <row r="17" spans="1:29" ht="14.25" customHeight="1" x14ac:dyDescent="0.3">
      <c r="A17" s="99"/>
      <c r="F17" s="99"/>
    </row>
    <row r="18" spans="1:29" ht="14.25" customHeight="1" x14ac:dyDescent="0.3">
      <c r="A18" s="99"/>
      <c r="F18" s="99"/>
    </row>
    <row r="19" spans="1:29" ht="14.25" customHeight="1" x14ac:dyDescent="0.3">
      <c r="B19" s="99"/>
      <c r="E19" s="99"/>
      <c r="F19" s="99"/>
    </row>
    <row r="20" spans="1:29" ht="14.25" customHeight="1" x14ac:dyDescent="0.3">
      <c r="B20" s="99"/>
      <c r="E20" s="99"/>
      <c r="F20" s="99"/>
    </row>
    <row r="21" spans="1:29" ht="14.25" customHeight="1" x14ac:dyDescent="0.3"/>
    <row r="22" spans="1:29" ht="31.25" customHeight="1" x14ac:dyDescent="0.3"/>
    <row r="23" spans="1:29" ht="14.25" customHeight="1" x14ac:dyDescent="0.3"/>
    <row r="24" spans="1:29" ht="14.25" customHeight="1" x14ac:dyDescent="0.3"/>
    <row r="25" spans="1:29" ht="15.75" customHeight="1" x14ac:dyDescent="0.35">
      <c r="B25" s="99"/>
      <c r="D25" s="638"/>
      <c r="E25" s="99"/>
      <c r="F25" s="99"/>
      <c r="R25" s="1440" t="str">
        <f>B2</f>
        <v>Chicken Mandi - مندي دجاج</v>
      </c>
      <c r="S25" s="1444"/>
      <c r="T25" s="1444"/>
      <c r="Z25" s="140" t="s">
        <v>256</v>
      </c>
      <c r="AA25" s="141">
        <v>1</v>
      </c>
      <c r="AB25" s="140" t="s">
        <v>253</v>
      </c>
      <c r="AC25" s="1351">
        <f>AC30*AA25</f>
        <v>3.0590948365034749E-2</v>
      </c>
    </row>
    <row r="26" spans="1:29" ht="14.25" customHeight="1" x14ac:dyDescent="0.3">
      <c r="B26" s="99"/>
      <c r="E26" s="99"/>
      <c r="F26" s="99"/>
      <c r="R26" s="1445" t="s">
        <v>328</v>
      </c>
      <c r="S26" s="1446"/>
      <c r="T26" s="1446"/>
      <c r="AB26" s="14"/>
      <c r="AC26" s="14"/>
    </row>
    <row r="27" spans="1:29" ht="14.25" customHeight="1" thickBot="1" x14ac:dyDescent="0.35">
      <c r="B27" s="99"/>
      <c r="E27" s="99"/>
      <c r="F27" s="99"/>
      <c r="R27" s="144" t="s">
        <v>258</v>
      </c>
      <c r="S27" s="145" t="s">
        <v>259</v>
      </c>
      <c r="T27" s="145" t="s">
        <v>261</v>
      </c>
      <c r="Z27" s="140" t="s">
        <v>262</v>
      </c>
      <c r="AA27" s="146" t="s">
        <v>263</v>
      </c>
      <c r="AB27" s="146" t="s">
        <v>316</v>
      </c>
      <c r="AC27" s="146" t="s">
        <v>266</v>
      </c>
    </row>
    <row r="28" spans="1:29" ht="14.25" customHeight="1" thickBot="1" x14ac:dyDescent="0.35">
      <c r="B28" s="99"/>
      <c r="E28" s="99"/>
      <c r="F28" s="99"/>
      <c r="R28" s="147" t="s">
        <v>329</v>
      </c>
      <c r="S28" s="760">
        <f>$Z$1</f>
        <v>19110</v>
      </c>
      <c r="T28" s="754">
        <f>S28</f>
        <v>19110</v>
      </c>
      <c r="Z28" s="150"/>
      <c r="AA28" s="151">
        <f>AA25</f>
        <v>1</v>
      </c>
      <c r="AB28" s="151">
        <f>AA25-AA28</f>
        <v>0</v>
      </c>
      <c r="AC28" s="153">
        <f>SUM(AA28:AB28)</f>
        <v>1</v>
      </c>
    </row>
    <row r="29" spans="1:29" ht="14.25" customHeight="1" thickBot="1" x14ac:dyDescent="0.35">
      <c r="B29" s="99"/>
      <c r="E29" s="99"/>
      <c r="F29" s="99"/>
      <c r="R29" s="147" t="s">
        <v>330</v>
      </c>
      <c r="S29" s="782">
        <f>$AB$1</f>
        <v>1000</v>
      </c>
      <c r="T29" s="756">
        <f>S29</f>
        <v>1000</v>
      </c>
      <c r="Z29" s="150"/>
      <c r="AA29" s="155">
        <v>1</v>
      </c>
      <c r="AB29" s="319">
        <f>AB28/$AC$28</f>
        <v>0</v>
      </c>
      <c r="AC29" s="155">
        <f>AC28/$AC$28</f>
        <v>1</v>
      </c>
    </row>
    <row r="30" spans="1:29" ht="17.75" customHeight="1" thickBot="1" x14ac:dyDescent="0.35">
      <c r="B30" s="261"/>
      <c r="C30" s="261"/>
      <c r="D30" s="261"/>
      <c r="E30" s="261"/>
      <c r="F30" s="261"/>
      <c r="G30" s="261"/>
      <c r="H30" s="261"/>
      <c r="R30" s="159" t="s">
        <v>331</v>
      </c>
      <c r="S30" s="148">
        <f>S28+S29</f>
        <v>20110</v>
      </c>
      <c r="T30" s="148">
        <f>T28+T29</f>
        <v>20110</v>
      </c>
      <c r="Z30" s="140" t="s">
        <v>270</v>
      </c>
      <c r="AA30" s="156">
        <f>S33/(S28)</f>
        <v>3.0590948365034749E-2</v>
      </c>
      <c r="AB30" s="157">
        <f>SUM(L6:L9)/SUM(K6:K9)</f>
        <v>5.0134553283100116</v>
      </c>
      <c r="AC30" s="158">
        <f>SUMPRODUCT(AA30:AB30,AA29:AB29)</f>
        <v>3.0590948365034749E-2</v>
      </c>
    </row>
    <row r="31" spans="1:29" ht="17.75" customHeight="1" thickBot="1" x14ac:dyDescent="0.35">
      <c r="B31" s="261"/>
      <c r="C31" s="261"/>
      <c r="D31" s="261"/>
      <c r="E31" s="261"/>
      <c r="F31" s="261"/>
      <c r="G31" s="261"/>
      <c r="H31" s="261"/>
      <c r="R31" s="160" t="s">
        <v>272</v>
      </c>
      <c r="S31" s="154"/>
      <c r="T31" s="154"/>
    </row>
    <row r="32" spans="1:29" ht="14.25" customHeight="1" x14ac:dyDescent="0.3">
      <c r="R32" s="161" t="s">
        <v>273</v>
      </c>
      <c r="S32" s="154"/>
      <c r="T32" s="154"/>
    </row>
    <row r="33" spans="2:23" ht="14.25" customHeight="1" x14ac:dyDescent="0.3">
      <c r="R33" s="162" t="s">
        <v>253</v>
      </c>
      <c r="S33" s="163">
        <f>$L$5</f>
        <v>584.59302325581405</v>
      </c>
      <c r="T33" s="163">
        <f>S33</f>
        <v>584.59302325581405</v>
      </c>
    </row>
    <row r="35" spans="2:23" ht="15.5" x14ac:dyDescent="0.3">
      <c r="B35" s="1484" t="s">
        <v>684</v>
      </c>
      <c r="C35" s="1484"/>
      <c r="D35" s="1484"/>
      <c r="E35" s="1484"/>
      <c r="F35" s="1484"/>
      <c r="G35" s="870"/>
      <c r="H35" s="870"/>
      <c r="I35" s="877"/>
      <c r="J35" s="877"/>
      <c r="K35" s="877"/>
      <c r="L35" s="877"/>
    </row>
    <row r="36" spans="2:23" ht="46.5" x14ac:dyDescent="0.3">
      <c r="B36" s="848" t="s">
        <v>245</v>
      </c>
      <c r="C36" s="848" t="s">
        <v>321</v>
      </c>
      <c r="D36" s="850" t="s">
        <v>645</v>
      </c>
      <c r="E36" s="847" t="s">
        <v>646</v>
      </c>
      <c r="F36" s="850" t="s">
        <v>647</v>
      </c>
      <c r="G36" s="870"/>
      <c r="H36" s="850" t="s">
        <v>647</v>
      </c>
      <c r="I36" s="850" t="s">
        <v>250</v>
      </c>
      <c r="J36" s="850" t="s">
        <v>251</v>
      </c>
      <c r="K36" s="850" t="s">
        <v>252</v>
      </c>
      <c r="L36" s="850" t="s">
        <v>253</v>
      </c>
    </row>
    <row r="37" spans="2:23" x14ac:dyDescent="0.3">
      <c r="B37" s="843" t="s">
        <v>716</v>
      </c>
      <c r="C37" s="844" t="s">
        <v>14</v>
      </c>
      <c r="D37" s="845">
        <v>1</v>
      </c>
      <c r="E37" s="843">
        <f>$AD$1</f>
        <v>129</v>
      </c>
      <c r="F37" s="843">
        <f>D37*E37</f>
        <v>129</v>
      </c>
      <c r="G37" s="869"/>
      <c r="H37" s="843">
        <f>F37</f>
        <v>129</v>
      </c>
      <c r="I37" s="843">
        <f>VLOOKUP(B37,All_Ingredients!$A$1:$F$149,6,FALSE())</f>
        <v>0.65</v>
      </c>
      <c r="J37" s="843">
        <f>VLOOKUP(B37,All_Ingredients!$A$1:$J$149,10,FALSE())</f>
        <v>45</v>
      </c>
      <c r="K37" s="843">
        <f>(H37/I37)/1000</f>
        <v>0.19846153846153844</v>
      </c>
      <c r="L37" s="843">
        <f>K37*J37</f>
        <v>8.9307692307692292</v>
      </c>
    </row>
    <row r="38" spans="2:23" x14ac:dyDescent="0.3">
      <c r="B38" s="99"/>
      <c r="E38" s="99"/>
      <c r="F38" s="99"/>
    </row>
    <row r="40" spans="2:23" ht="14.25" customHeight="1" x14ac:dyDescent="0.3">
      <c r="Q40" s="14"/>
      <c r="R40" s="164" t="s">
        <v>332</v>
      </c>
      <c r="S40" s="238">
        <v>1</v>
      </c>
    </row>
    <row r="41" spans="2:23" ht="14.25" customHeight="1" x14ac:dyDescent="0.3">
      <c r="Q41" s="14"/>
      <c r="R41" s="14"/>
      <c r="S41" s="14"/>
      <c r="T41" s="14"/>
      <c r="U41" s="168"/>
      <c r="V41" s="14"/>
      <c r="W41" s="14"/>
    </row>
    <row r="42" spans="2:23" ht="14.25" customHeight="1" x14ac:dyDescent="0.3">
      <c r="Q42" s="14"/>
      <c r="R42" s="14"/>
      <c r="S42" s="14"/>
      <c r="T42" s="14"/>
      <c r="U42" s="14"/>
      <c r="V42" s="14"/>
      <c r="W42" s="14"/>
    </row>
    <row r="43" spans="2:23" ht="14.25" customHeight="1" x14ac:dyDescent="0.3">
      <c r="Q43" s="169" t="s">
        <v>276</v>
      </c>
      <c r="R43" s="169" t="s">
        <v>277</v>
      </c>
      <c r="S43" s="169" t="s">
        <v>278</v>
      </c>
      <c r="T43" s="169" t="s">
        <v>279</v>
      </c>
      <c r="U43" s="169" t="s">
        <v>280</v>
      </c>
      <c r="V43" s="169" t="s">
        <v>281</v>
      </c>
      <c r="W43" s="257" t="s">
        <v>333</v>
      </c>
    </row>
    <row r="44" spans="2:23" ht="14.25" customHeight="1" x14ac:dyDescent="0.3">
      <c r="Q44" s="171">
        <v>10000</v>
      </c>
      <c r="R44" s="172">
        <v>0</v>
      </c>
      <c r="S44" s="240">
        <v>0</v>
      </c>
      <c r="T44" s="240">
        <v>0</v>
      </c>
      <c r="U44" s="241">
        <f>R44*S44</f>
        <v>0</v>
      </c>
      <c r="V44" s="175">
        <f>R44*T44</f>
        <v>0</v>
      </c>
      <c r="W44" s="259">
        <f>Q44-U44</f>
        <v>10000</v>
      </c>
    </row>
    <row r="50" spans="1:10" ht="14.5" thickBot="1" x14ac:dyDescent="0.35">
      <c r="G50" s="145" t="s">
        <v>284</v>
      </c>
      <c r="H50" s="145" t="s">
        <v>237</v>
      </c>
      <c r="I50" s="145" t="s">
        <v>285</v>
      </c>
      <c r="J50" s="145" t="s">
        <v>286</v>
      </c>
    </row>
    <row r="51" spans="1:10" ht="14.5" thickBot="1" x14ac:dyDescent="0.35">
      <c r="G51" s="309" t="s">
        <v>327</v>
      </c>
      <c r="H51" s="310">
        <v>10</v>
      </c>
      <c r="I51" s="310">
        <f>J51/J1</f>
        <v>14619.883040935671</v>
      </c>
      <c r="J51" s="311">
        <f>$W$44</f>
        <v>10000</v>
      </c>
    </row>
    <row r="52" spans="1:10" x14ac:dyDescent="0.3">
      <c r="G52" s="161" t="s">
        <v>266</v>
      </c>
      <c r="H52" s="458">
        <f>E5</f>
        <v>20.110000000000003</v>
      </c>
      <c r="I52" s="459">
        <f>J52/$J$1</f>
        <v>29400.584795321636</v>
      </c>
      <c r="J52" s="314">
        <f>$S$30</f>
        <v>20110</v>
      </c>
    </row>
    <row r="53" spans="1:10" x14ac:dyDescent="0.3">
      <c r="D53" s="489"/>
      <c r="G53" s="147" t="s">
        <v>288</v>
      </c>
      <c r="H53" s="460">
        <f>MIN($H$52, H51)</f>
        <v>10</v>
      </c>
      <c r="I53" s="175">
        <f>J53/$J$1</f>
        <v>14619.883040935671</v>
      </c>
      <c r="J53" s="316">
        <f>MIN(MAX($J$52,0),$J$51)</f>
        <v>10000</v>
      </c>
    </row>
    <row r="54" spans="1:10" x14ac:dyDescent="0.3">
      <c r="D54" s="489"/>
      <c r="G54" s="147" t="s">
        <v>289</v>
      </c>
      <c r="H54" s="461">
        <f>MIN(MAX($H$52-H53,0),H51)</f>
        <v>10</v>
      </c>
      <c r="I54" s="175">
        <f>J54/$J$1</f>
        <v>14619.883040935671</v>
      </c>
      <c r="J54" s="183">
        <f>MIN(MAX($J$52-J53,0),$J$51)</f>
        <v>10000</v>
      </c>
    </row>
    <row r="55" spans="1:10" x14ac:dyDescent="0.3">
      <c r="D55" s="489"/>
      <c r="G55" s="144" t="s">
        <v>290</v>
      </c>
      <c r="H55" s="461">
        <f>MIN(MAX($H$52-H53-H54,0),H51)</f>
        <v>0.11000000000000298</v>
      </c>
      <c r="I55" s="175">
        <f>J55/$J$1</f>
        <v>160.81871345029239</v>
      </c>
      <c r="J55" s="316">
        <f>MIN(MAX($J$52-J53-J54,0),$J$51)</f>
        <v>110</v>
      </c>
    </row>
    <row r="62" spans="1:10" ht="17.75" customHeight="1" x14ac:dyDescent="0.3">
      <c r="A62" s="321"/>
      <c r="B62" s="1447" t="str">
        <f>"دجاج مندى 1 / " &amp; COUNTIF($H$53:$H$55, "&gt;0")</f>
        <v>دجاج مندى 1 / 3</v>
      </c>
      <c r="C62" s="1456"/>
      <c r="D62" s="1456"/>
      <c r="E62" s="1456"/>
      <c r="F62" s="1456"/>
      <c r="G62" s="1456"/>
      <c r="H62" s="1456"/>
    </row>
    <row r="63" spans="1:10" ht="17.75" customHeight="1" x14ac:dyDescent="0.3">
      <c r="A63" s="321"/>
      <c r="B63" s="1447" t="str">
        <f>"Mandi Chicken 1 / " &amp; COUNTIF($H$53:$H$55, "&gt;0")</f>
        <v>Mandi Chicken 1 / 3</v>
      </c>
      <c r="C63" s="1456"/>
      <c r="D63" s="1456"/>
      <c r="E63" s="1456"/>
      <c r="F63" s="1456"/>
      <c r="G63" s="1456"/>
      <c r="H63" s="1456"/>
    </row>
    <row r="64" spans="1:10" ht="46.5" customHeight="1" x14ac:dyDescent="0.3">
      <c r="A64" s="90"/>
      <c r="B64" s="90" t="s">
        <v>245</v>
      </c>
      <c r="C64" s="306" t="s">
        <v>321</v>
      </c>
      <c r="D64" s="90" t="s">
        <v>322</v>
      </c>
      <c r="E64" s="107" t="s">
        <v>323</v>
      </c>
      <c r="F64" s="107" t="s">
        <v>324</v>
      </c>
      <c r="G64" s="307" t="s">
        <v>325</v>
      </c>
      <c r="H64" s="108" t="s">
        <v>326</v>
      </c>
    </row>
    <row r="65" spans="1:8" ht="14.25" customHeight="1" x14ac:dyDescent="0.3">
      <c r="A65" s="218" t="s">
        <v>225</v>
      </c>
      <c r="B65" s="322" t="str">
        <f t="shared" ref="B65:D69" si="2">B5</f>
        <v>Chicken - دجاج</v>
      </c>
      <c r="C65" s="322" t="str">
        <f t="shared" si="2"/>
        <v>gm</v>
      </c>
      <c r="D65" s="323">
        <f t="shared" si="2"/>
        <v>1461.988304093567</v>
      </c>
      <c r="E65" s="196">
        <f>$H$53</f>
        <v>10</v>
      </c>
      <c r="F65" s="126">
        <f>F5</f>
        <v>1</v>
      </c>
      <c r="G65" s="118">
        <f>D65*E65</f>
        <v>14619.883040935671</v>
      </c>
      <c r="H65" s="119">
        <f>G65*F65</f>
        <v>14619.883040935671</v>
      </c>
    </row>
    <row r="66" spans="1:8" ht="14.25" customHeight="1" x14ac:dyDescent="0.3">
      <c r="A66" s="269" t="s">
        <v>95</v>
      </c>
      <c r="B66" s="322" t="str">
        <f t="shared" si="2"/>
        <v>Salt - ملح</v>
      </c>
      <c r="C66" s="322" t="str">
        <f t="shared" si="2"/>
        <v>gm</v>
      </c>
      <c r="D66" s="322">
        <f t="shared" si="2"/>
        <v>50</v>
      </c>
      <c r="E66" s="196">
        <f>$H$53</f>
        <v>10</v>
      </c>
      <c r="F66" s="126">
        <f>F6</f>
        <v>0.75</v>
      </c>
      <c r="G66" s="80">
        <f>D66*E66</f>
        <v>500</v>
      </c>
      <c r="H66" s="119">
        <f>G66*F66</f>
        <v>375</v>
      </c>
    </row>
    <row r="67" spans="1:8" ht="14.25" customHeight="1" x14ac:dyDescent="0.3">
      <c r="A67" s="269" t="s">
        <v>215</v>
      </c>
      <c r="B67" s="322" t="str">
        <f t="shared" si="2"/>
        <v>Saffron yellow color powder - لون صفار زعفران بودر</v>
      </c>
      <c r="C67" s="322" t="str">
        <f t="shared" si="2"/>
        <v>gm</v>
      </c>
      <c r="D67" s="322">
        <f t="shared" si="2"/>
        <v>3</v>
      </c>
      <c r="E67" s="196">
        <f>$H$53</f>
        <v>10</v>
      </c>
      <c r="F67" s="126">
        <f>F7</f>
        <v>0.75</v>
      </c>
      <c r="G67" s="80">
        <f>D67*E67</f>
        <v>30</v>
      </c>
      <c r="H67" s="119">
        <f>G67*F67</f>
        <v>22.5</v>
      </c>
    </row>
    <row r="68" spans="1:8" ht="14.25" customHeight="1" x14ac:dyDescent="0.3">
      <c r="A68" s="269" t="s">
        <v>215</v>
      </c>
      <c r="B68" s="322" t="str">
        <f t="shared" si="2"/>
        <v>Orange Color - لون برتقالي</v>
      </c>
      <c r="C68" s="322" t="str">
        <f t="shared" si="2"/>
        <v>gm</v>
      </c>
      <c r="D68" s="322">
        <f t="shared" si="2"/>
        <v>3</v>
      </c>
      <c r="E68" s="196">
        <f>$H$53</f>
        <v>10</v>
      </c>
      <c r="F68" s="126">
        <f>F8</f>
        <v>0.9</v>
      </c>
      <c r="G68" s="80">
        <f>D68*E68</f>
        <v>30</v>
      </c>
      <c r="H68" s="119">
        <f>G68*F68</f>
        <v>27</v>
      </c>
    </row>
    <row r="69" spans="1:8" ht="14.25" customHeight="1" x14ac:dyDescent="0.3">
      <c r="A69" s="269" t="s">
        <v>95</v>
      </c>
      <c r="B69" s="322" t="str">
        <f t="shared" si="2"/>
        <v>Cumin Powder - كمون مطحون</v>
      </c>
      <c r="C69" s="322" t="str">
        <f t="shared" si="2"/>
        <v>gm</v>
      </c>
      <c r="D69" s="322">
        <f t="shared" si="2"/>
        <v>5</v>
      </c>
      <c r="E69" s="196">
        <f>$H$53</f>
        <v>10</v>
      </c>
      <c r="F69" s="126">
        <f>F9</f>
        <v>0.8</v>
      </c>
      <c r="G69" s="80">
        <f>D69*E69</f>
        <v>50</v>
      </c>
      <c r="H69" s="119">
        <f>G69*F69</f>
        <v>40</v>
      </c>
    </row>
    <row r="70" spans="1:8" ht="20.25" customHeight="1" x14ac:dyDescent="0.3">
      <c r="A70" s="210"/>
      <c r="B70" s="197" t="s">
        <v>291</v>
      </c>
      <c r="C70" s="199" t="s">
        <v>277</v>
      </c>
      <c r="D70" s="14"/>
      <c r="E70" s="199" t="s">
        <v>292</v>
      </c>
      <c r="F70" s="14"/>
      <c r="G70" s="878" t="s">
        <v>268</v>
      </c>
      <c r="H70" s="878" t="s">
        <v>703</v>
      </c>
    </row>
    <row r="71" spans="1:8" ht="28.25" customHeight="1" x14ac:dyDescent="0.4">
      <c r="A71" s="210"/>
      <c r="B71" s="198">
        <f>$J$53</f>
        <v>10000</v>
      </c>
      <c r="C71" s="200">
        <f>E71+G71</f>
        <v>0</v>
      </c>
      <c r="D71" s="208"/>
      <c r="E71" s="200">
        <f>$C$53*$S$44</f>
        <v>0</v>
      </c>
      <c r="F71" s="99"/>
      <c r="G71" s="201">
        <f>$C$53*$T$44</f>
        <v>0</v>
      </c>
      <c r="H71" s="201">
        <f>B71+E71</f>
        <v>10000</v>
      </c>
    </row>
    <row r="72" spans="1:8" ht="14.25" customHeight="1" x14ac:dyDescent="0.3">
      <c r="B72" s="99"/>
      <c r="E72" s="99"/>
      <c r="F72" s="99"/>
    </row>
    <row r="73" spans="1:8" ht="17.75" customHeight="1" x14ac:dyDescent="0.3">
      <c r="A73" s="321"/>
      <c r="B73" s="1447" t="str">
        <f>"دجاج مندى 2 / " &amp; COUNTIF($H$53:$H$55, "&gt;0")</f>
        <v>دجاج مندى 2 / 3</v>
      </c>
      <c r="C73" s="1456"/>
      <c r="D73" s="1456"/>
      <c r="E73" s="1456"/>
      <c r="F73" s="1456"/>
      <c r="G73" s="1456"/>
      <c r="H73" s="1456"/>
    </row>
    <row r="74" spans="1:8" ht="17.75" customHeight="1" x14ac:dyDescent="0.3">
      <c r="A74" s="321"/>
      <c r="B74" s="1447" t="str">
        <f>"Mandi Chicken 2 / " &amp; COUNTIF($H$53:$H$55, "&gt;0")</f>
        <v>Mandi Chicken 2 / 3</v>
      </c>
      <c r="C74" s="1456"/>
      <c r="D74" s="1456"/>
      <c r="E74" s="1456"/>
      <c r="F74" s="1456"/>
      <c r="G74" s="1456"/>
      <c r="H74" s="1456"/>
    </row>
    <row r="75" spans="1:8" ht="46.5" customHeight="1" x14ac:dyDescent="0.3">
      <c r="A75" s="90"/>
      <c r="B75" s="90" t="s">
        <v>245</v>
      </c>
      <c r="C75" s="306" t="s">
        <v>321</v>
      </c>
      <c r="D75" s="90" t="s">
        <v>322</v>
      </c>
      <c r="E75" s="107" t="s">
        <v>323</v>
      </c>
      <c r="F75" s="107" t="s">
        <v>324</v>
      </c>
      <c r="G75" s="307" t="s">
        <v>325</v>
      </c>
      <c r="H75" s="108" t="s">
        <v>326</v>
      </c>
    </row>
    <row r="76" spans="1:8" ht="14.25" customHeight="1" x14ac:dyDescent="0.3">
      <c r="A76" s="218" t="s">
        <v>225</v>
      </c>
      <c r="B76" s="322" t="str">
        <f t="shared" ref="B76:D79" si="3">B5</f>
        <v>Chicken - دجاج</v>
      </c>
      <c r="C76" s="322" t="str">
        <f t="shared" si="3"/>
        <v>gm</v>
      </c>
      <c r="D76" s="118">
        <f t="shared" si="3"/>
        <v>1461.988304093567</v>
      </c>
      <c r="E76" s="196">
        <f>$H$54</f>
        <v>10</v>
      </c>
      <c r="F76" s="126">
        <f>F5</f>
        <v>1</v>
      </c>
      <c r="G76" s="118">
        <f>D76*E76</f>
        <v>14619.883040935671</v>
      </c>
      <c r="H76" s="119">
        <f>G76*F76</f>
        <v>14619.883040935671</v>
      </c>
    </row>
    <row r="77" spans="1:8" ht="14.25" customHeight="1" x14ac:dyDescent="0.3">
      <c r="A77" s="269" t="s">
        <v>95</v>
      </c>
      <c r="B77" s="322" t="str">
        <f t="shared" si="3"/>
        <v>Salt - ملح</v>
      </c>
      <c r="C77" s="322" t="str">
        <f t="shared" si="3"/>
        <v>gm</v>
      </c>
      <c r="D77" s="322">
        <f t="shared" si="3"/>
        <v>50</v>
      </c>
      <c r="E77" s="196">
        <f>$H$54</f>
        <v>10</v>
      </c>
      <c r="F77" s="126">
        <f>F6</f>
        <v>0.75</v>
      </c>
      <c r="G77" s="118">
        <f>D77*E77</f>
        <v>500</v>
      </c>
      <c r="H77" s="119">
        <f>G77*F77</f>
        <v>375</v>
      </c>
    </row>
    <row r="78" spans="1:8" ht="14.25" customHeight="1" x14ac:dyDescent="0.3">
      <c r="A78" s="269" t="s">
        <v>215</v>
      </c>
      <c r="B78" s="322" t="str">
        <f t="shared" si="3"/>
        <v>Saffron yellow color powder - لون صفار زعفران بودر</v>
      </c>
      <c r="C78" s="322" t="str">
        <f t="shared" si="3"/>
        <v>gm</v>
      </c>
      <c r="D78" s="322">
        <f t="shared" si="3"/>
        <v>3</v>
      </c>
      <c r="E78" s="196">
        <f>$H$54</f>
        <v>10</v>
      </c>
      <c r="F78" s="126">
        <f>F7</f>
        <v>0.75</v>
      </c>
      <c r="G78" s="118">
        <f>D78*E78</f>
        <v>30</v>
      </c>
      <c r="H78" s="119">
        <f>G78*F78</f>
        <v>22.5</v>
      </c>
    </row>
    <row r="79" spans="1:8" ht="14.25" customHeight="1" x14ac:dyDescent="0.3">
      <c r="A79" s="269" t="s">
        <v>215</v>
      </c>
      <c r="B79" s="322" t="str">
        <f t="shared" si="3"/>
        <v>Orange Color - لون برتقالي</v>
      </c>
      <c r="C79" s="322" t="str">
        <f t="shared" si="3"/>
        <v>gm</v>
      </c>
      <c r="D79" s="322">
        <f t="shared" si="3"/>
        <v>3</v>
      </c>
      <c r="E79" s="196">
        <f>$H$54</f>
        <v>10</v>
      </c>
      <c r="F79" s="126">
        <f>F8</f>
        <v>0.9</v>
      </c>
      <c r="G79" s="118">
        <f>D79*E79</f>
        <v>30</v>
      </c>
      <c r="H79" s="119">
        <f>G79*F79</f>
        <v>27</v>
      </c>
    </row>
    <row r="80" spans="1:8" ht="14.25" customHeight="1" x14ac:dyDescent="0.3">
      <c r="A80" s="210"/>
      <c r="B80" s="197" t="s">
        <v>291</v>
      </c>
      <c r="C80" s="199" t="s">
        <v>277</v>
      </c>
      <c r="D80" s="14"/>
      <c r="E80" s="199" t="s">
        <v>292</v>
      </c>
      <c r="F80" s="14"/>
      <c r="G80" s="878" t="s">
        <v>268</v>
      </c>
      <c r="H80" s="878" t="s">
        <v>703</v>
      </c>
    </row>
    <row r="81" spans="1:8" ht="28.5" customHeight="1" x14ac:dyDescent="0.4">
      <c r="A81" s="210"/>
      <c r="B81" s="198">
        <f>$J$54</f>
        <v>10000</v>
      </c>
      <c r="C81" s="200">
        <f>E81+G81</f>
        <v>0</v>
      </c>
      <c r="D81" s="208"/>
      <c r="E81" s="200">
        <f>$C$54*$S$44</f>
        <v>0</v>
      </c>
      <c r="F81" s="99"/>
      <c r="G81" s="201">
        <f>$C$54*$T$44</f>
        <v>0</v>
      </c>
      <c r="H81" s="201">
        <f>B81+E81</f>
        <v>10000</v>
      </c>
    </row>
    <row r="82" spans="1:8" ht="14" customHeight="1" x14ac:dyDescent="0.3">
      <c r="B82" s="99"/>
      <c r="E82" s="99"/>
      <c r="F82" s="99"/>
    </row>
    <row r="83" spans="1:8" ht="14" customHeight="1" x14ac:dyDescent="0.3">
      <c r="B83" s="99"/>
      <c r="E83" s="99"/>
      <c r="F83" s="99"/>
    </row>
    <row r="84" spans="1:8" ht="14.25" customHeight="1" x14ac:dyDescent="0.3">
      <c r="B84" s="99"/>
      <c r="E84" s="99"/>
      <c r="F84" s="99"/>
    </row>
    <row r="85" spans="1:8" ht="14.25" customHeight="1" x14ac:dyDescent="0.3">
      <c r="B85" s="99"/>
      <c r="E85" s="99"/>
      <c r="F85" s="99"/>
    </row>
    <row r="86" spans="1:8" ht="17.75" customHeight="1" x14ac:dyDescent="0.3">
      <c r="A86" s="321"/>
      <c r="B86" s="1447" t="str">
        <f>"دجاج مندى 3 / " &amp; COUNTIF($H$53:$H$55, "&gt;0")</f>
        <v>دجاج مندى 3 / 3</v>
      </c>
      <c r="C86" s="1456"/>
      <c r="D86" s="1456"/>
      <c r="E86" s="1456"/>
      <c r="F86" s="1456"/>
      <c r="G86" s="1456"/>
      <c r="H86" s="1456"/>
    </row>
    <row r="87" spans="1:8" ht="17.75" customHeight="1" x14ac:dyDescent="0.3">
      <c r="A87" s="406"/>
      <c r="B87" s="1447" t="str">
        <f>"Mandi Chicken 3 / " &amp; COUNTIF($H$53:$H$55, "&gt;0")</f>
        <v>Mandi Chicken 3 / 3</v>
      </c>
      <c r="C87" s="1456"/>
      <c r="D87" s="1456"/>
      <c r="E87" s="1456"/>
      <c r="F87" s="1456"/>
      <c r="G87" s="1456"/>
      <c r="H87" s="1456"/>
    </row>
    <row r="88" spans="1:8" ht="46.5" customHeight="1" x14ac:dyDescent="0.3">
      <c r="A88" s="90"/>
      <c r="B88" s="90" t="s">
        <v>245</v>
      </c>
      <c r="C88" s="306" t="s">
        <v>321</v>
      </c>
      <c r="D88" s="90" t="s">
        <v>322</v>
      </c>
      <c r="E88" s="107" t="s">
        <v>323</v>
      </c>
      <c r="F88" s="107" t="s">
        <v>324</v>
      </c>
      <c r="G88" s="307" t="s">
        <v>325</v>
      </c>
      <c r="H88" s="108" t="s">
        <v>326</v>
      </c>
    </row>
    <row r="89" spans="1:8" ht="14.25" customHeight="1" x14ac:dyDescent="0.3">
      <c r="A89" s="218" t="s">
        <v>225</v>
      </c>
      <c r="B89" s="218" t="str">
        <f t="shared" ref="B89:D93" si="4">B5</f>
        <v>Chicken - دجاج</v>
      </c>
      <c r="C89" s="218" t="str">
        <f t="shared" si="4"/>
        <v>gm</v>
      </c>
      <c r="D89" s="118">
        <f t="shared" si="4"/>
        <v>1461.988304093567</v>
      </c>
      <c r="E89" s="196">
        <f>$H$55</f>
        <v>0.11000000000000298</v>
      </c>
      <c r="F89" s="324">
        <f>F5</f>
        <v>1</v>
      </c>
      <c r="G89" s="118">
        <f>D89*E89</f>
        <v>160.81871345029674</v>
      </c>
      <c r="H89" s="119">
        <f>G89*F89</f>
        <v>160.81871345029674</v>
      </c>
    </row>
    <row r="90" spans="1:8" ht="14.25" customHeight="1" x14ac:dyDescent="0.3">
      <c r="A90" s="218" t="s">
        <v>95</v>
      </c>
      <c r="B90" s="218" t="str">
        <f t="shared" si="4"/>
        <v>Salt - ملح</v>
      </c>
      <c r="C90" s="218" t="str">
        <f t="shared" si="4"/>
        <v>gm</v>
      </c>
      <c r="D90" s="218">
        <f t="shared" si="4"/>
        <v>50</v>
      </c>
      <c r="E90" s="196">
        <f>$H$55</f>
        <v>0.11000000000000298</v>
      </c>
      <c r="F90" s="324">
        <f>F6</f>
        <v>0.75</v>
      </c>
      <c r="G90" s="118">
        <f>D90*E90</f>
        <v>5.5000000000001492</v>
      </c>
      <c r="H90" s="119">
        <f>G90*F90</f>
        <v>4.1250000000001119</v>
      </c>
    </row>
    <row r="91" spans="1:8" ht="14.25" customHeight="1" x14ac:dyDescent="0.3">
      <c r="A91" s="218" t="s">
        <v>215</v>
      </c>
      <c r="B91" s="218" t="str">
        <f t="shared" si="4"/>
        <v>Saffron yellow color powder - لون صفار زعفران بودر</v>
      </c>
      <c r="C91" s="218" t="str">
        <f t="shared" si="4"/>
        <v>gm</v>
      </c>
      <c r="D91" s="218">
        <f t="shared" si="4"/>
        <v>3</v>
      </c>
      <c r="E91" s="196">
        <f>$H$55</f>
        <v>0.11000000000000298</v>
      </c>
      <c r="F91" s="324">
        <f>F7</f>
        <v>0.75</v>
      </c>
      <c r="G91" s="118">
        <f>D91*E91</f>
        <v>0.33000000000000895</v>
      </c>
      <c r="H91" s="119">
        <f>G91*F91</f>
        <v>0.24750000000000671</v>
      </c>
    </row>
    <row r="92" spans="1:8" ht="14.25" customHeight="1" x14ac:dyDescent="0.3">
      <c r="A92" s="218" t="s">
        <v>215</v>
      </c>
      <c r="B92" s="218" t="str">
        <f t="shared" si="4"/>
        <v>Orange Color - لون برتقالي</v>
      </c>
      <c r="C92" s="218" t="str">
        <f t="shared" si="4"/>
        <v>gm</v>
      </c>
      <c r="D92" s="218">
        <f t="shared" si="4"/>
        <v>3</v>
      </c>
      <c r="E92" s="196">
        <f>$H$55</f>
        <v>0.11000000000000298</v>
      </c>
      <c r="F92" s="324">
        <f>F8</f>
        <v>0.9</v>
      </c>
      <c r="G92" s="118">
        <f>D92*E92</f>
        <v>0.33000000000000895</v>
      </c>
      <c r="H92" s="119">
        <f>G92*F92</f>
        <v>0.29700000000000809</v>
      </c>
    </row>
    <row r="93" spans="1:8" ht="14.25" customHeight="1" x14ac:dyDescent="0.3">
      <c r="A93" s="218" t="s">
        <v>95</v>
      </c>
      <c r="B93" s="218" t="str">
        <f t="shared" si="4"/>
        <v>Cumin Powder - كمون مطحون</v>
      </c>
      <c r="C93" s="218" t="str">
        <f t="shared" si="4"/>
        <v>gm</v>
      </c>
      <c r="D93" s="218">
        <f t="shared" si="4"/>
        <v>5</v>
      </c>
      <c r="E93" s="196">
        <f>$H$55</f>
        <v>0.11000000000000298</v>
      </c>
      <c r="F93" s="324">
        <f>F9</f>
        <v>0.8</v>
      </c>
      <c r="G93" s="118">
        <f>D93*E93</f>
        <v>0.55000000000001492</v>
      </c>
      <c r="H93" s="119">
        <f>G93*F93</f>
        <v>0.44000000000001194</v>
      </c>
    </row>
    <row r="94" spans="1:8" ht="20.25" customHeight="1" x14ac:dyDescent="0.3">
      <c r="A94" s="210"/>
      <c r="B94" s="197" t="s">
        <v>291</v>
      </c>
      <c r="C94" s="199" t="s">
        <v>277</v>
      </c>
      <c r="D94" s="14"/>
      <c r="E94" s="199" t="s">
        <v>292</v>
      </c>
      <c r="F94" s="14"/>
      <c r="G94" s="878" t="s">
        <v>268</v>
      </c>
      <c r="H94" s="878" t="s">
        <v>703</v>
      </c>
    </row>
    <row r="95" spans="1:8" ht="28.25" customHeight="1" x14ac:dyDescent="0.4">
      <c r="A95" s="210"/>
      <c r="B95" s="198">
        <f>$J$55</f>
        <v>110</v>
      </c>
      <c r="C95" s="200">
        <f>E95+G95</f>
        <v>0</v>
      </c>
      <c r="D95" s="208"/>
      <c r="E95" s="200">
        <f>$C$55*$S$44</f>
        <v>0</v>
      </c>
      <c r="F95" s="99"/>
      <c r="G95" s="201">
        <f>$C$55*$T$44</f>
        <v>0</v>
      </c>
      <c r="H95" s="201">
        <f>B95+E95</f>
        <v>110</v>
      </c>
    </row>
  </sheetData>
  <mergeCells count="11">
    <mergeCell ref="AE2:AG3"/>
    <mergeCell ref="B74:H74"/>
    <mergeCell ref="B73:H73"/>
    <mergeCell ref="B87:H87"/>
    <mergeCell ref="B62:H62"/>
    <mergeCell ref="R26:T26"/>
    <mergeCell ref="B86:H86"/>
    <mergeCell ref="R25:T25"/>
    <mergeCell ref="B2:K3"/>
    <mergeCell ref="B63:H63"/>
    <mergeCell ref="B35:F35"/>
  </mergeCells>
  <printOptions horizontalCentered="1"/>
  <pageMargins left="0.5" right="0.5" top="1" bottom="0.5" header="0.3" footer="0.511811023622047"/>
  <pageSetup paperSize="9" scale="33" orientation="portrait" r:id="rId1"/>
  <legacyDrawing r:id="rId2"/>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rgb="FFBF9000"/>
    <pageSetUpPr fitToPage="1"/>
  </sheetPr>
  <dimension ref="A1:AT73"/>
  <sheetViews>
    <sheetView topLeftCell="L4" zoomScale="70" zoomScaleNormal="70" workbookViewId="0">
      <selection activeCell="R52" sqref="Q52:R53"/>
    </sheetView>
  </sheetViews>
  <sheetFormatPr defaultColWidth="12.5" defaultRowHeight="12.5" x14ac:dyDescent="0.25"/>
  <cols>
    <col min="1" max="1" width="12.5" style="14" customWidth="1"/>
    <col min="2" max="2" width="31.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5.5" style="14" customWidth="1"/>
    <col min="15" max="15" width="16.58203125" style="14" customWidth="1"/>
    <col min="16" max="17" width="12.5" style="14" customWidth="1"/>
    <col min="18" max="18" width="32.08203125" style="14" customWidth="1"/>
    <col min="19" max="26" width="12.5" style="14" customWidth="1"/>
    <col min="27" max="27" width="11.08203125" style="14" bestFit="1" customWidth="1"/>
    <col min="28" max="28" width="10" style="14" bestFit="1" customWidth="1"/>
    <col min="29" max="30" width="12.5" style="14" customWidth="1"/>
    <col min="31" max="35" width="3.75" style="14" customWidth="1"/>
    <col min="36" max="36" width="36.4140625" style="14" customWidth="1"/>
    <col min="37" max="37" width="12.5" style="14" customWidth="1"/>
    <col min="38" max="41" width="12.5" style="14"/>
    <col min="42" max="42" width="15.33203125" style="14" customWidth="1"/>
    <col min="43" max="16384" width="12.5" style="14"/>
  </cols>
  <sheetData>
    <row r="1" spans="1:46" ht="28.5" customHeight="1" x14ac:dyDescent="0.3">
      <c r="B1" s="79" t="s">
        <v>335</v>
      </c>
      <c r="C1" s="80">
        <v>1</v>
      </c>
      <c r="D1" s="81" t="s">
        <v>236</v>
      </c>
      <c r="E1" s="116">
        <f>U32</f>
        <v>391</v>
      </c>
      <c r="F1" s="79" t="s">
        <v>237</v>
      </c>
      <c r="G1" s="116">
        <f>E1/C1</f>
        <v>391</v>
      </c>
      <c r="H1" s="79" t="s">
        <v>238</v>
      </c>
      <c r="I1" s="116"/>
      <c r="J1" s="325" t="s">
        <v>239</v>
      </c>
      <c r="K1" s="326"/>
      <c r="L1" s="99"/>
      <c r="M1" s="88"/>
      <c r="N1" s="89"/>
      <c r="O1" s="90" t="s">
        <v>240</v>
      </c>
      <c r="P1" s="462" t="s">
        <v>241</v>
      </c>
      <c r="Q1" s="92" t="s">
        <v>242</v>
      </c>
      <c r="R1" s="91">
        <v>0.51</v>
      </c>
      <c r="S1" s="92" t="s">
        <v>398</v>
      </c>
      <c r="T1" s="327">
        <v>20</v>
      </c>
      <c r="Y1" s="90" t="s">
        <v>463</v>
      </c>
      <c r="Z1" s="835">
        <v>386</v>
      </c>
      <c r="AA1" s="90" t="s">
        <v>578</v>
      </c>
      <c r="AB1" s="835">
        <v>5</v>
      </c>
      <c r="AC1" s="90" t="s">
        <v>567</v>
      </c>
      <c r="AD1" s="835">
        <v>386</v>
      </c>
      <c r="AE1" s="249"/>
      <c r="AF1" s="251"/>
      <c r="AG1" s="91"/>
      <c r="AJ1" s="93" t="s">
        <v>254</v>
      </c>
      <c r="AK1" s="93">
        <v>10000</v>
      </c>
      <c r="AL1" s="623" t="s">
        <v>503</v>
      </c>
      <c r="AM1" s="624">
        <f>$S$32</f>
        <v>391</v>
      </c>
      <c r="AN1" s="93" t="s">
        <v>243</v>
      </c>
      <c r="AO1" s="328">
        <f>((S32*T1)/$R$1)/$AK$1</f>
        <v>1.5333333333333334</v>
      </c>
      <c r="AP1" s="94"/>
    </row>
    <row r="2" spans="1:46" ht="12.75" customHeight="1" x14ac:dyDescent="0.25">
      <c r="A2" s="329"/>
      <c r="B2" s="1449" t="s">
        <v>399</v>
      </c>
      <c r="C2" s="1449"/>
      <c r="D2" s="1449"/>
      <c r="E2" s="1449"/>
      <c r="F2" s="1449"/>
      <c r="G2" s="1449"/>
      <c r="H2" s="1449"/>
      <c r="I2" s="643"/>
      <c r="J2" s="643"/>
      <c r="K2" s="643"/>
      <c r="L2" s="292"/>
      <c r="M2" s="99"/>
      <c r="N2" s="99"/>
      <c r="O2" s="99"/>
      <c r="P2" s="99"/>
      <c r="Q2" s="99"/>
      <c r="R2" s="99"/>
      <c r="AC2" s="98"/>
      <c r="AD2" s="98"/>
      <c r="AE2" s="1457"/>
      <c r="AF2" s="1460"/>
      <c r="AG2" s="1460"/>
      <c r="AJ2" s="100"/>
      <c r="AK2" s="1442" t="s">
        <v>400</v>
      </c>
      <c r="AL2" s="1442"/>
      <c r="AM2" s="1442"/>
      <c r="AN2" s="1442"/>
      <c r="AO2" s="100"/>
      <c r="AP2" s="100"/>
    </row>
    <row r="3" spans="1:46" ht="12.75" customHeight="1" x14ac:dyDescent="0.3">
      <c r="A3" s="329"/>
      <c r="B3" s="1450"/>
      <c r="C3" s="1450"/>
      <c r="D3" s="1450"/>
      <c r="E3" s="1450"/>
      <c r="F3" s="1450"/>
      <c r="G3" s="1450"/>
      <c r="H3" s="1450"/>
      <c r="I3" s="644"/>
      <c r="J3" s="644"/>
      <c r="K3" s="644"/>
      <c r="L3" s="292"/>
      <c r="M3" s="99"/>
      <c r="N3" s="99"/>
      <c r="O3" s="99"/>
      <c r="P3" s="99"/>
      <c r="Q3" s="99"/>
      <c r="R3" s="99"/>
      <c r="AC3" s="98"/>
      <c r="AD3" s="98"/>
      <c r="AE3" s="1460"/>
      <c r="AF3" s="1460"/>
      <c r="AG3" s="1460"/>
      <c r="AJ3" s="372"/>
      <c r="AK3" s="103"/>
      <c r="AL3" s="104"/>
      <c r="AM3" s="104"/>
      <c r="AN3" s="104"/>
      <c r="AO3" s="103"/>
      <c r="AP3" s="103"/>
    </row>
    <row r="4" spans="1:46" ht="68.75" customHeight="1" x14ac:dyDescent="0.25">
      <c r="A4" s="90" t="s">
        <v>1</v>
      </c>
      <c r="B4" s="90" t="s">
        <v>245</v>
      </c>
      <c r="C4" s="106" t="s">
        <v>246</v>
      </c>
      <c r="D4" s="90" t="s">
        <v>235</v>
      </c>
      <c r="E4" s="217" t="s">
        <v>238</v>
      </c>
      <c r="F4" s="107" t="s">
        <v>247</v>
      </c>
      <c r="G4" s="90" t="s">
        <v>248</v>
      </c>
      <c r="H4" s="108" t="s">
        <v>326</v>
      </c>
      <c r="I4" s="90" t="s">
        <v>250</v>
      </c>
      <c r="J4" s="90" t="s">
        <v>251</v>
      </c>
      <c r="K4" s="90" t="s">
        <v>252</v>
      </c>
      <c r="L4" s="90" t="s">
        <v>253</v>
      </c>
      <c r="M4" s="99"/>
      <c r="N4" s="99"/>
      <c r="O4" s="99"/>
      <c r="P4" s="99"/>
      <c r="AA4" s="250"/>
      <c r="AB4" s="252"/>
      <c r="AC4" s="250"/>
      <c r="AD4" s="250"/>
      <c r="AE4" s="250"/>
      <c r="AJ4" s="109" t="s">
        <v>245</v>
      </c>
      <c r="AK4" s="110" t="s">
        <v>246</v>
      </c>
      <c r="AL4" s="109" t="s">
        <v>254</v>
      </c>
      <c r="AM4" s="109" t="s">
        <v>238</v>
      </c>
      <c r="AN4" s="109" t="s">
        <v>247</v>
      </c>
      <c r="AO4" s="109" t="s">
        <v>248</v>
      </c>
      <c r="AP4" s="111" t="s">
        <v>249</v>
      </c>
      <c r="AQ4" s="90" t="s">
        <v>250</v>
      </c>
      <c r="AR4" s="90" t="s">
        <v>251</v>
      </c>
      <c r="AS4" s="90" t="s">
        <v>252</v>
      </c>
      <c r="AT4" s="90" t="s">
        <v>253</v>
      </c>
    </row>
    <row r="5" spans="1:46" ht="13.25" customHeight="1" x14ac:dyDescent="0.25">
      <c r="A5" s="112" t="s">
        <v>225</v>
      </c>
      <c r="B5" s="464" t="s">
        <v>224</v>
      </c>
      <c r="C5" s="418" t="s">
        <v>231</v>
      </c>
      <c r="D5" s="267">
        <f>T1/R1</f>
        <v>39.215686274509807</v>
      </c>
      <c r="E5" s="115">
        <f>G1</f>
        <v>391</v>
      </c>
      <c r="F5" s="444">
        <v>1</v>
      </c>
      <c r="G5" s="452">
        <f>D5*E5</f>
        <v>15333.333333333334</v>
      </c>
      <c r="H5" s="446">
        <f>G5*F5</f>
        <v>15333.333333333334</v>
      </c>
      <c r="I5" s="465">
        <f>VLOOKUP(B5,All_Ingredients!$A$1:$F$149,6,FALSE())</f>
        <v>0.86</v>
      </c>
      <c r="J5" s="452">
        <f>VLOOKUP(B5,All_Ingredients!$A$1:$J$149,10,FALSE())</f>
        <v>17.100000000000001</v>
      </c>
      <c r="K5" s="466">
        <f>(H5/I5)/1000</f>
        <v>17.829457364341089</v>
      </c>
      <c r="L5" s="466">
        <f>K5*J5</f>
        <v>304.88372093023264</v>
      </c>
      <c r="M5" s="99"/>
      <c r="N5" s="99"/>
      <c r="O5" s="99"/>
      <c r="P5" s="99"/>
      <c r="AA5" s="91"/>
      <c r="AB5" s="132"/>
      <c r="AC5" s="253"/>
      <c r="AD5" s="134"/>
      <c r="AE5" s="135"/>
      <c r="AJ5" s="373" t="s">
        <v>224</v>
      </c>
      <c r="AK5" s="123" t="s">
        <v>231</v>
      </c>
      <c r="AL5" s="374">
        <v>10</v>
      </c>
      <c r="AM5" s="375">
        <f t="shared" ref="AM5:AM13" si="0">$AO$1</f>
        <v>1.5333333333333334</v>
      </c>
      <c r="AN5" s="376">
        <v>1</v>
      </c>
      <c r="AO5" s="377">
        <f t="shared" ref="AO5:AO13" si="1">AL5*AM5</f>
        <v>15.333333333333334</v>
      </c>
      <c r="AP5" s="378">
        <f t="shared" ref="AP5:AP13" si="2">AO5*AN5</f>
        <v>15.333333333333334</v>
      </c>
      <c r="AQ5" s="294"/>
      <c r="AR5" s="1152"/>
      <c r="AS5" s="174"/>
      <c r="AT5" s="1153"/>
    </row>
    <row r="6" spans="1:46" ht="14.25" customHeight="1" x14ac:dyDescent="0.25">
      <c r="A6" s="403"/>
      <c r="B6" s="467"/>
      <c r="C6" s="468"/>
      <c r="D6" s="357"/>
      <c r="E6" s="358"/>
      <c r="F6" s="359"/>
      <c r="G6" s="469"/>
      <c r="H6" s="361"/>
      <c r="I6" s="421"/>
      <c r="J6" s="469"/>
      <c r="K6" s="470"/>
      <c r="L6" s="470"/>
      <c r="AJ6" s="373" t="s">
        <v>55</v>
      </c>
      <c r="AK6" s="123" t="s">
        <v>14</v>
      </c>
      <c r="AL6" s="374">
        <v>50</v>
      </c>
      <c r="AM6" s="375">
        <f t="shared" si="0"/>
        <v>1.5333333333333334</v>
      </c>
      <c r="AN6" s="376">
        <v>1</v>
      </c>
      <c r="AO6" s="377">
        <f t="shared" si="1"/>
        <v>76.666666666666671</v>
      </c>
      <c r="AP6" s="378">
        <f t="shared" si="2"/>
        <v>76.666666666666671</v>
      </c>
      <c r="AQ6" s="1153">
        <f>VLOOKUP(AJ6,Marination_Ordering!$A:$J,6,FALSE)</f>
        <v>0.87</v>
      </c>
      <c r="AR6" s="1153">
        <f>VLOOKUP(AJ6,Marination_Ordering!$A:$J,10,FALSE)</f>
        <v>3.2</v>
      </c>
      <c r="AS6" s="174">
        <f>AP6/AQ6</f>
        <v>88.122605363984675</v>
      </c>
      <c r="AT6" s="1153">
        <f>AR6*(AS6/1000)</f>
        <v>0.28199233716475097</v>
      </c>
    </row>
    <row r="7" spans="1:46" ht="14.25" customHeight="1" x14ac:dyDescent="0.25">
      <c r="B7" s="404"/>
      <c r="C7" s="331"/>
      <c r="D7" s="253"/>
      <c r="E7" s="332"/>
      <c r="F7" s="135"/>
      <c r="G7" s="136"/>
      <c r="H7" s="137"/>
      <c r="I7" s="91"/>
      <c r="J7" s="136"/>
      <c r="K7" s="130"/>
      <c r="L7" s="130"/>
      <c r="AJ7" s="373" t="s">
        <v>762</v>
      </c>
      <c r="AK7" s="123" t="s">
        <v>14</v>
      </c>
      <c r="AL7" s="374">
        <v>100</v>
      </c>
      <c r="AM7" s="375">
        <f t="shared" si="0"/>
        <v>1.5333333333333334</v>
      </c>
      <c r="AN7" s="376">
        <v>1</v>
      </c>
      <c r="AO7" s="377">
        <f t="shared" si="1"/>
        <v>153.33333333333334</v>
      </c>
      <c r="AP7" s="378">
        <f t="shared" si="2"/>
        <v>153.33333333333334</v>
      </c>
      <c r="AQ7" s="1153">
        <f>VLOOKUP(AJ7,Marination_Ordering!$A:$J,6,FALSE)</f>
        <v>1</v>
      </c>
      <c r="AR7" s="1153">
        <f>VLOOKUP(AJ7,Marination_Ordering!$A:$J,10,FALSE)</f>
        <v>10.5</v>
      </c>
      <c r="AS7" s="174">
        <f t="shared" ref="AS7:AS13" si="3">AP7/AQ7</f>
        <v>153.33333333333334</v>
      </c>
      <c r="AT7" s="1153">
        <f t="shared" ref="AT7:AT13" si="4">AR7*(AS7/1000)</f>
        <v>1.61</v>
      </c>
    </row>
    <row r="8" spans="1:46" ht="14.25" customHeight="1" x14ac:dyDescent="0.25">
      <c r="B8" s="404"/>
      <c r="C8" s="331"/>
      <c r="D8" s="253"/>
      <c r="E8" s="332"/>
      <c r="F8" s="135"/>
      <c r="G8" s="136"/>
      <c r="H8" s="137"/>
      <c r="I8" s="91"/>
      <c r="J8" s="136"/>
      <c r="K8" s="130"/>
      <c r="L8" s="130"/>
      <c r="AJ8" s="373" t="s">
        <v>106</v>
      </c>
      <c r="AK8" s="123" t="s">
        <v>14</v>
      </c>
      <c r="AL8" s="374">
        <v>50</v>
      </c>
      <c r="AM8" s="375">
        <f t="shared" si="0"/>
        <v>1.5333333333333334</v>
      </c>
      <c r="AN8" s="376">
        <v>1</v>
      </c>
      <c r="AO8" s="377">
        <f t="shared" si="1"/>
        <v>76.666666666666671</v>
      </c>
      <c r="AP8" s="378">
        <f t="shared" si="2"/>
        <v>76.666666666666671</v>
      </c>
      <c r="AQ8" s="1153">
        <f>VLOOKUP(AJ8,Marination_Ordering!$A:$J,6,FALSE)</f>
        <v>1</v>
      </c>
      <c r="AR8" s="1153">
        <f>VLOOKUP(AJ8,Marination_Ordering!$A:$J,10,FALSE)</f>
        <v>15</v>
      </c>
      <c r="AS8" s="174">
        <f t="shared" si="3"/>
        <v>76.666666666666671</v>
      </c>
      <c r="AT8" s="1153">
        <f t="shared" si="4"/>
        <v>1.1500000000000001</v>
      </c>
    </row>
    <row r="9" spans="1:46" ht="14.25" customHeight="1" x14ac:dyDescent="0.25">
      <c r="B9" s="404"/>
      <c r="C9" s="331"/>
      <c r="D9" s="253"/>
      <c r="E9" s="332"/>
      <c r="F9" s="135"/>
      <c r="G9" s="136"/>
      <c r="H9" s="137"/>
      <c r="I9" s="91"/>
      <c r="J9" s="136"/>
      <c r="K9" s="130"/>
      <c r="L9" s="130"/>
      <c r="AJ9" s="373" t="s">
        <v>204</v>
      </c>
      <c r="AK9" s="123" t="s">
        <v>14</v>
      </c>
      <c r="AL9" s="374">
        <v>100</v>
      </c>
      <c r="AM9" s="375">
        <f t="shared" si="0"/>
        <v>1.5333333333333334</v>
      </c>
      <c r="AN9" s="376">
        <v>1</v>
      </c>
      <c r="AO9" s="377">
        <f t="shared" si="1"/>
        <v>153.33333333333334</v>
      </c>
      <c r="AP9" s="378">
        <f t="shared" si="2"/>
        <v>153.33333333333334</v>
      </c>
      <c r="AQ9" s="1153">
        <f>VLOOKUP(AJ9,Marination_Ordering!$A:$J,6,FALSE)</f>
        <v>1</v>
      </c>
      <c r="AR9" s="1153">
        <f>VLOOKUP(AJ9,Marination_Ordering!$A:$J,10,FALSE)</f>
        <v>11.243386243386244</v>
      </c>
      <c r="AS9" s="174">
        <f t="shared" si="3"/>
        <v>153.33333333333334</v>
      </c>
      <c r="AT9" s="1153">
        <f t="shared" si="4"/>
        <v>1.7239858906525576</v>
      </c>
    </row>
    <row r="10" spans="1:46" ht="14.25" customHeight="1" x14ac:dyDescent="0.25">
      <c r="B10" s="348"/>
      <c r="C10" s="331"/>
      <c r="D10" s="253"/>
      <c r="E10" s="332"/>
      <c r="F10" s="135"/>
      <c r="G10" s="136"/>
      <c r="H10" s="137"/>
      <c r="I10" s="91"/>
      <c r="J10" s="136"/>
      <c r="K10" s="130"/>
      <c r="L10" s="130"/>
      <c r="AJ10" s="373" t="s">
        <v>94</v>
      </c>
      <c r="AK10" s="123" t="s">
        <v>14</v>
      </c>
      <c r="AL10" s="374">
        <v>20</v>
      </c>
      <c r="AM10" s="375">
        <f t="shared" si="0"/>
        <v>1.5333333333333334</v>
      </c>
      <c r="AN10" s="376">
        <v>1</v>
      </c>
      <c r="AO10" s="377">
        <f t="shared" si="1"/>
        <v>30.666666666666668</v>
      </c>
      <c r="AP10" s="378">
        <f t="shared" si="2"/>
        <v>30.666666666666668</v>
      </c>
      <c r="AQ10" s="1153">
        <f>VLOOKUP(AJ10,Marination_Ordering!$A:$J,6,FALSE)</f>
        <v>1</v>
      </c>
      <c r="AR10" s="1153">
        <f>VLOOKUP(AJ10,Marination_Ordering!$A:$J,10,FALSE)</f>
        <v>0.74</v>
      </c>
      <c r="AS10" s="174">
        <f t="shared" si="3"/>
        <v>30.666666666666668</v>
      </c>
      <c r="AT10" s="1153">
        <f t="shared" si="4"/>
        <v>2.2693333333333333E-2</v>
      </c>
    </row>
    <row r="11" spans="1:46" ht="14.25" customHeight="1" x14ac:dyDescent="0.25">
      <c r="B11" s="404"/>
      <c r="C11" s="331"/>
      <c r="D11" s="253"/>
      <c r="E11" s="332"/>
      <c r="F11" s="135"/>
      <c r="G11" s="136"/>
      <c r="H11" s="137"/>
      <c r="I11" s="91"/>
      <c r="J11" s="136"/>
      <c r="K11" s="130"/>
      <c r="L11" s="130"/>
      <c r="AJ11" s="373" t="s">
        <v>100</v>
      </c>
      <c r="AK11" s="123" t="s">
        <v>14</v>
      </c>
      <c r="AL11" s="374">
        <v>25</v>
      </c>
      <c r="AM11" s="375">
        <f t="shared" si="0"/>
        <v>1.5333333333333334</v>
      </c>
      <c r="AN11" s="376">
        <v>1</v>
      </c>
      <c r="AO11" s="377">
        <f t="shared" si="1"/>
        <v>38.333333333333336</v>
      </c>
      <c r="AP11" s="378">
        <f t="shared" si="2"/>
        <v>38.333333333333336</v>
      </c>
      <c r="AQ11" s="1153">
        <f>VLOOKUP(AJ11,Marination_Ordering!$A:$J,6,FALSE)</f>
        <v>1</v>
      </c>
      <c r="AR11" s="1153">
        <f>VLOOKUP(AJ11,Marination_Ordering!$A:$J,10,FALSE)</f>
        <v>31</v>
      </c>
      <c r="AS11" s="174">
        <f t="shared" si="3"/>
        <v>38.333333333333336</v>
      </c>
      <c r="AT11" s="1153">
        <f t="shared" si="4"/>
        <v>1.1883333333333335</v>
      </c>
    </row>
    <row r="12" spans="1:46" ht="14.25" customHeight="1" x14ac:dyDescent="0.25">
      <c r="B12" s="404"/>
      <c r="C12" s="331"/>
      <c r="D12" s="253"/>
      <c r="E12" s="332"/>
      <c r="F12" s="135"/>
      <c r="G12" s="136"/>
      <c r="H12" s="137"/>
      <c r="I12" s="91"/>
      <c r="J12" s="136"/>
      <c r="K12" s="130"/>
      <c r="L12" s="130"/>
      <c r="AJ12" s="373" t="s">
        <v>111</v>
      </c>
      <c r="AK12" s="123" t="s">
        <v>14</v>
      </c>
      <c r="AL12" s="374">
        <v>50</v>
      </c>
      <c r="AM12" s="375">
        <f t="shared" si="0"/>
        <v>1.5333333333333334</v>
      </c>
      <c r="AN12" s="376">
        <v>1</v>
      </c>
      <c r="AO12" s="377">
        <f t="shared" si="1"/>
        <v>76.666666666666671</v>
      </c>
      <c r="AP12" s="378">
        <f t="shared" si="2"/>
        <v>76.666666666666671</v>
      </c>
      <c r="AQ12" s="1153">
        <f>VLOOKUP(AJ12,Marination_Ordering!$A:$J,6,FALSE)</f>
        <v>1</v>
      </c>
      <c r="AR12" s="1153">
        <f>VLOOKUP(AJ12,Marination_Ordering!$A:$J,10,FALSE)</f>
        <v>64.243759177679877</v>
      </c>
      <c r="AS12" s="174">
        <f t="shared" si="3"/>
        <v>76.666666666666671</v>
      </c>
      <c r="AT12" s="1153">
        <f t="shared" si="4"/>
        <v>4.9253548702887908</v>
      </c>
    </row>
    <row r="13" spans="1:46" ht="14.25" customHeight="1" x14ac:dyDescent="0.25">
      <c r="B13" s="348"/>
      <c r="C13" s="331"/>
      <c r="D13" s="253"/>
      <c r="E13" s="332"/>
      <c r="F13" s="135"/>
      <c r="G13" s="136"/>
      <c r="H13" s="137"/>
      <c r="I13" s="91"/>
      <c r="J13" s="136"/>
      <c r="K13" s="130"/>
      <c r="L13" s="130"/>
      <c r="AJ13" s="373" t="s">
        <v>214</v>
      </c>
      <c r="AK13" s="123" t="s">
        <v>161</v>
      </c>
      <c r="AL13" s="374">
        <v>200</v>
      </c>
      <c r="AM13" s="375">
        <f t="shared" si="0"/>
        <v>1.5333333333333334</v>
      </c>
      <c r="AN13" s="376">
        <v>1</v>
      </c>
      <c r="AO13" s="377">
        <f t="shared" si="1"/>
        <v>306.66666666666669</v>
      </c>
      <c r="AP13" s="378">
        <f t="shared" si="2"/>
        <v>306.66666666666669</v>
      </c>
      <c r="AQ13" s="1153">
        <f>VLOOKUP(AJ13,Marination_Ordering!$A:$J,6,FALSE)</f>
        <v>1</v>
      </c>
      <c r="AR13" s="1153">
        <f>VLOOKUP(AJ13,Marination_Ordering!$A:$J,10,FALSE)</f>
        <v>5</v>
      </c>
      <c r="AS13" s="174">
        <f t="shared" si="3"/>
        <v>306.66666666666669</v>
      </c>
      <c r="AT13" s="1153">
        <f t="shared" si="4"/>
        <v>1.5333333333333334</v>
      </c>
    </row>
    <row r="14" spans="1:46" ht="14.25" customHeight="1" x14ac:dyDescent="0.3">
      <c r="B14" s="348"/>
      <c r="C14" s="132"/>
      <c r="D14" s="253"/>
      <c r="E14" s="224"/>
      <c r="F14" s="135"/>
      <c r="G14" s="139"/>
      <c r="H14" s="137"/>
      <c r="I14"/>
      <c r="J14" s="138"/>
    </row>
    <row r="15" spans="1:46" ht="12.75" customHeight="1" x14ac:dyDescent="0.25">
      <c r="B15" s="250"/>
      <c r="C15" s="250"/>
      <c r="D15" s="249"/>
      <c r="E15" s="251"/>
      <c r="F15" s="250"/>
      <c r="G15" s="471"/>
      <c r="H15" s="251"/>
    </row>
    <row r="16" spans="1:46" ht="15.75" customHeight="1" x14ac:dyDescent="0.25">
      <c r="B16" s="98"/>
      <c r="C16" s="98"/>
      <c r="D16" s="351"/>
      <c r="E16" s="351"/>
      <c r="F16" s="351"/>
      <c r="G16" s="98"/>
      <c r="H16" s="98"/>
    </row>
    <row r="17" spans="2:29" ht="15.75" customHeight="1" x14ac:dyDescent="0.25">
      <c r="B17" s="98"/>
      <c r="C17" s="98"/>
      <c r="D17" s="351"/>
      <c r="E17" s="351"/>
      <c r="F17" s="351"/>
      <c r="G17" s="98"/>
      <c r="H17" s="98"/>
    </row>
    <row r="18" spans="2:29" ht="14" customHeight="1" x14ac:dyDescent="0.25">
      <c r="B18" s="250"/>
      <c r="C18" s="252"/>
      <c r="D18" s="250"/>
      <c r="E18" s="250"/>
      <c r="F18" s="250"/>
      <c r="G18" s="250"/>
      <c r="H18" s="250"/>
      <c r="N18" s="263"/>
    </row>
    <row r="19" spans="2:29" ht="14" customHeight="1" x14ac:dyDescent="0.25">
      <c r="B19" s="404"/>
      <c r="C19" s="132"/>
      <c r="D19" s="472"/>
      <c r="E19" s="473"/>
      <c r="F19" s="474"/>
      <c r="G19" s="475"/>
      <c r="H19" s="476"/>
    </row>
    <row r="20" spans="2:29" ht="14" customHeight="1" x14ac:dyDescent="0.25">
      <c r="B20" s="404"/>
      <c r="C20" s="132"/>
      <c r="D20" s="332"/>
      <c r="E20" s="473"/>
      <c r="F20" s="474"/>
      <c r="G20" s="475"/>
      <c r="H20" s="476"/>
    </row>
    <row r="21" spans="2:29" ht="14" customHeight="1" x14ac:dyDescent="0.25">
      <c r="B21" s="404"/>
      <c r="C21" s="132"/>
      <c r="D21" s="332"/>
      <c r="E21" s="473"/>
      <c r="F21" s="474"/>
      <c r="G21" s="475"/>
      <c r="H21" s="476"/>
    </row>
    <row r="22" spans="2:29" ht="14" customHeight="1" x14ac:dyDescent="0.25">
      <c r="B22" s="404"/>
      <c r="C22" s="132"/>
      <c r="D22" s="224"/>
      <c r="E22" s="473"/>
      <c r="F22" s="474"/>
      <c r="G22" s="475"/>
      <c r="H22" s="476"/>
    </row>
    <row r="23" spans="2:29" ht="14" customHeight="1" x14ac:dyDescent="0.25">
      <c r="B23" s="404"/>
      <c r="C23" s="132"/>
      <c r="D23" s="332"/>
      <c r="E23" s="473"/>
      <c r="F23" s="474"/>
      <c r="G23" s="475"/>
      <c r="H23" s="476"/>
    </row>
    <row r="24" spans="2:29" ht="14" customHeight="1" x14ac:dyDescent="0.25">
      <c r="B24" s="404"/>
      <c r="C24" s="132"/>
      <c r="D24" s="332"/>
      <c r="E24" s="473"/>
      <c r="F24" s="474"/>
      <c r="G24" s="475"/>
      <c r="H24" s="476"/>
      <c r="Z24" s="1208"/>
    </row>
    <row r="25" spans="2:29" ht="14" customHeight="1" x14ac:dyDescent="0.3">
      <c r="B25" s="404"/>
      <c r="C25" s="132"/>
      <c r="D25" s="332"/>
      <c r="E25" s="473"/>
      <c r="F25" s="474"/>
      <c r="G25" s="475"/>
      <c r="H25" s="476"/>
      <c r="R25" s="1467" t="s">
        <v>400</v>
      </c>
      <c r="S25" s="1516"/>
      <c r="T25" s="1516"/>
      <c r="U25" s="1516"/>
      <c r="V25" s="1187"/>
      <c r="Z25" s="140" t="s">
        <v>256</v>
      </c>
      <c r="AA25" s="141">
        <v>507</v>
      </c>
      <c r="AB25" s="140" t="s">
        <v>253</v>
      </c>
      <c r="AC25" s="1210">
        <f>AC30*AA25+(AB30*(AA28/R1))</f>
        <v>411.46021205209138</v>
      </c>
    </row>
    <row r="26" spans="2:29" ht="14" customHeight="1" x14ac:dyDescent="0.3">
      <c r="B26" s="404"/>
      <c r="C26" s="132"/>
      <c r="D26" s="253"/>
      <c r="E26" s="473"/>
      <c r="F26" s="474"/>
      <c r="G26" s="475"/>
      <c r="H26" s="476"/>
      <c r="R26" s="1451" t="s">
        <v>301</v>
      </c>
      <c r="S26" s="1515"/>
      <c r="T26" s="1515"/>
      <c r="U26" s="1515"/>
      <c r="V26" s="1187"/>
      <c r="Z26"/>
      <c r="AA26"/>
    </row>
    <row r="27" spans="2:29" ht="14" customHeight="1" thickBot="1" x14ac:dyDescent="0.35">
      <c r="B27" s="404"/>
      <c r="C27" s="132"/>
      <c r="D27" s="332"/>
      <c r="E27" s="473"/>
      <c r="F27" s="474"/>
      <c r="G27" s="475"/>
      <c r="H27" s="476"/>
      <c r="P27" s="337"/>
      <c r="R27" s="144" t="s">
        <v>258</v>
      </c>
      <c r="S27" s="144" t="s">
        <v>363</v>
      </c>
      <c r="T27" s="144" t="s">
        <v>260</v>
      </c>
      <c r="U27" s="144" t="s">
        <v>261</v>
      </c>
      <c r="V27" s="145" t="s">
        <v>808</v>
      </c>
      <c r="Z27" s="140" t="s">
        <v>262</v>
      </c>
      <c r="AA27" s="146" t="s">
        <v>263</v>
      </c>
      <c r="AB27" s="1166" t="s">
        <v>316</v>
      </c>
      <c r="AC27" s="146" t="s">
        <v>266</v>
      </c>
    </row>
    <row r="28" spans="2:29" ht="14" customHeight="1" thickBot="1" x14ac:dyDescent="0.35">
      <c r="R28" s="144" t="s">
        <v>267</v>
      </c>
      <c r="S28" s="784">
        <f>$Z$1</f>
        <v>386</v>
      </c>
      <c r="T28" s="338"/>
      <c r="U28" s="786">
        <f>S28</f>
        <v>386</v>
      </c>
      <c r="V28" s="148">
        <f>SUM(AP5:AP13)</f>
        <v>927.66666666666674</v>
      </c>
      <c r="Z28" s="150"/>
      <c r="AA28" s="1181">
        <f>AA25</f>
        <v>507</v>
      </c>
      <c r="AB28" s="1169"/>
      <c r="AC28" s="153">
        <f>SUM(AA28:AB28)</f>
        <v>507</v>
      </c>
    </row>
    <row r="29" spans="2:29" ht="14" customHeight="1" thickBot="1" x14ac:dyDescent="0.35">
      <c r="R29" s="144" t="s">
        <v>268</v>
      </c>
      <c r="S29" s="293"/>
      <c r="T29" s="338"/>
      <c r="U29" s="786">
        <f>T29</f>
        <v>0</v>
      </c>
      <c r="V29" s="148"/>
      <c r="Z29" s="150"/>
      <c r="AA29" s="155">
        <v>1</v>
      </c>
      <c r="AB29" s="1173"/>
      <c r="AC29" s="155">
        <f>AC28/$AC$28</f>
        <v>1</v>
      </c>
    </row>
    <row r="30" spans="2:29" ht="14" customHeight="1" thickBot="1" x14ac:dyDescent="0.35">
      <c r="R30" s="144" t="s">
        <v>269</v>
      </c>
      <c r="S30" s="783">
        <f>$AB$1</f>
        <v>5</v>
      </c>
      <c r="T30" s="338"/>
      <c r="U30" s="786">
        <f>S30</f>
        <v>5</v>
      </c>
      <c r="V30" s="1124"/>
      <c r="Z30" s="140" t="s">
        <v>270</v>
      </c>
      <c r="AA30" s="156">
        <f>S35/(S32)</f>
        <v>0.77975376196990442</v>
      </c>
      <c r="AB30" s="1177">
        <f>V35/(S32/R1)</f>
        <v>1.6220469258399262E-2</v>
      </c>
      <c r="AC30" s="1188">
        <f>SUMPRODUCT(AA29,AA30)</f>
        <v>0.77975376196990442</v>
      </c>
    </row>
    <row r="31" spans="2:29" ht="14" customHeight="1" thickBot="1" x14ac:dyDescent="0.35">
      <c r="R31" s="144" t="s">
        <v>271</v>
      </c>
      <c r="S31" s="293" t="s">
        <v>314</v>
      </c>
      <c r="T31" s="338">
        <f>T28+T29</f>
        <v>0</v>
      </c>
      <c r="U31" s="338">
        <f>T31</f>
        <v>0</v>
      </c>
      <c r="V31" s="148"/>
    </row>
    <row r="32" spans="2:29" ht="14" customHeight="1" thickBot="1" x14ac:dyDescent="0.35">
      <c r="R32" s="145" t="s">
        <v>261</v>
      </c>
      <c r="S32" s="339">
        <f>S28+S30</f>
        <v>391</v>
      </c>
      <c r="T32" s="339">
        <f>SUM(T28:T30)</f>
        <v>0</v>
      </c>
      <c r="U32" s="339">
        <f>U28+U30</f>
        <v>391</v>
      </c>
      <c r="V32" s="148">
        <f>SUM(V28:V30)</f>
        <v>927.66666666666674</v>
      </c>
    </row>
    <row r="33" spans="11:22" ht="17.75" customHeight="1" thickBot="1" x14ac:dyDescent="0.35">
      <c r="K33" s="261"/>
      <c r="R33" s="340" t="s">
        <v>272</v>
      </c>
      <c r="S33" s="341"/>
      <c r="T33" s="341"/>
      <c r="U33" s="342"/>
      <c r="V33" s="154"/>
    </row>
    <row r="34" spans="11:22" ht="17.75" customHeight="1" thickBot="1" x14ac:dyDescent="0.35">
      <c r="K34" s="261"/>
      <c r="R34" s="177" t="s">
        <v>273</v>
      </c>
      <c r="S34" s="343"/>
      <c r="T34" s="344">
        <f>T33-(T28+T29)</f>
        <v>0</v>
      </c>
      <c r="U34" s="343"/>
      <c r="V34" s="154"/>
    </row>
    <row r="35" spans="11:22" ht="12.75" customHeight="1" thickBot="1" x14ac:dyDescent="0.35">
      <c r="R35" s="162" t="s">
        <v>253</v>
      </c>
      <c r="S35" s="163">
        <f>$L$5</f>
        <v>304.88372093023264</v>
      </c>
      <c r="T35" s="163">
        <f>SUM(N6:N23)</f>
        <v>0</v>
      </c>
      <c r="U35" s="163">
        <f>S35+T35+V35</f>
        <v>317.31941402833877</v>
      </c>
      <c r="V35" s="1125">
        <f>SUM(AT6:AT13)</f>
        <v>12.4356930981061</v>
      </c>
    </row>
    <row r="36" spans="11:22" ht="12.75" customHeight="1" x14ac:dyDescent="0.25"/>
    <row r="37" spans="11:22" ht="12.75" customHeight="1" x14ac:dyDescent="0.25"/>
    <row r="38" spans="11:22" ht="12.75" customHeight="1" x14ac:dyDescent="0.25"/>
    <row r="39" spans="11:22" ht="12.75" customHeight="1" x14ac:dyDescent="0.25"/>
    <row r="40" spans="11:22" ht="25.5" customHeight="1" x14ac:dyDescent="0.25"/>
    <row r="41" spans="11:22" ht="12.75" customHeight="1" x14ac:dyDescent="0.25"/>
    <row r="42" spans="11:22" ht="12.75" customHeight="1" x14ac:dyDescent="0.25"/>
    <row r="43" spans="11:22" ht="12.75" customHeight="1" x14ac:dyDescent="0.25"/>
    <row r="44" spans="11:22" ht="14.25" customHeight="1" x14ac:dyDescent="0.25"/>
    <row r="46" spans="11:22" ht="14.25" customHeight="1" x14ac:dyDescent="0.25"/>
    <row r="47" spans="11:22" ht="14.25" customHeight="1" x14ac:dyDescent="0.25">
      <c r="K47" s="869"/>
      <c r="L47" s="869"/>
    </row>
    <row r="48" spans="11:22" ht="14.25" customHeight="1" x14ac:dyDescent="0.25">
      <c r="K48" s="869"/>
      <c r="L48" s="869"/>
    </row>
    <row r="49" spans="1:12" ht="14.25" customHeight="1" x14ac:dyDescent="0.25">
      <c r="K49" s="869"/>
      <c r="L49" s="869"/>
    </row>
    <row r="50" spans="1:12" ht="14.25" customHeight="1" x14ac:dyDescent="0.25">
      <c r="E50" s="99"/>
      <c r="F50" s="99"/>
      <c r="K50" s="869"/>
      <c r="L50" s="869"/>
    </row>
    <row r="51" spans="1:12" ht="14.25" customHeight="1" x14ac:dyDescent="0.25">
      <c r="E51" s="182"/>
      <c r="F51" s="99"/>
      <c r="K51" s="869"/>
      <c r="L51" s="869"/>
    </row>
    <row r="52" spans="1:12" ht="14.25" customHeight="1" x14ac:dyDescent="0.25">
      <c r="E52" s="99"/>
      <c r="F52" s="99"/>
      <c r="K52" s="869"/>
      <c r="L52" s="869"/>
    </row>
    <row r="53" spans="1:12" ht="14.25" customHeight="1" x14ac:dyDescent="0.25">
      <c r="D53" s="412"/>
      <c r="E53" s="99"/>
      <c r="F53" s="99"/>
      <c r="K53" s="869"/>
      <c r="L53" s="869"/>
    </row>
    <row r="54" spans="1:12" ht="14.25" customHeight="1" x14ac:dyDescent="0.25">
      <c r="D54" s="412"/>
      <c r="E54" s="99"/>
      <c r="F54" s="99"/>
      <c r="K54" s="869"/>
      <c r="L54" s="869"/>
    </row>
    <row r="55" spans="1:12" ht="14.25" customHeight="1" x14ac:dyDescent="0.25">
      <c r="D55" s="412"/>
      <c r="E55" s="99"/>
      <c r="F55" s="99"/>
      <c r="K55" s="869"/>
      <c r="L55" s="869"/>
    </row>
    <row r="56" spans="1:12" ht="14.25" customHeight="1" x14ac:dyDescent="0.25">
      <c r="E56" s="99"/>
      <c r="F56" s="99"/>
      <c r="K56" s="869"/>
      <c r="L56" s="869"/>
    </row>
    <row r="57" spans="1:12" x14ac:dyDescent="0.25">
      <c r="G57" s="869"/>
      <c r="H57" s="869"/>
      <c r="I57" s="869"/>
      <c r="J57" s="869"/>
      <c r="K57" s="869"/>
      <c r="L57" s="869"/>
    </row>
    <row r="58" spans="1:12" x14ac:dyDescent="0.25">
      <c r="G58" s="869"/>
      <c r="H58" s="869"/>
      <c r="I58" s="869"/>
      <c r="J58" s="869"/>
      <c r="K58" s="869"/>
      <c r="L58" s="869"/>
    </row>
    <row r="62" spans="1:12" ht="18" customHeight="1" x14ac:dyDescent="0.25">
      <c r="B62" s="1465"/>
      <c r="C62" s="1460"/>
      <c r="D62" s="1460"/>
      <c r="E62" s="1460"/>
      <c r="F62" s="1460"/>
      <c r="G62" s="1460"/>
      <c r="H62" s="1460"/>
      <c r="I62" s="261"/>
      <c r="J62" s="261"/>
    </row>
    <row r="63" spans="1:12" ht="18" customHeight="1" x14ac:dyDescent="0.25">
      <c r="B63" s="1465"/>
      <c r="C63" s="1460"/>
      <c r="D63" s="1460"/>
      <c r="E63" s="1460"/>
      <c r="F63" s="1460"/>
      <c r="G63" s="1460"/>
      <c r="H63" s="1460"/>
      <c r="I63" s="1460"/>
      <c r="J63" s="261"/>
    </row>
    <row r="64" spans="1:12" ht="13.25" customHeight="1" x14ac:dyDescent="0.25">
      <c r="A64" s="370"/>
      <c r="B64" s="346"/>
      <c r="C64" s="347"/>
      <c r="D64" s="346"/>
      <c r="E64" s="346"/>
      <c r="F64" s="346"/>
      <c r="G64" s="346"/>
      <c r="H64" s="346"/>
      <c r="I64" s="346"/>
      <c r="J64" s="346"/>
    </row>
    <row r="65" spans="2:10" ht="14.25" customHeight="1" x14ac:dyDescent="0.25">
      <c r="B65" s="348"/>
      <c r="C65" s="348"/>
      <c r="D65" s="479"/>
      <c r="E65" s="480"/>
      <c r="F65" s="135"/>
      <c r="G65" s="136"/>
      <c r="H65" s="137"/>
      <c r="I65" s="91"/>
      <c r="J65" s="138"/>
    </row>
    <row r="66" spans="2:10" ht="14.25" customHeight="1" x14ac:dyDescent="0.25">
      <c r="B66" s="348"/>
      <c r="C66" s="348"/>
      <c r="D66" s="348"/>
      <c r="E66" s="480"/>
      <c r="F66" s="135"/>
      <c r="G66" s="136"/>
      <c r="H66" s="137"/>
      <c r="I66" s="91"/>
      <c r="J66" s="138"/>
    </row>
    <row r="67" spans="2:10" ht="14.25" customHeight="1" x14ac:dyDescent="0.25">
      <c r="B67" s="348"/>
      <c r="C67" s="348"/>
      <c r="D67" s="348"/>
      <c r="E67" s="480"/>
      <c r="F67" s="135"/>
      <c r="G67" s="136"/>
      <c r="H67" s="137"/>
      <c r="I67" s="91"/>
      <c r="J67" s="138"/>
    </row>
    <row r="68" spans="2:10" ht="14.25" customHeight="1" x14ac:dyDescent="0.25">
      <c r="B68" s="348"/>
      <c r="C68" s="348"/>
      <c r="D68" s="348"/>
      <c r="E68" s="480"/>
      <c r="F68" s="135"/>
      <c r="G68" s="136"/>
      <c r="H68" s="137"/>
      <c r="I68" s="91"/>
      <c r="J68" s="138"/>
    </row>
    <row r="69" spans="2:10" ht="14.25" customHeight="1" x14ac:dyDescent="0.25">
      <c r="B69" s="348"/>
      <c r="C69" s="348"/>
      <c r="D69" s="348"/>
      <c r="E69" s="480"/>
      <c r="F69" s="135"/>
      <c r="G69" s="136"/>
      <c r="H69" s="137"/>
      <c r="I69" s="91"/>
      <c r="J69" s="138"/>
    </row>
    <row r="70" spans="2:10" ht="14.25" customHeight="1" x14ac:dyDescent="0.25">
      <c r="B70" s="348"/>
      <c r="C70" s="348"/>
      <c r="D70" s="348"/>
      <c r="E70" s="480"/>
      <c r="F70" s="135"/>
      <c r="G70" s="136"/>
      <c r="H70" s="137"/>
      <c r="I70" s="91"/>
      <c r="J70" s="138"/>
    </row>
    <row r="71" spans="2:10" ht="14.25" customHeight="1" x14ac:dyDescent="0.25">
      <c r="B71" s="348"/>
      <c r="C71" s="348"/>
      <c r="D71" s="348"/>
      <c r="E71" s="480"/>
      <c r="F71" s="135"/>
      <c r="G71" s="136"/>
      <c r="H71" s="137"/>
      <c r="I71" s="91"/>
      <c r="J71" s="138"/>
    </row>
    <row r="72" spans="2:10" ht="14.25" customHeight="1" x14ac:dyDescent="0.25">
      <c r="B72" s="348"/>
      <c r="C72" s="348"/>
      <c r="D72" s="348"/>
      <c r="E72" s="480"/>
      <c r="F72" s="135"/>
      <c r="G72" s="136"/>
      <c r="H72" s="137"/>
      <c r="I72" s="91"/>
      <c r="J72" s="138"/>
    </row>
    <row r="73" spans="2:10" ht="20.25" customHeight="1" x14ac:dyDescent="0.4">
      <c r="B73" s="203"/>
      <c r="C73" s="481"/>
      <c r="D73" s="482"/>
      <c r="E73" s="483"/>
      <c r="F73" s="482"/>
      <c r="G73" s="484"/>
      <c r="H73" s="202"/>
      <c r="I73" s="203"/>
      <c r="J73" s="202"/>
    </row>
  </sheetData>
  <mergeCells count="7">
    <mergeCell ref="B63:I63"/>
    <mergeCell ref="AK2:AN2"/>
    <mergeCell ref="AE2:AG3"/>
    <mergeCell ref="R26:U26"/>
    <mergeCell ref="B62:H62"/>
    <mergeCell ref="R25:U25"/>
    <mergeCell ref="B2:H3"/>
  </mergeCells>
  <printOptions horizontalCentered="1"/>
  <pageMargins left="0.4" right="0.4" top="1" bottom="0.5" header="0.3" footer="0.511811023622047"/>
  <pageSetup paperSize="9" scale="19" orientation="landscape" r:id="rId1"/>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tabColor rgb="FFBF9000"/>
    <pageSetUpPr fitToPage="1"/>
  </sheetPr>
  <dimension ref="A1:AT78"/>
  <sheetViews>
    <sheetView topLeftCell="O23" zoomScale="130" zoomScaleNormal="130" workbookViewId="0">
      <selection activeCell="R52" sqref="Q52:R53"/>
    </sheetView>
  </sheetViews>
  <sheetFormatPr defaultColWidth="12.5" defaultRowHeight="12.5" x14ac:dyDescent="0.25"/>
  <cols>
    <col min="1" max="1" width="12.5" style="14" customWidth="1"/>
    <col min="2" max="2" width="46.5820312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3.83203125" style="14" customWidth="1"/>
    <col min="15" max="15" width="16.58203125" style="14" customWidth="1"/>
    <col min="16" max="17" width="12.5" style="14" customWidth="1"/>
    <col min="18" max="18" width="32.08203125" style="14" customWidth="1"/>
    <col min="19" max="19" width="12.5" style="14" customWidth="1"/>
    <col min="20" max="26" width="12.5" style="14"/>
    <col min="27" max="27" width="13.1640625" style="14" bestFit="1" customWidth="1"/>
    <col min="28" max="28" width="12.5" style="14" bestFit="1" customWidth="1"/>
    <col min="29" max="30" width="12.5" style="14"/>
    <col min="31" max="31" width="5.75" style="14" bestFit="1" customWidth="1"/>
    <col min="32" max="32" width="7.08203125" style="14" bestFit="1" customWidth="1"/>
    <col min="33" max="35" width="3.25" style="14" customWidth="1"/>
    <col min="36" max="36" width="31.4140625" style="14" customWidth="1"/>
    <col min="37" max="16384" width="12.5" style="14"/>
  </cols>
  <sheetData>
    <row r="1" spans="1:46" ht="28.5" customHeight="1" x14ac:dyDescent="0.3">
      <c r="B1" s="79" t="s">
        <v>235</v>
      </c>
      <c r="C1" s="80">
        <v>1000</v>
      </c>
      <c r="D1" s="81" t="s">
        <v>236</v>
      </c>
      <c r="E1" s="116">
        <f>T32</f>
        <v>3372.6000000000004</v>
      </c>
      <c r="F1" s="79" t="s">
        <v>237</v>
      </c>
      <c r="G1" s="116">
        <f>E1/C1</f>
        <v>3.3726000000000003</v>
      </c>
      <c r="H1" s="79" t="s">
        <v>238</v>
      </c>
      <c r="I1" s="116">
        <f>G1/K1</f>
        <v>3.3726000000000003</v>
      </c>
      <c r="J1" s="325" t="s">
        <v>239</v>
      </c>
      <c r="K1" s="326">
        <v>1</v>
      </c>
      <c r="L1" s="99"/>
      <c r="M1" s="88"/>
      <c r="N1" s="89"/>
      <c r="O1" s="90" t="s">
        <v>240</v>
      </c>
      <c r="P1" s="462" t="s">
        <v>241</v>
      </c>
      <c r="Q1" s="92" t="s">
        <v>242</v>
      </c>
      <c r="R1" s="91">
        <v>0.59</v>
      </c>
      <c r="S1" s="92" t="s">
        <v>337</v>
      </c>
      <c r="T1" s="327">
        <v>100</v>
      </c>
      <c r="U1" s="99"/>
      <c r="V1" s="99"/>
      <c r="Y1" s="90" t="s">
        <v>463</v>
      </c>
      <c r="Z1" s="835">
        <v>141</v>
      </c>
      <c r="AA1" s="90" t="s">
        <v>578</v>
      </c>
      <c r="AB1" s="835">
        <v>5</v>
      </c>
      <c r="AC1" s="90" t="s">
        <v>567</v>
      </c>
      <c r="AD1" s="835">
        <v>141</v>
      </c>
      <c r="AE1" s="90" t="s">
        <v>558</v>
      </c>
      <c r="AF1" s="835">
        <f>Z1+AB1</f>
        <v>146</v>
      </c>
      <c r="AJ1" s="93" t="s">
        <v>254</v>
      </c>
      <c r="AK1" s="93">
        <v>10000</v>
      </c>
      <c r="AL1" s="623" t="s">
        <v>503</v>
      </c>
      <c r="AM1" s="624">
        <f>$S$32</f>
        <v>11227.4</v>
      </c>
      <c r="AN1" s="93" t="s">
        <v>243</v>
      </c>
      <c r="AO1" s="95">
        <f>($S$32/$R$1)/$AK$1</f>
        <v>1.9029491525423727</v>
      </c>
      <c r="AP1" s="94"/>
    </row>
    <row r="2" spans="1:46" ht="12.75" customHeight="1" x14ac:dyDescent="0.25">
      <c r="A2" s="329"/>
      <c r="B2" s="1450" t="s">
        <v>82</v>
      </c>
      <c r="C2" s="1460"/>
      <c r="D2" s="1460"/>
      <c r="E2" s="1460"/>
      <c r="F2" s="1460"/>
      <c r="G2" s="1460"/>
      <c r="H2" s="1460"/>
      <c r="I2" s="1460"/>
      <c r="J2" s="1460"/>
      <c r="K2" s="1460"/>
      <c r="L2" s="292"/>
      <c r="M2" s="99"/>
      <c r="N2" s="99"/>
      <c r="O2" s="99"/>
      <c r="P2" s="99"/>
      <c r="Q2" s="99"/>
      <c r="R2" s="99"/>
      <c r="AC2" s="98"/>
      <c r="AD2" s="98"/>
      <c r="AE2" s="1457"/>
      <c r="AF2" s="1460"/>
      <c r="AG2" s="1460"/>
      <c r="AJ2" s="100"/>
      <c r="AK2" s="1442" t="s">
        <v>401</v>
      </c>
      <c r="AL2" s="1442"/>
      <c r="AM2" s="1442"/>
      <c r="AN2" s="1442"/>
      <c r="AO2" s="100"/>
      <c r="AP2" s="100"/>
    </row>
    <row r="3" spans="1:46" ht="12.75" customHeight="1" x14ac:dyDescent="0.25">
      <c r="A3" s="329"/>
      <c r="B3" s="1444"/>
      <c r="C3" s="1444"/>
      <c r="D3" s="1444"/>
      <c r="E3" s="1444"/>
      <c r="F3" s="1444"/>
      <c r="G3" s="1444"/>
      <c r="H3" s="1444"/>
      <c r="I3" s="1444"/>
      <c r="J3" s="1444"/>
      <c r="K3" s="1444"/>
      <c r="L3" s="292"/>
      <c r="M3" s="99"/>
      <c r="N3" s="99"/>
      <c r="O3" s="99"/>
      <c r="P3" s="99"/>
      <c r="Q3" s="99"/>
      <c r="R3" s="99"/>
      <c r="AC3" s="98"/>
      <c r="AD3" s="98"/>
      <c r="AE3" s="1460"/>
      <c r="AF3" s="1460"/>
      <c r="AG3" s="1460"/>
      <c r="AJ3" s="372"/>
      <c r="AK3" s="103"/>
      <c r="AL3" s="104"/>
      <c r="AM3" s="104"/>
      <c r="AN3" s="104"/>
      <c r="AO3" s="103"/>
      <c r="AP3" s="103"/>
    </row>
    <row r="4" spans="1:46" ht="68.75" customHeight="1" x14ac:dyDescent="0.25">
      <c r="A4" s="90" t="s">
        <v>1</v>
      </c>
      <c r="B4" s="90" t="s">
        <v>245</v>
      </c>
      <c r="C4" s="106" t="s">
        <v>246</v>
      </c>
      <c r="D4" s="90" t="s">
        <v>235</v>
      </c>
      <c r="E4" s="217" t="s">
        <v>238</v>
      </c>
      <c r="F4" s="107" t="s">
        <v>247</v>
      </c>
      <c r="G4" s="90" t="s">
        <v>248</v>
      </c>
      <c r="H4" s="106" t="s">
        <v>339</v>
      </c>
      <c r="I4" s="90" t="s">
        <v>250</v>
      </c>
      <c r="J4" s="90" t="s">
        <v>251</v>
      </c>
      <c r="K4" s="90" t="s">
        <v>252</v>
      </c>
      <c r="L4" s="90" t="s">
        <v>253</v>
      </c>
      <c r="M4" s="370"/>
      <c r="N4" s="370"/>
      <c r="O4" s="99"/>
      <c r="P4" s="99"/>
      <c r="Q4" s="99"/>
      <c r="R4" s="99"/>
      <c r="AC4" s="250"/>
      <c r="AD4" s="252"/>
      <c r="AE4" s="250"/>
      <c r="AF4" s="250"/>
      <c r="AG4" s="250"/>
      <c r="AJ4" s="109" t="s">
        <v>245</v>
      </c>
      <c r="AK4" s="110" t="s">
        <v>246</v>
      </c>
      <c r="AL4" s="109" t="s">
        <v>254</v>
      </c>
      <c r="AM4" s="109" t="s">
        <v>238</v>
      </c>
      <c r="AN4" s="109" t="s">
        <v>247</v>
      </c>
      <c r="AO4" s="109" t="s">
        <v>248</v>
      </c>
      <c r="AP4" s="111" t="s">
        <v>249</v>
      </c>
      <c r="AQ4" s="90" t="s">
        <v>250</v>
      </c>
      <c r="AR4" s="90" t="s">
        <v>251</v>
      </c>
      <c r="AS4" s="90" t="s">
        <v>252</v>
      </c>
      <c r="AT4" s="90" t="s">
        <v>253</v>
      </c>
    </row>
    <row r="5" spans="1:46" ht="13.25" customHeight="1" x14ac:dyDescent="0.25">
      <c r="A5" s="265" t="s">
        <v>225</v>
      </c>
      <c r="B5" s="308" t="s">
        <v>224</v>
      </c>
      <c r="C5" s="123" t="s">
        <v>14</v>
      </c>
      <c r="D5" s="485">
        <f>I51/10</f>
        <v>5649.8305084745762</v>
      </c>
      <c r="E5" s="116">
        <f>H52</f>
        <v>3.368152636947261</v>
      </c>
      <c r="F5" s="126">
        <v>1</v>
      </c>
      <c r="G5" s="118">
        <f t="shared" ref="G5:G12" si="0">D5*E5</f>
        <v>19029.491525423728</v>
      </c>
      <c r="H5" s="119">
        <f t="shared" ref="H5:H12" si="1">G5*F5</f>
        <v>19029.491525423728</v>
      </c>
      <c r="I5" s="80">
        <f>VLOOKUP(B5,All_Ingredients!$A$1:$F$149,6,FALSE())</f>
        <v>0.86</v>
      </c>
      <c r="J5" s="118">
        <f>VLOOKUP(B5,All_Ingredients!$A$1:$J$149,10,FALSE())</f>
        <v>17.100000000000001</v>
      </c>
      <c r="K5" s="121">
        <f t="shared" ref="K5" si="2">(H5/I5)/1000</f>
        <v>22.127315727236891</v>
      </c>
      <c r="L5" s="121">
        <f t="shared" ref="L5" si="3">K5*J5</f>
        <v>378.37709893575084</v>
      </c>
      <c r="M5" s="130"/>
      <c r="N5" s="130"/>
      <c r="O5" s="99"/>
      <c r="P5" s="99"/>
      <c r="Q5" s="99"/>
      <c r="R5" s="99"/>
      <c r="AC5" s="91"/>
      <c r="AD5" s="132"/>
      <c r="AE5" s="253"/>
      <c r="AF5" s="134"/>
      <c r="AG5" s="135"/>
      <c r="AJ5" s="373" t="s">
        <v>224</v>
      </c>
      <c r="AK5" s="123" t="s">
        <v>231</v>
      </c>
      <c r="AL5" s="374">
        <v>10</v>
      </c>
      <c r="AM5" s="375">
        <f t="shared" ref="AM5:AM13" si="4">$AO$1</f>
        <v>1.9029491525423727</v>
      </c>
      <c r="AN5" s="376">
        <v>1</v>
      </c>
      <c r="AO5" s="377">
        <f t="shared" ref="AO5:AO13" si="5">AL5*AM5</f>
        <v>19.029491525423726</v>
      </c>
      <c r="AP5" s="378">
        <f t="shared" ref="AP5:AP13" si="6">AO5*AN5</f>
        <v>19.029491525423726</v>
      </c>
      <c r="AQ5" s="294"/>
      <c r="AR5" s="1152"/>
      <c r="AS5" s="174"/>
      <c r="AT5" s="1153"/>
    </row>
    <row r="6" spans="1:46" ht="14.25" customHeight="1" x14ac:dyDescent="0.3">
      <c r="A6" s="294" t="s">
        <v>13</v>
      </c>
      <c r="B6" s="221" t="s">
        <v>12</v>
      </c>
      <c r="C6" s="123" t="s">
        <v>14</v>
      </c>
      <c r="D6" s="132">
        <v>190</v>
      </c>
      <c r="E6" s="115">
        <f t="shared" ref="E6:E16" si="7">$I$1</f>
        <v>3.3726000000000003</v>
      </c>
      <c r="F6" s="126">
        <v>1</v>
      </c>
      <c r="G6" s="118">
        <f t="shared" si="0"/>
        <v>640.7940000000001</v>
      </c>
      <c r="H6" s="119">
        <f t="shared" si="1"/>
        <v>640.7940000000001</v>
      </c>
      <c r="I6" s="80">
        <f>VLOOKUP(B6,All_Ingredients!$A$1:$F$149,6,FALSE())</f>
        <v>0.9</v>
      </c>
      <c r="J6" s="118">
        <f>VLOOKUP(B6,All_Ingredients!$A$1:$J$149,10,FALSE())</f>
        <v>3</v>
      </c>
      <c r="K6" s="121">
        <f t="shared" ref="K6:K12" si="8">(H6/I6)/1000</f>
        <v>0.71199333333333348</v>
      </c>
      <c r="L6" s="121">
        <f t="shared" ref="L6:L12" si="9">K6*J6</f>
        <v>2.1359800000000004</v>
      </c>
      <c r="M6" s="130"/>
      <c r="N6" s="130"/>
      <c r="AI6" s="14" t="s">
        <v>56</v>
      </c>
      <c r="AJ6" s="373" t="s">
        <v>55</v>
      </c>
      <c r="AK6" s="333" t="s">
        <v>14</v>
      </c>
      <c r="AL6" s="115">
        <v>100</v>
      </c>
      <c r="AM6" s="375">
        <f t="shared" si="4"/>
        <v>1.9029491525423727</v>
      </c>
      <c r="AN6" s="376">
        <v>1</v>
      </c>
      <c r="AO6" s="377">
        <f t="shared" si="5"/>
        <v>190.29491525423728</v>
      </c>
      <c r="AP6" s="378">
        <f t="shared" si="6"/>
        <v>190.29491525423728</v>
      </c>
      <c r="AQ6" s="1153">
        <f>VLOOKUP(AJ6,Marination_Ordering!$A:$J,6,FALSE)</f>
        <v>0.87</v>
      </c>
      <c r="AR6" s="1153">
        <f>VLOOKUP(AJ6,Marination_Ordering!$A:$J,10,FALSE)</f>
        <v>3.2</v>
      </c>
      <c r="AS6" s="174">
        <f>AP6/AQ6</f>
        <v>218.72978764854861</v>
      </c>
      <c r="AT6" s="1153">
        <f>AR6*(AS6/1000)</f>
        <v>0.69993532047535556</v>
      </c>
    </row>
    <row r="7" spans="1:46" ht="14.25" customHeight="1" x14ac:dyDescent="0.3">
      <c r="A7" s="294" t="s">
        <v>13</v>
      </c>
      <c r="B7" s="221" t="s">
        <v>28</v>
      </c>
      <c r="C7" s="123" t="s">
        <v>14</v>
      </c>
      <c r="D7" s="115">
        <v>190</v>
      </c>
      <c r="E7" s="115">
        <f t="shared" si="7"/>
        <v>3.3726000000000003</v>
      </c>
      <c r="F7" s="126">
        <v>1</v>
      </c>
      <c r="G7" s="118">
        <f t="shared" si="0"/>
        <v>640.7940000000001</v>
      </c>
      <c r="H7" s="119">
        <f t="shared" si="1"/>
        <v>640.7940000000001</v>
      </c>
      <c r="I7" s="80">
        <f>VLOOKUP(B7,All_Ingredients!$A$1:$F$149,6,FALSE())</f>
        <v>0.73</v>
      </c>
      <c r="J7" s="118">
        <f>VLOOKUP(B7,All_Ingredients!$A$1:$J$149,10,FALSE())</f>
        <v>8.5</v>
      </c>
      <c r="K7" s="121">
        <f t="shared" si="8"/>
        <v>0.87780000000000014</v>
      </c>
      <c r="L7" s="121">
        <f t="shared" si="9"/>
        <v>7.4613000000000014</v>
      </c>
      <c r="M7" s="130"/>
      <c r="N7" s="130"/>
      <c r="AI7" s="14" t="s">
        <v>13</v>
      </c>
      <c r="AJ7" s="373" t="s">
        <v>762</v>
      </c>
      <c r="AK7" s="333" t="s">
        <v>14</v>
      </c>
      <c r="AL7" s="115">
        <v>100</v>
      </c>
      <c r="AM7" s="375">
        <f t="shared" si="4"/>
        <v>1.9029491525423727</v>
      </c>
      <c r="AN7" s="376">
        <v>1</v>
      </c>
      <c r="AO7" s="377">
        <f t="shared" si="5"/>
        <v>190.29491525423728</v>
      </c>
      <c r="AP7" s="378">
        <f t="shared" si="6"/>
        <v>190.29491525423728</v>
      </c>
      <c r="AQ7" s="1153">
        <f>VLOOKUP(AJ7,Marination_Ordering!$A:$J,6,FALSE)</f>
        <v>1</v>
      </c>
      <c r="AR7" s="1153">
        <f>VLOOKUP(AJ7,Marination_Ordering!$A:$J,10,FALSE)</f>
        <v>10.5</v>
      </c>
      <c r="AS7" s="174">
        <f t="shared" ref="AS7:AS9" si="10">AP7/AQ7</f>
        <v>190.29491525423728</v>
      </c>
      <c r="AT7" s="1153">
        <f t="shared" ref="AT7:AT9" si="11">AR7*(AS7/1000)</f>
        <v>1.9980966101694915</v>
      </c>
    </row>
    <row r="8" spans="1:46" ht="14.25" customHeight="1" x14ac:dyDescent="0.3">
      <c r="A8" s="294" t="s">
        <v>13</v>
      </c>
      <c r="B8" s="221" t="s">
        <v>30</v>
      </c>
      <c r="C8" s="123" t="s">
        <v>14</v>
      </c>
      <c r="D8" s="115">
        <v>190</v>
      </c>
      <c r="E8" s="115">
        <f t="shared" si="7"/>
        <v>3.3726000000000003</v>
      </c>
      <c r="F8" s="126">
        <v>1</v>
      </c>
      <c r="G8" s="118">
        <f t="shared" si="0"/>
        <v>640.7940000000001</v>
      </c>
      <c r="H8" s="119">
        <f t="shared" si="1"/>
        <v>640.7940000000001</v>
      </c>
      <c r="I8" s="80">
        <f>VLOOKUP(B8,All_Ingredients!$A$1:$F$149,6,FALSE())</f>
        <v>0.71</v>
      </c>
      <c r="J8" s="118">
        <f>VLOOKUP(B8,All_Ingredients!$A$1:$J$149,10,FALSE())</f>
        <v>8.5</v>
      </c>
      <c r="K8" s="121">
        <f t="shared" si="8"/>
        <v>0.90252676056338044</v>
      </c>
      <c r="L8" s="121">
        <f t="shared" si="9"/>
        <v>7.671477464788734</v>
      </c>
      <c r="M8" s="130"/>
      <c r="N8" s="130"/>
      <c r="AI8" s="14" t="s">
        <v>206</v>
      </c>
      <c r="AJ8" s="373" t="s">
        <v>214</v>
      </c>
      <c r="AK8" s="333" t="s">
        <v>161</v>
      </c>
      <c r="AL8" s="222">
        <v>350</v>
      </c>
      <c r="AM8" s="375">
        <f t="shared" si="4"/>
        <v>1.9029491525423727</v>
      </c>
      <c r="AN8" s="376">
        <v>1</v>
      </c>
      <c r="AO8" s="377">
        <f t="shared" si="5"/>
        <v>666.03220338983044</v>
      </c>
      <c r="AP8" s="378">
        <f t="shared" si="6"/>
        <v>666.03220338983044</v>
      </c>
      <c r="AQ8" s="1153">
        <f>VLOOKUP(AJ8,Marination_Ordering!$A:$J,6,FALSE)</f>
        <v>1</v>
      </c>
      <c r="AR8" s="1153">
        <f>VLOOKUP(AJ8,Marination_Ordering!$A:$J,10,FALSE)</f>
        <v>5</v>
      </c>
      <c r="AS8" s="174">
        <f t="shared" si="10"/>
        <v>666.03220338983044</v>
      </c>
      <c r="AT8" s="1153">
        <f t="shared" si="11"/>
        <v>3.3301610169491527</v>
      </c>
    </row>
    <row r="9" spans="1:46" ht="14.25" customHeight="1" x14ac:dyDescent="0.25">
      <c r="A9" s="294" t="s">
        <v>13</v>
      </c>
      <c r="B9" s="22" t="s">
        <v>32</v>
      </c>
      <c r="C9" s="123" t="s">
        <v>14</v>
      </c>
      <c r="D9" s="115">
        <v>190</v>
      </c>
      <c r="E9" s="115">
        <f t="shared" si="7"/>
        <v>3.3726000000000003</v>
      </c>
      <c r="F9" s="126">
        <v>1</v>
      </c>
      <c r="G9" s="118">
        <f t="shared" si="0"/>
        <v>640.7940000000001</v>
      </c>
      <c r="H9" s="119">
        <f t="shared" si="1"/>
        <v>640.7940000000001</v>
      </c>
      <c r="I9" s="80">
        <f>VLOOKUP(B9,All_Ingredients!$A$1:$F$149,6,FALSE())</f>
        <v>0.69</v>
      </c>
      <c r="J9" s="118">
        <f>VLOOKUP(B9,All_Ingredients!$A$1:$J$149,10,FALSE())</f>
        <v>4</v>
      </c>
      <c r="K9" s="121">
        <f t="shared" si="8"/>
        <v>0.92868695652173938</v>
      </c>
      <c r="L9" s="121">
        <f t="shared" si="9"/>
        <v>3.7147478260869575</v>
      </c>
      <c r="M9" s="130"/>
      <c r="N9" s="130"/>
      <c r="AI9" s="14" t="s">
        <v>206</v>
      </c>
      <c r="AJ9" s="373" t="s">
        <v>210</v>
      </c>
      <c r="AK9" s="123" t="s">
        <v>161</v>
      </c>
      <c r="AL9" s="115">
        <v>70</v>
      </c>
      <c r="AM9" s="375">
        <f t="shared" si="4"/>
        <v>1.9029491525423727</v>
      </c>
      <c r="AN9" s="376">
        <v>1</v>
      </c>
      <c r="AO9" s="377">
        <f t="shared" si="5"/>
        <v>133.2064406779661</v>
      </c>
      <c r="AP9" s="378">
        <f t="shared" si="6"/>
        <v>133.2064406779661</v>
      </c>
      <c r="AQ9" s="1153">
        <f>VLOOKUP(AJ9,Marination_Ordering!$A:$J,6,FALSE)</f>
        <v>1</v>
      </c>
      <c r="AR9" s="1153">
        <f>VLOOKUP(AJ9,Marination_Ordering!$A:$J,10,FALSE)</f>
        <v>2.1621621621621623</v>
      </c>
      <c r="AS9" s="174">
        <f t="shared" si="10"/>
        <v>133.2064406779661</v>
      </c>
      <c r="AT9" s="1153">
        <f t="shared" si="11"/>
        <v>0.28801392579019702</v>
      </c>
    </row>
    <row r="10" spans="1:46" ht="14.25" customHeight="1" x14ac:dyDescent="0.35">
      <c r="A10" s="294" t="s">
        <v>192</v>
      </c>
      <c r="B10" s="221" t="s">
        <v>200</v>
      </c>
      <c r="C10" s="992" t="s">
        <v>161</v>
      </c>
      <c r="D10" s="115">
        <v>360</v>
      </c>
      <c r="E10" s="115">
        <f t="shared" si="7"/>
        <v>3.3726000000000003</v>
      </c>
      <c r="F10" s="126">
        <v>1</v>
      </c>
      <c r="G10" s="118">
        <f t="shared" si="0"/>
        <v>1214.1360000000002</v>
      </c>
      <c r="H10" s="119">
        <f t="shared" si="1"/>
        <v>1214.1360000000002</v>
      </c>
      <c r="I10" s="80">
        <f>VLOOKUP(B10,All_Ingredients!$A$1:$F$149,6,FALSE())</f>
        <v>1</v>
      </c>
      <c r="J10" s="118">
        <f>VLOOKUP(B10,All_Ingredients!$A$1:$J$149,10,FALSE())</f>
        <v>3.25</v>
      </c>
      <c r="K10" s="121">
        <f t="shared" si="8"/>
        <v>1.2141360000000001</v>
      </c>
      <c r="L10" s="121">
        <f t="shared" si="9"/>
        <v>3.9459420000000005</v>
      </c>
      <c r="M10" s="130"/>
      <c r="N10" s="130"/>
      <c r="AI10" s="14" t="s">
        <v>95</v>
      </c>
      <c r="AJ10" s="373" t="s">
        <v>94</v>
      </c>
      <c r="AK10" s="333" t="s">
        <v>14</v>
      </c>
      <c r="AL10" s="115">
        <v>2</v>
      </c>
      <c r="AM10" s="375">
        <f t="shared" si="4"/>
        <v>1.9029491525423727</v>
      </c>
      <c r="AN10" s="376">
        <v>1</v>
      </c>
      <c r="AO10" s="377">
        <f t="shared" si="5"/>
        <v>3.8058983050847455</v>
      </c>
      <c r="AP10" s="378">
        <f t="shared" si="6"/>
        <v>3.8058983050847455</v>
      </c>
      <c r="AQ10" s="1153">
        <f>VLOOKUP(AJ10,Marination_Ordering!$A:$J,6,FALSE)</f>
        <v>1</v>
      </c>
      <c r="AR10" s="1153">
        <f>VLOOKUP(AJ10,Marination_Ordering!$A:$J,10,FALSE)</f>
        <v>0.74</v>
      </c>
      <c r="AS10" s="174">
        <f t="shared" ref="AS10:AS13" si="12">AP10/AQ10</f>
        <v>3.8058983050847455</v>
      </c>
      <c r="AT10" s="1153">
        <f t="shared" ref="AT10:AT13" si="13">AR10*(AS10/1000)</f>
        <v>2.8163647457627116E-3</v>
      </c>
    </row>
    <row r="11" spans="1:46" ht="14.25" customHeight="1" x14ac:dyDescent="0.3">
      <c r="A11" s="294" t="s">
        <v>192</v>
      </c>
      <c r="B11" s="221" t="s">
        <v>194</v>
      </c>
      <c r="C11" s="123" t="s">
        <v>161</v>
      </c>
      <c r="D11" s="115">
        <v>95</v>
      </c>
      <c r="E11" s="115">
        <f t="shared" si="7"/>
        <v>3.3726000000000003</v>
      </c>
      <c r="F11" s="126">
        <v>1</v>
      </c>
      <c r="G11" s="118">
        <f t="shared" si="0"/>
        <v>320.39700000000005</v>
      </c>
      <c r="H11" s="119">
        <f t="shared" si="1"/>
        <v>320.39700000000005</v>
      </c>
      <c r="I11" s="80">
        <f>VLOOKUP(B11,All_Ingredients!$A$1:$F$149,6,FALSE())</f>
        <v>1</v>
      </c>
      <c r="J11" s="118">
        <f>VLOOKUP(B11,All_Ingredients!$A$1:$J$149,10,FALSE())</f>
        <v>58.685446009389672</v>
      </c>
      <c r="K11" s="121">
        <f t="shared" si="8"/>
        <v>0.32039700000000004</v>
      </c>
      <c r="L11" s="121">
        <f t="shared" si="9"/>
        <v>18.802640845070425</v>
      </c>
      <c r="M11" s="130"/>
      <c r="N11" s="130"/>
      <c r="AI11" s="14" t="s">
        <v>95</v>
      </c>
      <c r="AJ11" s="373" t="s">
        <v>100</v>
      </c>
      <c r="AK11" s="333" t="s">
        <v>14</v>
      </c>
      <c r="AL11" s="115">
        <v>3</v>
      </c>
      <c r="AM11" s="375">
        <f t="shared" si="4"/>
        <v>1.9029491525423727</v>
      </c>
      <c r="AN11" s="376">
        <v>1</v>
      </c>
      <c r="AO11" s="377">
        <f t="shared" si="5"/>
        <v>5.708847457627118</v>
      </c>
      <c r="AP11" s="378">
        <f t="shared" si="6"/>
        <v>5.708847457627118</v>
      </c>
      <c r="AQ11" s="1153">
        <f>VLOOKUP(AJ11,Marination_Ordering!$A:$J,6,FALSE)</f>
        <v>1</v>
      </c>
      <c r="AR11" s="1153">
        <f>VLOOKUP(AJ11,Marination_Ordering!$A:$J,10,FALSE)</f>
        <v>31</v>
      </c>
      <c r="AS11" s="174">
        <f t="shared" si="12"/>
        <v>5.708847457627118</v>
      </c>
      <c r="AT11" s="1153">
        <f t="shared" si="13"/>
        <v>0.17697427118644066</v>
      </c>
    </row>
    <row r="12" spans="1:46" ht="14.25" customHeight="1" x14ac:dyDescent="0.3">
      <c r="A12" s="294" t="s">
        <v>62</v>
      </c>
      <c r="B12" s="221" t="s">
        <v>61</v>
      </c>
      <c r="C12" s="123" t="s">
        <v>14</v>
      </c>
      <c r="D12" s="115">
        <v>25</v>
      </c>
      <c r="E12" s="115">
        <f t="shared" si="7"/>
        <v>3.3726000000000003</v>
      </c>
      <c r="F12" s="126">
        <v>1</v>
      </c>
      <c r="G12" s="118">
        <f t="shared" si="0"/>
        <v>84.315000000000012</v>
      </c>
      <c r="H12" s="119">
        <f t="shared" si="1"/>
        <v>84.315000000000012</v>
      </c>
      <c r="I12" s="80">
        <f>VLOOKUP(B12,All_Ingredients!$A$1:$F$149,6,FALSE())</f>
        <v>0.94</v>
      </c>
      <c r="J12" s="118">
        <f>VLOOKUP(B12,All_Ingredients!$A$1:$J$149,10,FALSE())</f>
        <v>3.6363636363636367</v>
      </c>
      <c r="K12" s="121">
        <f t="shared" si="8"/>
        <v>8.9696808510638326E-2</v>
      </c>
      <c r="L12" s="121">
        <f t="shared" si="9"/>
        <v>0.32617021276595759</v>
      </c>
      <c r="M12" s="130"/>
      <c r="N12" s="130"/>
      <c r="AI12" s="14" t="s">
        <v>95</v>
      </c>
      <c r="AJ12" s="373" t="s">
        <v>111</v>
      </c>
      <c r="AK12" s="333" t="s">
        <v>14</v>
      </c>
      <c r="AL12" s="124">
        <v>15</v>
      </c>
      <c r="AM12" s="375">
        <f t="shared" si="4"/>
        <v>1.9029491525423727</v>
      </c>
      <c r="AN12" s="376">
        <v>1</v>
      </c>
      <c r="AO12" s="377">
        <f t="shared" si="5"/>
        <v>28.544237288135591</v>
      </c>
      <c r="AP12" s="378">
        <f t="shared" si="6"/>
        <v>28.544237288135591</v>
      </c>
      <c r="AQ12" s="1153">
        <f>VLOOKUP(AJ12,Marination_Ordering!$A:$J,6,FALSE)</f>
        <v>1</v>
      </c>
      <c r="AR12" s="1153">
        <f>VLOOKUP(AJ12,Marination_Ordering!$A:$J,10,FALSE)</f>
        <v>64.243759177679877</v>
      </c>
      <c r="AS12" s="174">
        <f t="shared" si="12"/>
        <v>28.544237288135591</v>
      </c>
      <c r="AT12" s="1153">
        <f t="shared" si="13"/>
        <v>1.8337891062495331</v>
      </c>
    </row>
    <row r="13" spans="1:46" ht="14.25" customHeight="1" x14ac:dyDescent="0.25">
      <c r="A13" s="294" t="s">
        <v>13</v>
      </c>
      <c r="B13" s="1114" t="s">
        <v>878</v>
      </c>
      <c r="C13" s="123" t="s">
        <v>234</v>
      </c>
      <c r="D13" s="115">
        <v>1</v>
      </c>
      <c r="E13" s="115">
        <f>$Z$1+$AB$1</f>
        <v>146</v>
      </c>
      <c r="F13" s="126">
        <v>1</v>
      </c>
      <c r="G13" s="120">
        <f>D13*($Z$1+$AB$1)</f>
        <v>146</v>
      </c>
      <c r="H13" s="119">
        <f>G13*F13</f>
        <v>146</v>
      </c>
      <c r="I13" s="80">
        <f>VLOOKUP(B13,All_Ingredients!$A$1:$F$149,6,FALSE())</f>
        <v>1</v>
      </c>
      <c r="J13" s="118">
        <f>VLOOKUP(B13,All_Ingredients!$A$1:$J$149,10,FALSE())</f>
        <v>0.5</v>
      </c>
      <c r="K13" s="174">
        <f>H13*I13</f>
        <v>146</v>
      </c>
      <c r="L13" s="121">
        <f>K13*J13</f>
        <v>73</v>
      </c>
      <c r="AI13" s="14" t="s">
        <v>95</v>
      </c>
      <c r="AJ13" s="373" t="s">
        <v>106</v>
      </c>
      <c r="AK13" s="333" t="s">
        <v>14</v>
      </c>
      <c r="AL13" s="115">
        <v>20</v>
      </c>
      <c r="AM13" s="375">
        <f t="shared" si="4"/>
        <v>1.9029491525423727</v>
      </c>
      <c r="AN13" s="376">
        <v>1</v>
      </c>
      <c r="AO13" s="377">
        <f t="shared" si="5"/>
        <v>38.058983050847452</v>
      </c>
      <c r="AP13" s="378">
        <f t="shared" si="6"/>
        <v>38.058983050847452</v>
      </c>
      <c r="AQ13" s="1153">
        <f>VLOOKUP(AJ13,Marination_Ordering!$A:$J,6,FALSE)</f>
        <v>1</v>
      </c>
      <c r="AR13" s="1153">
        <f>VLOOKUP(AJ13,Marination_Ordering!$A:$J,10,FALSE)</f>
        <v>15</v>
      </c>
      <c r="AS13" s="174">
        <f t="shared" si="12"/>
        <v>38.058983050847452</v>
      </c>
      <c r="AT13" s="1153">
        <f t="shared" si="13"/>
        <v>0.57088474576271175</v>
      </c>
    </row>
    <row r="14" spans="1:46" ht="14.25" customHeight="1" x14ac:dyDescent="0.25">
      <c r="A14" s="294"/>
      <c r="B14" s="1114" t="s">
        <v>762</v>
      </c>
      <c r="C14" s="123" t="s">
        <v>14</v>
      </c>
      <c r="D14" s="115">
        <v>20</v>
      </c>
      <c r="E14" s="115">
        <f t="shared" si="7"/>
        <v>3.3726000000000003</v>
      </c>
      <c r="F14" s="126">
        <v>1</v>
      </c>
      <c r="G14" s="118">
        <f t="shared" ref="G14" si="14">D14*E14</f>
        <v>67.451999999999998</v>
      </c>
      <c r="H14" s="119">
        <f t="shared" ref="H14" si="15">G14*F14</f>
        <v>67.451999999999998</v>
      </c>
      <c r="I14" s="80">
        <f>VLOOKUP(B14,All_Ingredients!$A$1:$F$149,6,FALSE())</f>
        <v>1</v>
      </c>
      <c r="J14" s="118">
        <f>VLOOKUP(B14,All_Ingredients!$A$1:$J$149,10,FALSE())</f>
        <v>10.5</v>
      </c>
      <c r="K14" s="174">
        <f t="shared" ref="K14:K16" si="16">H14*I14</f>
        <v>67.451999999999998</v>
      </c>
      <c r="L14" s="121">
        <f t="shared" ref="L14:L16" si="17">K14*J14</f>
        <v>708.24599999999998</v>
      </c>
    </row>
    <row r="15" spans="1:46" ht="14" x14ac:dyDescent="0.25">
      <c r="A15" s="294"/>
      <c r="B15" s="1114" t="s">
        <v>153</v>
      </c>
      <c r="C15" s="123" t="s">
        <v>14</v>
      </c>
      <c r="D15" s="115">
        <v>50</v>
      </c>
      <c r="E15" s="115">
        <f t="shared" si="7"/>
        <v>3.3726000000000003</v>
      </c>
      <c r="F15" s="126">
        <v>1</v>
      </c>
      <c r="G15" s="118">
        <f t="shared" ref="G15:G16" si="18">D15*E15</f>
        <v>168.63000000000002</v>
      </c>
      <c r="H15" s="119">
        <f t="shared" ref="H15:H16" si="19">G15*F15</f>
        <v>168.63000000000002</v>
      </c>
      <c r="I15" s="80">
        <f>VLOOKUP(B15,All_Ingredients!$A$1:$F$149,6,FALSE())</f>
        <v>1</v>
      </c>
      <c r="J15" s="118">
        <f>VLOOKUP(B15,All_Ingredients!$A$1:$J$149,10,FALSE())</f>
        <v>30</v>
      </c>
      <c r="K15" s="174">
        <f t="shared" si="16"/>
        <v>168.63000000000002</v>
      </c>
      <c r="L15" s="121">
        <f t="shared" si="17"/>
        <v>5058.9000000000005</v>
      </c>
    </row>
    <row r="16" spans="1:46" ht="14" x14ac:dyDescent="0.25">
      <c r="A16" s="294"/>
      <c r="B16" s="1114" t="s">
        <v>94</v>
      </c>
      <c r="C16" s="123" t="s">
        <v>14</v>
      </c>
      <c r="D16" s="115">
        <v>5</v>
      </c>
      <c r="E16" s="115">
        <f t="shared" si="7"/>
        <v>3.3726000000000003</v>
      </c>
      <c r="F16" s="126">
        <v>1</v>
      </c>
      <c r="G16" s="118">
        <f t="shared" si="18"/>
        <v>16.863</v>
      </c>
      <c r="H16" s="119">
        <f t="shared" si="19"/>
        <v>16.863</v>
      </c>
      <c r="I16" s="80">
        <f>VLOOKUP(B16,All_Ingredients!$A$1:$F$149,6,FALSE())</f>
        <v>1</v>
      </c>
      <c r="J16" s="118">
        <f>VLOOKUP(B16,All_Ingredients!$A$1:$J$149,10,FALSE())</f>
        <v>0.74</v>
      </c>
      <c r="K16" s="174">
        <f t="shared" si="16"/>
        <v>16.863</v>
      </c>
      <c r="L16" s="121">
        <f t="shared" si="17"/>
        <v>12.478619999999999</v>
      </c>
    </row>
    <row r="18" spans="14:32" ht="14.25" customHeight="1" x14ac:dyDescent="0.25">
      <c r="N18" s="263"/>
    </row>
    <row r="24" spans="14:32" x14ac:dyDescent="0.25">
      <c r="Z24" s="1208"/>
    </row>
    <row r="25" spans="14:32" ht="12.75" customHeight="1" x14ac:dyDescent="0.3">
      <c r="R25" s="1467" t="s">
        <v>401</v>
      </c>
      <c r="S25" s="1444"/>
      <c r="T25" s="1444"/>
      <c r="U25" s="1444"/>
      <c r="V25" s="1132"/>
      <c r="Z25" s="140" t="s">
        <v>822</v>
      </c>
      <c r="AA25" s="141">
        <v>1</v>
      </c>
      <c r="AB25" s="140" t="s">
        <v>253</v>
      </c>
      <c r="AC25" s="142">
        <f>AF30*AA25</f>
        <v>3.4543563605876138</v>
      </c>
    </row>
    <row r="26" spans="14:32" ht="12.75" customHeight="1" x14ac:dyDescent="0.25">
      <c r="R26" s="1451" t="s">
        <v>301</v>
      </c>
      <c r="S26" s="1460"/>
      <c r="T26" s="1460"/>
      <c r="U26" s="1460"/>
      <c r="V26" s="1132"/>
    </row>
    <row r="27" spans="14:32" ht="14" customHeight="1" thickBot="1" x14ac:dyDescent="0.35">
      <c r="P27" s="337"/>
      <c r="R27" s="144" t="s">
        <v>258</v>
      </c>
      <c r="S27" s="144" t="s">
        <v>363</v>
      </c>
      <c r="T27" s="144" t="s">
        <v>260</v>
      </c>
      <c r="U27" s="144" t="s">
        <v>261</v>
      </c>
      <c r="V27" s="145" t="s">
        <v>808</v>
      </c>
      <c r="W27" s="145" t="s">
        <v>823</v>
      </c>
      <c r="X27" s="145" t="s">
        <v>818</v>
      </c>
      <c r="Z27" s="140" t="s">
        <v>262</v>
      </c>
      <c r="AA27" s="146" t="s">
        <v>808</v>
      </c>
      <c r="AB27" s="146" t="s">
        <v>819</v>
      </c>
      <c r="AC27" s="146" t="s">
        <v>264</v>
      </c>
      <c r="AD27" s="146" t="s">
        <v>821</v>
      </c>
      <c r="AE27" s="146" t="s">
        <v>818</v>
      </c>
      <c r="AF27" s="146" t="s">
        <v>266</v>
      </c>
    </row>
    <row r="28" spans="14:32" ht="14" customHeight="1" thickBot="1" x14ac:dyDescent="0.35">
      <c r="R28" s="144" t="s">
        <v>267</v>
      </c>
      <c r="S28" s="786">
        <f>U28*S40</f>
        <v>10842.9</v>
      </c>
      <c r="T28" s="786">
        <f>U28*U40</f>
        <v>3257.1000000000004</v>
      </c>
      <c r="U28" s="784">
        <f>$Z$1*$T$1</f>
        <v>14100</v>
      </c>
      <c r="V28" s="148">
        <f>SUM(AP5:AP13)</f>
        <v>1274.9759322033899</v>
      </c>
      <c r="W28" s="148">
        <f>SUM(K16:K18)</f>
        <v>16.863</v>
      </c>
      <c r="X28" s="148">
        <f>Z1+AB1</f>
        <v>146</v>
      </c>
      <c r="Z28" s="150"/>
      <c r="AA28" s="1186"/>
      <c r="AB28" s="151">
        <f>T1*$S$40</f>
        <v>76.900000000000006</v>
      </c>
      <c r="AC28" s="151">
        <f>T1*$U$40</f>
        <v>23.1</v>
      </c>
      <c r="AD28" s="1186"/>
      <c r="AE28" s="1186"/>
      <c r="AF28" s="153">
        <f>SUM(AB28:AD28)</f>
        <v>100</v>
      </c>
    </row>
    <row r="29" spans="14:32" ht="14" customHeight="1" thickBot="1" x14ac:dyDescent="0.35">
      <c r="R29" s="144" t="s">
        <v>268</v>
      </c>
      <c r="S29" s="787"/>
      <c r="T29" s="786"/>
      <c r="U29" s="338">
        <f>T29</f>
        <v>0</v>
      </c>
      <c r="V29" s="148"/>
      <c r="W29" s="148"/>
      <c r="X29" s="148"/>
      <c r="Z29" s="150"/>
      <c r="AA29" s="1186"/>
      <c r="AB29" s="155">
        <f>AB28/$AF$28</f>
        <v>0.76900000000000002</v>
      </c>
      <c r="AC29" s="155">
        <f>AC28/$AF$28</f>
        <v>0.23100000000000001</v>
      </c>
      <c r="AD29" s="1186"/>
      <c r="AE29" s="1186"/>
      <c r="AF29" s="155">
        <f>AF28/$AF$28</f>
        <v>1</v>
      </c>
    </row>
    <row r="30" spans="14:32" ht="14" customHeight="1" thickBot="1" x14ac:dyDescent="0.35">
      <c r="R30" s="144" t="s">
        <v>269</v>
      </c>
      <c r="S30" s="1335">
        <f>U30*S40</f>
        <v>384.5</v>
      </c>
      <c r="T30" s="786">
        <f>U30*U40</f>
        <v>115.5</v>
      </c>
      <c r="U30" s="784">
        <f>$AB$1*$T$1</f>
        <v>500</v>
      </c>
      <c r="V30" s="1124"/>
      <c r="W30" s="1124"/>
      <c r="X30" s="1124"/>
      <c r="Z30" s="140" t="s">
        <v>820</v>
      </c>
      <c r="AA30" s="1126">
        <f>V35/$AF$1</f>
        <v>6.0963502474853729E-2</v>
      </c>
      <c r="AB30" s="156">
        <f>S35/AF1</f>
        <v>2.5916239653133619</v>
      </c>
      <c r="AC30" s="1185">
        <f>T35/AF1</f>
        <v>0.30176889279939778</v>
      </c>
      <c r="AD30" s="297">
        <f>W35/AF1</f>
        <v>0</v>
      </c>
      <c r="AE30" s="1126">
        <f>X35/$AF$1</f>
        <v>0.5</v>
      </c>
      <c r="AF30" s="1129">
        <f>AA30+AB30+AC30+AD30+AE30</f>
        <v>3.4543563605876138</v>
      </c>
    </row>
    <row r="31" spans="14:32" ht="14" customHeight="1" thickBot="1" x14ac:dyDescent="0.35">
      <c r="R31" s="144" t="s">
        <v>271</v>
      </c>
      <c r="S31" s="293"/>
      <c r="T31" s="338"/>
      <c r="U31" s="338"/>
      <c r="V31" s="148"/>
      <c r="W31" s="148"/>
      <c r="X31" s="148"/>
    </row>
    <row r="32" spans="14:32" ht="14" customHeight="1" thickBot="1" x14ac:dyDescent="0.35">
      <c r="R32" s="145" t="s">
        <v>261</v>
      </c>
      <c r="S32" s="339">
        <f>SUM(S28:S30)</f>
        <v>11227.4</v>
      </c>
      <c r="T32" s="339">
        <f>SUM(T28:T30)</f>
        <v>3372.6000000000004</v>
      </c>
      <c r="U32" s="339">
        <f>SUM(U28:U30)</f>
        <v>14600</v>
      </c>
      <c r="V32" s="148"/>
      <c r="W32" s="148"/>
      <c r="X32" s="148"/>
    </row>
    <row r="33" spans="11:24" ht="17.75" customHeight="1" thickBot="1" x14ac:dyDescent="0.35">
      <c r="K33" s="261"/>
      <c r="R33" s="340" t="s">
        <v>272</v>
      </c>
      <c r="S33" s="341"/>
      <c r="T33" s="341"/>
      <c r="U33" s="342"/>
      <c r="V33" s="154"/>
      <c r="W33" s="154"/>
      <c r="X33" s="154"/>
    </row>
    <row r="34" spans="11:24" ht="17.75" customHeight="1" thickBot="1" x14ac:dyDescent="0.35">
      <c r="K34" s="261"/>
      <c r="R34" s="177" t="s">
        <v>273</v>
      </c>
      <c r="S34" s="343"/>
      <c r="T34" s="344"/>
      <c r="U34" s="343"/>
      <c r="V34" s="154"/>
      <c r="W34" s="154"/>
      <c r="X34" s="154"/>
    </row>
    <row r="35" spans="11:24" ht="12.75" customHeight="1" thickBot="1" x14ac:dyDescent="0.35">
      <c r="R35" s="162" t="s">
        <v>253</v>
      </c>
      <c r="S35" s="1125">
        <f>$L$5</f>
        <v>378.37709893575084</v>
      </c>
      <c r="T35" s="1125">
        <f>SUM(L6:L12)</f>
        <v>44.058258348712073</v>
      </c>
      <c r="U35" s="1184">
        <f>S35+T35+V35+W35+X35</f>
        <v>504.33602864579154</v>
      </c>
      <c r="V35" s="1125">
        <f>SUM(AT6:AT13)</f>
        <v>8.9006713613286443</v>
      </c>
      <c r="W35" s="1125"/>
      <c r="X35" s="1125">
        <f>L13</f>
        <v>73</v>
      </c>
    </row>
    <row r="36" spans="11:24" ht="12.75" customHeight="1" x14ac:dyDescent="0.25"/>
    <row r="37" spans="11:24" ht="12.75" customHeight="1" x14ac:dyDescent="0.25"/>
    <row r="38" spans="11:24" ht="12.75" customHeight="1" x14ac:dyDescent="0.25"/>
    <row r="39" spans="11:24" ht="12.75" customHeight="1" x14ac:dyDescent="0.25"/>
    <row r="40" spans="11:24" ht="25.5" customHeight="1" x14ac:dyDescent="0.3">
      <c r="R40" s="164" t="s">
        <v>274</v>
      </c>
      <c r="S40" s="238">
        <v>0.76900000000000002</v>
      </c>
      <c r="T40" s="164" t="s">
        <v>275</v>
      </c>
      <c r="U40" s="238">
        <v>0.23100000000000001</v>
      </c>
      <c r="V40" s="167">
        <f>S40+U40</f>
        <v>1</v>
      </c>
    </row>
    <row r="41" spans="11:24" ht="12.75" customHeight="1" x14ac:dyDescent="0.25">
      <c r="U41" s="168"/>
    </row>
    <row r="42" spans="11:24" ht="12.75" customHeight="1" x14ac:dyDescent="0.25"/>
    <row r="43" spans="11:24" ht="12.75" customHeight="1" x14ac:dyDescent="0.3">
      <c r="Q43" s="169" t="s">
        <v>276</v>
      </c>
      <c r="R43" s="169" t="s">
        <v>277</v>
      </c>
      <c r="S43" s="169" t="s">
        <v>278</v>
      </c>
      <c r="T43" s="169" t="s">
        <v>279</v>
      </c>
      <c r="U43" s="169" t="s">
        <v>280</v>
      </c>
      <c r="V43" s="169" t="s">
        <v>281</v>
      </c>
      <c r="W43" s="257" t="s">
        <v>282</v>
      </c>
    </row>
    <row r="44" spans="11:24" ht="14.25" customHeight="1" x14ac:dyDescent="0.3">
      <c r="Q44" s="171">
        <v>43334</v>
      </c>
      <c r="R44" s="172">
        <f>D51</f>
        <v>10000</v>
      </c>
      <c r="S44" s="173">
        <v>1</v>
      </c>
      <c r="T44" s="240">
        <v>0</v>
      </c>
      <c r="U44" s="241">
        <f>R44*S44</f>
        <v>10000</v>
      </c>
      <c r="V44" s="175">
        <f>R44*T44</f>
        <v>0</v>
      </c>
      <c r="W44" s="259">
        <f>Q44-U44</f>
        <v>33334</v>
      </c>
    </row>
    <row r="50" spans="1:10" ht="14" x14ac:dyDescent="0.3">
      <c r="B50" s="275"/>
      <c r="C50" s="144" t="s">
        <v>237</v>
      </c>
      <c r="D50" s="144" t="s">
        <v>283</v>
      </c>
      <c r="E50" s="99"/>
      <c r="F50" s="99"/>
      <c r="G50" s="144" t="s">
        <v>284</v>
      </c>
      <c r="H50" s="144" t="s">
        <v>237</v>
      </c>
      <c r="I50" s="144" t="s">
        <v>285</v>
      </c>
      <c r="J50" s="144" t="s">
        <v>286</v>
      </c>
    </row>
    <row r="51" spans="1:10" ht="14.25" customHeight="1" x14ac:dyDescent="0.3">
      <c r="B51" s="179" t="s">
        <v>287</v>
      </c>
      <c r="C51" s="180">
        <f>10/$K$1</f>
        <v>10</v>
      </c>
      <c r="D51" s="181">
        <f>$C$1*10</f>
        <v>10000</v>
      </c>
      <c r="E51" s="182"/>
      <c r="F51" s="99"/>
      <c r="G51" s="179" t="s">
        <v>287</v>
      </c>
      <c r="H51" s="487">
        <f>I51/$D$5</f>
        <v>10</v>
      </c>
      <c r="I51" s="180">
        <f>J51/$R$1</f>
        <v>56498.305084745763</v>
      </c>
      <c r="J51" s="180">
        <f>$W$44</f>
        <v>33334</v>
      </c>
    </row>
    <row r="52" spans="1:10" ht="14.25" customHeight="1" x14ac:dyDescent="0.3">
      <c r="B52" s="230" t="s">
        <v>266</v>
      </c>
      <c r="C52" s="231">
        <f>$I$1</f>
        <v>3.3726000000000003</v>
      </c>
      <c r="D52" s="232">
        <f>$E$1</f>
        <v>3372.6000000000004</v>
      </c>
      <c r="E52" s="99"/>
      <c r="F52" s="99"/>
      <c r="G52" s="147" t="s">
        <v>266</v>
      </c>
      <c r="H52" s="209">
        <f>I52/$D$5</f>
        <v>3.368152636947261</v>
      </c>
      <c r="I52" s="175">
        <f>J52/$R$1</f>
        <v>19029.491525423728</v>
      </c>
      <c r="J52" s="183">
        <f>$S$32</f>
        <v>11227.4</v>
      </c>
    </row>
    <row r="53" spans="1:10" ht="14.25" customHeight="1" x14ac:dyDescent="0.3">
      <c r="B53" s="230" t="s">
        <v>288</v>
      </c>
      <c r="C53" s="233">
        <f>MIN(C52, C51)</f>
        <v>3.3726000000000003</v>
      </c>
      <c r="D53" s="232">
        <f>(C53*$K$1)*$C$1</f>
        <v>3372.6000000000004</v>
      </c>
      <c r="E53" s="99"/>
      <c r="F53" s="99"/>
      <c r="G53" s="147" t="s">
        <v>288</v>
      </c>
      <c r="H53" s="186">
        <f>MIN(H52,H51)</f>
        <v>3.368152636947261</v>
      </c>
      <c r="I53" s="175">
        <f>J53/$R$1</f>
        <v>19029.491525423728</v>
      </c>
      <c r="J53" s="175">
        <f>MIN(J52,J51)</f>
        <v>11227.4</v>
      </c>
    </row>
    <row r="54" spans="1:10" ht="14.25" customHeight="1" x14ac:dyDescent="0.3">
      <c r="B54" s="230" t="s">
        <v>289</v>
      </c>
      <c r="C54" s="233">
        <f>MIN(MAX(C52-C53,0),C51)</f>
        <v>0</v>
      </c>
      <c r="D54" s="232">
        <f>(C54*$K$1)*$C$1</f>
        <v>0</v>
      </c>
      <c r="E54" s="99"/>
      <c r="F54" s="99"/>
      <c r="G54" s="147" t="s">
        <v>289</v>
      </c>
      <c r="H54" s="186">
        <f>MIN(MAX(H52-H53),H51)</f>
        <v>0</v>
      </c>
      <c r="I54" s="175">
        <f>J54/$R$1</f>
        <v>0</v>
      </c>
      <c r="J54" s="175">
        <f>MIN(MAX(J52-J53),J51)</f>
        <v>0</v>
      </c>
    </row>
    <row r="55" spans="1:10" ht="14.25" customHeight="1" x14ac:dyDescent="0.3">
      <c r="B55" s="230" t="s">
        <v>290</v>
      </c>
      <c r="C55" s="233">
        <f>MIN(MAX(C52-C53-C54,0),C51)</f>
        <v>0</v>
      </c>
      <c r="D55" s="232">
        <f>(C55*$K$1)*$C$1</f>
        <v>0</v>
      </c>
      <c r="E55" s="99"/>
      <c r="F55" s="99"/>
      <c r="G55" s="144" t="s">
        <v>290</v>
      </c>
      <c r="H55" s="186">
        <f>MIN(MAX(H52-H53-H54),H51)</f>
        <v>0</v>
      </c>
      <c r="I55" s="175">
        <f>J55/$R$1</f>
        <v>0</v>
      </c>
      <c r="J55" s="175">
        <f>MIN(MAX(J52-J53-J54),J51)</f>
        <v>0</v>
      </c>
    </row>
    <row r="56" spans="1:10" ht="14.25" customHeight="1" x14ac:dyDescent="0.25"/>
    <row r="62" spans="1:10" ht="17.75" customHeight="1" x14ac:dyDescent="0.3">
      <c r="A62" s="927"/>
      <c r="B62" s="1438" t="str">
        <f>" ساندوتش تشيكن فاهيتا  1 / " &amp; COUNTIF($C$53:$C$55, "&gt;0")</f>
        <v xml:space="preserve"> ساندوتش تشيكن فاهيتا  1 / 1</v>
      </c>
      <c r="C62" s="1439"/>
      <c r="D62" s="1439"/>
      <c r="E62" s="1439"/>
      <c r="F62" s="1439"/>
      <c r="G62" s="1439"/>
      <c r="H62" s="1439"/>
    </row>
    <row r="63" spans="1:10" ht="17.75" customHeight="1" x14ac:dyDescent="0.3">
      <c r="A63" s="927"/>
      <c r="B63" s="1436" t="str">
        <f>"Chicken Fajita 1 / " &amp; COUNTIF($C$53:$C$55, "&gt;0")</f>
        <v>Chicken Fajita 1 / 1</v>
      </c>
      <c r="C63" s="1437"/>
      <c r="D63" s="1437"/>
      <c r="E63" s="1437"/>
      <c r="F63" s="1437"/>
      <c r="G63" s="1437"/>
      <c r="H63" s="1437"/>
    </row>
    <row r="64" spans="1:10" ht="35.75" customHeight="1" x14ac:dyDescent="0.25">
      <c r="A64" s="90"/>
      <c r="B64" s="242" t="s">
        <v>245</v>
      </c>
      <c r="C64" s="243" t="s">
        <v>246</v>
      </c>
      <c r="D64" s="244" t="s">
        <v>235</v>
      </c>
      <c r="E64" s="217" t="s">
        <v>238</v>
      </c>
      <c r="F64" s="217" t="s">
        <v>247</v>
      </c>
      <c r="G64" s="244" t="s">
        <v>248</v>
      </c>
      <c r="H64" s="217" t="s">
        <v>249</v>
      </c>
    </row>
    <row r="65" spans="1:10" ht="14.25" customHeight="1" x14ac:dyDescent="0.25">
      <c r="A65" s="294" t="s">
        <v>225</v>
      </c>
      <c r="B65" s="322" t="str">
        <f t="shared" ref="B65:D70" si="20">B5</f>
        <v>Chicken - دجاج</v>
      </c>
      <c r="C65" s="322" t="str">
        <f t="shared" si="20"/>
        <v>gm</v>
      </c>
      <c r="D65" s="485">
        <f t="shared" si="20"/>
        <v>5649.8305084745762</v>
      </c>
      <c r="E65" s="350">
        <f>H53</f>
        <v>3.368152636947261</v>
      </c>
      <c r="F65" s="126">
        <f t="shared" ref="F65:F76" si="21">F5</f>
        <v>1</v>
      </c>
      <c r="G65" s="118">
        <f t="shared" ref="G65:G70" si="22">D65*E65</f>
        <v>19029.491525423728</v>
      </c>
      <c r="H65" s="119">
        <f t="shared" ref="H65:H70" si="23">G65*F65</f>
        <v>19029.491525423728</v>
      </c>
    </row>
    <row r="66" spans="1:10" ht="14.25" customHeight="1" x14ac:dyDescent="0.25">
      <c r="A66" s="294" t="s">
        <v>13</v>
      </c>
      <c r="B66" s="322" t="str">
        <f t="shared" si="20"/>
        <v>Onion - بصل</v>
      </c>
      <c r="C66" s="322" t="str">
        <f t="shared" si="20"/>
        <v>gm</v>
      </c>
      <c r="D66" s="322">
        <f t="shared" si="20"/>
        <v>190</v>
      </c>
      <c r="E66" s="350">
        <f t="shared" ref="E66:E76" si="24">$C$53</f>
        <v>3.3726000000000003</v>
      </c>
      <c r="F66" s="126">
        <f t="shared" si="21"/>
        <v>1</v>
      </c>
      <c r="G66" s="118">
        <f t="shared" si="22"/>
        <v>640.7940000000001</v>
      </c>
      <c r="H66" s="119">
        <f t="shared" si="23"/>
        <v>640.7940000000001</v>
      </c>
    </row>
    <row r="67" spans="1:10" ht="14.25" customHeight="1" x14ac:dyDescent="0.25">
      <c r="A67" s="294" t="s">
        <v>13</v>
      </c>
      <c r="B67" s="322" t="str">
        <f t="shared" si="20"/>
        <v xml:space="preserve">Red Bell Pepper - فلفل أحمر </v>
      </c>
      <c r="C67" s="322" t="str">
        <f t="shared" si="20"/>
        <v>gm</v>
      </c>
      <c r="D67" s="322">
        <f t="shared" si="20"/>
        <v>190</v>
      </c>
      <c r="E67" s="350">
        <f t="shared" si="24"/>
        <v>3.3726000000000003</v>
      </c>
      <c r="F67" s="126">
        <f t="shared" si="21"/>
        <v>1</v>
      </c>
      <c r="G67" s="118">
        <f t="shared" si="22"/>
        <v>640.7940000000001</v>
      </c>
      <c r="H67" s="119">
        <f t="shared" si="23"/>
        <v>640.7940000000001</v>
      </c>
    </row>
    <row r="68" spans="1:10" ht="14.25" customHeight="1" x14ac:dyDescent="0.25">
      <c r="A68" s="294" t="s">
        <v>13</v>
      </c>
      <c r="B68" s="322" t="str">
        <f t="shared" si="20"/>
        <v xml:space="preserve">Yellow Bell Pepper - فلفل أصفر </v>
      </c>
      <c r="C68" s="322" t="str">
        <f t="shared" si="20"/>
        <v>gm</v>
      </c>
      <c r="D68" s="322">
        <f t="shared" si="20"/>
        <v>190</v>
      </c>
      <c r="E68" s="350">
        <f t="shared" si="24"/>
        <v>3.3726000000000003</v>
      </c>
      <c r="F68" s="126">
        <f t="shared" si="21"/>
        <v>1</v>
      </c>
      <c r="G68" s="118">
        <f t="shared" si="22"/>
        <v>640.7940000000001</v>
      </c>
      <c r="H68" s="119">
        <f t="shared" si="23"/>
        <v>640.7940000000001</v>
      </c>
    </row>
    <row r="69" spans="1:10" ht="14.25" customHeight="1" x14ac:dyDescent="0.25">
      <c r="A69" s="294" t="s">
        <v>13</v>
      </c>
      <c r="B69" s="322" t="str">
        <f t="shared" si="20"/>
        <v>Green Bell Pepper - فلفل أخضر رومى</v>
      </c>
      <c r="C69" s="322" t="str">
        <f t="shared" si="20"/>
        <v>gm</v>
      </c>
      <c r="D69" s="322">
        <f t="shared" si="20"/>
        <v>190</v>
      </c>
      <c r="E69" s="350">
        <f t="shared" si="24"/>
        <v>3.3726000000000003</v>
      </c>
      <c r="F69" s="126">
        <f t="shared" si="21"/>
        <v>1</v>
      </c>
      <c r="G69" s="118">
        <f t="shared" si="22"/>
        <v>640.7940000000001</v>
      </c>
      <c r="H69" s="119">
        <f t="shared" si="23"/>
        <v>640.7940000000001</v>
      </c>
    </row>
    <row r="70" spans="1:10" ht="14.25" customHeight="1" x14ac:dyDescent="0.25">
      <c r="A70" s="294" t="s">
        <v>192</v>
      </c>
      <c r="B70" s="322" t="str">
        <f t="shared" si="20"/>
        <v>Tomato Ketchup - كاتشب طماطم</v>
      </c>
      <c r="C70" s="322" t="str">
        <f t="shared" si="20"/>
        <v>ml</v>
      </c>
      <c r="D70" s="322">
        <f t="shared" si="20"/>
        <v>360</v>
      </c>
      <c r="E70" s="350">
        <f t="shared" si="24"/>
        <v>3.3726000000000003</v>
      </c>
      <c r="F70" s="126">
        <f t="shared" si="21"/>
        <v>1</v>
      </c>
      <c r="G70" s="118">
        <f t="shared" si="22"/>
        <v>1214.1360000000002</v>
      </c>
      <c r="H70" s="119">
        <f t="shared" si="23"/>
        <v>1214.1360000000002</v>
      </c>
    </row>
    <row r="71" spans="1:10" ht="14.25" customHeight="1" x14ac:dyDescent="0.25">
      <c r="A71" s="294"/>
      <c r="B71" s="322" t="str">
        <f t="shared" ref="B71:D71" si="25">B11</f>
        <v>Sriracha Sauce - صوص سريراتشا</v>
      </c>
      <c r="C71" s="322" t="str">
        <f t="shared" si="25"/>
        <v>ml</v>
      </c>
      <c r="D71" s="322">
        <f t="shared" si="25"/>
        <v>95</v>
      </c>
      <c r="E71" s="350">
        <f t="shared" si="24"/>
        <v>3.3726000000000003</v>
      </c>
      <c r="F71" s="126">
        <f t="shared" si="21"/>
        <v>1</v>
      </c>
      <c r="G71" s="118">
        <f t="shared" ref="G71:G76" si="26">D71*E71</f>
        <v>320.39700000000005</v>
      </c>
      <c r="H71" s="119">
        <f t="shared" ref="H71:H76" si="27">G71*F71</f>
        <v>320.39700000000005</v>
      </c>
    </row>
    <row r="72" spans="1:10" ht="14.25" customHeight="1" x14ac:dyDescent="0.25">
      <c r="A72" s="294"/>
      <c r="B72" s="322" t="str">
        <f t="shared" ref="B72:D72" si="28">B12</f>
        <v>Coriander Leaves - كزبرة خضراء</v>
      </c>
      <c r="C72" s="322" t="str">
        <f t="shared" si="28"/>
        <v>gm</v>
      </c>
      <c r="D72" s="322">
        <f t="shared" si="28"/>
        <v>25</v>
      </c>
      <c r="E72" s="350">
        <f t="shared" si="24"/>
        <v>3.3726000000000003</v>
      </c>
      <c r="F72" s="126">
        <f t="shared" si="21"/>
        <v>1</v>
      </c>
      <c r="G72" s="118">
        <f t="shared" si="26"/>
        <v>84.315000000000012</v>
      </c>
      <c r="H72" s="119">
        <f t="shared" si="27"/>
        <v>84.315000000000012</v>
      </c>
    </row>
    <row r="73" spans="1:10" ht="20.25" customHeight="1" x14ac:dyDescent="0.4">
      <c r="A73" s="294"/>
      <c r="B73" s="322" t="str">
        <f t="shared" ref="B73:D73" si="29">B13</f>
        <v>Whole Wheat Oat Sub Roll - صامولي اسمر شوفان 16 سم</v>
      </c>
      <c r="C73" s="322" t="str">
        <f t="shared" si="29"/>
        <v>Piece</v>
      </c>
      <c r="D73" s="322">
        <f t="shared" si="29"/>
        <v>1</v>
      </c>
      <c r="E73" s="350">
        <f>E13</f>
        <v>146</v>
      </c>
      <c r="F73" s="126">
        <f t="shared" si="21"/>
        <v>1</v>
      </c>
      <c r="G73" s="118">
        <f t="shared" si="26"/>
        <v>146</v>
      </c>
      <c r="H73" s="119">
        <f t="shared" si="27"/>
        <v>146</v>
      </c>
      <c r="I73" s="203"/>
      <c r="J73" s="202"/>
    </row>
    <row r="74" spans="1:10" ht="14" x14ac:dyDescent="0.25">
      <c r="A74" s="294" t="s">
        <v>192</v>
      </c>
      <c r="B74" s="322" t="str">
        <f t="shared" ref="B74:D74" si="30">B14</f>
        <v>Garlic - ثوم مقشر</v>
      </c>
      <c r="C74" s="322" t="str">
        <f t="shared" si="30"/>
        <v>gm</v>
      </c>
      <c r="D74" s="322">
        <f t="shared" si="30"/>
        <v>20</v>
      </c>
      <c r="E74" s="350">
        <f t="shared" si="24"/>
        <v>3.3726000000000003</v>
      </c>
      <c r="F74" s="126">
        <f t="shared" si="21"/>
        <v>1</v>
      </c>
      <c r="G74" s="118">
        <f t="shared" si="26"/>
        <v>67.451999999999998</v>
      </c>
      <c r="H74" s="119">
        <f t="shared" si="27"/>
        <v>67.451999999999998</v>
      </c>
    </row>
    <row r="75" spans="1:10" ht="14" x14ac:dyDescent="0.25">
      <c r="A75" s="294" t="s">
        <v>192</v>
      </c>
      <c r="B75" s="322" t="str">
        <f t="shared" ref="B75:D75" si="31">B15</f>
        <v>Butter - زبدة</v>
      </c>
      <c r="C75" s="322" t="str">
        <f t="shared" si="31"/>
        <v>gm</v>
      </c>
      <c r="D75" s="322">
        <f t="shared" si="31"/>
        <v>50</v>
      </c>
      <c r="E75" s="350">
        <f t="shared" si="24"/>
        <v>3.3726000000000003</v>
      </c>
      <c r="F75" s="126">
        <f t="shared" si="21"/>
        <v>1</v>
      </c>
      <c r="G75" s="118">
        <f t="shared" si="26"/>
        <v>168.63000000000002</v>
      </c>
      <c r="H75" s="119">
        <f t="shared" si="27"/>
        <v>168.63000000000002</v>
      </c>
    </row>
    <row r="76" spans="1:10" ht="14" x14ac:dyDescent="0.25">
      <c r="A76" s="294" t="s">
        <v>192</v>
      </c>
      <c r="B76" s="322" t="str">
        <f t="shared" ref="B76:D76" si="32">B16</f>
        <v>Salt - ملح</v>
      </c>
      <c r="C76" s="322" t="str">
        <f t="shared" si="32"/>
        <v>gm</v>
      </c>
      <c r="D76" s="322">
        <f t="shared" si="32"/>
        <v>5</v>
      </c>
      <c r="E76" s="350">
        <f t="shared" si="24"/>
        <v>3.3726000000000003</v>
      </c>
      <c r="F76" s="126">
        <f t="shared" si="21"/>
        <v>1</v>
      </c>
      <c r="G76" s="118">
        <f t="shared" si="26"/>
        <v>16.863</v>
      </c>
      <c r="H76" s="119">
        <f t="shared" si="27"/>
        <v>16.863</v>
      </c>
    </row>
    <row r="77" spans="1:10" ht="18" x14ac:dyDescent="0.3">
      <c r="A77" s="210"/>
      <c r="B77" s="197" t="s">
        <v>291</v>
      </c>
      <c r="C77" s="199" t="s">
        <v>277</v>
      </c>
      <c r="E77" s="199" t="s">
        <v>292</v>
      </c>
      <c r="G77" s="878" t="s">
        <v>268</v>
      </c>
      <c r="H77" s="878" t="s">
        <v>703</v>
      </c>
    </row>
    <row r="78" spans="1:10" ht="20" x14ac:dyDescent="0.4">
      <c r="A78" s="210"/>
      <c r="B78" s="198">
        <f>$J$53</f>
        <v>11227.4</v>
      </c>
      <c r="C78" s="200">
        <f>E78+G78</f>
        <v>3.3726000000000003</v>
      </c>
      <c r="D78" s="208"/>
      <c r="E78" s="200">
        <f>$C$53*$S$44</f>
        <v>3.3726000000000003</v>
      </c>
      <c r="F78" s="99"/>
      <c r="G78" s="201">
        <f>$C$53*$T$44</f>
        <v>0</v>
      </c>
      <c r="H78" s="201">
        <f>B78+E78</f>
        <v>11230.7726</v>
      </c>
    </row>
  </sheetData>
  <mergeCells count="7">
    <mergeCell ref="AK2:AN2"/>
    <mergeCell ref="B63:H63"/>
    <mergeCell ref="AE2:AG3"/>
    <mergeCell ref="R26:U26"/>
    <mergeCell ref="B62:H62"/>
    <mergeCell ref="R25:U25"/>
    <mergeCell ref="B2:K3"/>
  </mergeCells>
  <printOptions horizontalCentered="1"/>
  <pageMargins left="0.4" right="0.4" top="1" bottom="0.5" header="0.3" footer="0.511811023622047"/>
  <pageSetup paperSize="9" scale="44" orientation="landscape" r:id="rId1"/>
  <ignoredErrors>
    <ignoredError sqref="E74" formula="1"/>
  </ignoredErrors>
  <legacy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tabColor rgb="FFFFFF00"/>
    <pageSetUpPr fitToPage="1"/>
  </sheetPr>
  <dimension ref="A1:AG156"/>
  <sheetViews>
    <sheetView zoomScale="85" zoomScaleNormal="85" workbookViewId="0">
      <selection activeCell="R52" sqref="Q52:R53"/>
    </sheetView>
  </sheetViews>
  <sheetFormatPr defaultColWidth="12.5" defaultRowHeight="12.5" x14ac:dyDescent="0.25"/>
  <cols>
    <col min="1" max="1" width="12.5" style="14" customWidth="1"/>
    <col min="2" max="2" width="31.414062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7" width="4.58203125" style="14" customWidth="1"/>
    <col min="18" max="18" width="24.1640625" style="14" customWidth="1"/>
    <col min="19" max="19" width="12.5" style="14" customWidth="1"/>
    <col min="20" max="20" width="12.5" style="14"/>
    <col min="21" max="24" width="3.9140625" style="14" customWidth="1"/>
    <col min="25" max="27" width="12.5" style="14"/>
    <col min="28" max="28" width="6.75" style="14" customWidth="1"/>
    <col min="29" max="16384" width="12.5" style="14"/>
  </cols>
  <sheetData>
    <row r="1" spans="1:33" ht="28.5" customHeight="1" x14ac:dyDescent="0.25">
      <c r="B1" s="79" t="s">
        <v>235</v>
      </c>
      <c r="C1" s="80">
        <v>1000</v>
      </c>
      <c r="D1" s="81" t="s">
        <v>236</v>
      </c>
      <c r="E1" s="116">
        <f>S30</f>
        <v>31810</v>
      </c>
      <c r="F1" s="79" t="s">
        <v>237</v>
      </c>
      <c r="G1" s="365">
        <f>E1/C1</f>
        <v>31.81</v>
      </c>
      <c r="H1" s="79" t="s">
        <v>238</v>
      </c>
      <c r="I1" s="116">
        <f>G1/K1</f>
        <v>31.495049504950494</v>
      </c>
      <c r="J1" s="325" t="s">
        <v>239</v>
      </c>
      <c r="K1" s="326">
        <v>1.01</v>
      </c>
      <c r="L1" s="99"/>
      <c r="M1" s="99"/>
      <c r="N1" s="99"/>
      <c r="O1" s="99"/>
      <c r="P1" s="99"/>
      <c r="Q1" s="99"/>
      <c r="R1" s="99"/>
      <c r="S1" s="99"/>
      <c r="T1" s="99"/>
      <c r="U1" s="99"/>
      <c r="V1" s="99"/>
      <c r="Y1" s="90" t="s">
        <v>463</v>
      </c>
      <c r="Z1" s="835">
        <v>31810</v>
      </c>
      <c r="AA1" s="90" t="s">
        <v>578</v>
      </c>
      <c r="AB1" s="835">
        <v>0</v>
      </c>
      <c r="AC1" s="90" t="s">
        <v>567</v>
      </c>
      <c r="AD1" s="835">
        <v>221</v>
      </c>
    </row>
    <row r="2" spans="1:33" ht="12.75" customHeight="1" x14ac:dyDescent="0.25">
      <c r="A2" s="329"/>
      <c r="B2" s="488" t="s">
        <v>347</v>
      </c>
      <c r="C2" s="488"/>
      <c r="D2" s="488"/>
      <c r="E2" s="488"/>
      <c r="F2" s="488"/>
      <c r="G2" s="488"/>
      <c r="H2" s="488"/>
      <c r="I2" s="99"/>
      <c r="J2" s="99"/>
      <c r="K2" s="99"/>
      <c r="L2" s="99"/>
      <c r="M2" s="99"/>
      <c r="N2" s="99"/>
      <c r="O2" s="99"/>
      <c r="P2" s="99"/>
      <c r="Q2" s="99"/>
      <c r="R2" s="99"/>
      <c r="S2" s="99"/>
      <c r="T2" s="99"/>
      <c r="U2" s="99"/>
      <c r="AE2" s="1452"/>
      <c r="AF2" s="1460"/>
      <c r="AG2" s="1460"/>
    </row>
    <row r="3" spans="1:33" ht="12.75" customHeight="1" x14ac:dyDescent="0.25">
      <c r="A3" s="329"/>
      <c r="B3" s="369"/>
      <c r="C3" s="369"/>
      <c r="D3" s="369"/>
      <c r="E3" s="369"/>
      <c r="F3" s="369"/>
      <c r="G3" s="369"/>
      <c r="H3" s="369"/>
      <c r="I3" s="99"/>
      <c r="J3" s="99"/>
      <c r="K3" s="99"/>
      <c r="L3" s="99"/>
      <c r="M3" s="99"/>
      <c r="N3" s="99"/>
      <c r="O3" s="99"/>
      <c r="P3" s="99"/>
      <c r="Q3" s="99"/>
      <c r="R3" s="99"/>
      <c r="S3" s="99"/>
      <c r="T3" s="99"/>
      <c r="U3" s="99"/>
      <c r="AE3" s="1460"/>
      <c r="AF3" s="1460"/>
      <c r="AG3" s="1460"/>
    </row>
    <row r="4" spans="1:33" ht="68.75" customHeight="1" x14ac:dyDescent="0.25">
      <c r="A4" s="90" t="s">
        <v>1</v>
      </c>
      <c r="B4" s="90" t="s">
        <v>245</v>
      </c>
      <c r="C4" s="106" t="s">
        <v>246</v>
      </c>
      <c r="D4" s="90" t="s">
        <v>235</v>
      </c>
      <c r="E4" s="217" t="s">
        <v>238</v>
      </c>
      <c r="F4" s="107" t="s">
        <v>247</v>
      </c>
      <c r="G4" s="90" t="s">
        <v>248</v>
      </c>
      <c r="H4" s="106" t="s">
        <v>339</v>
      </c>
      <c r="I4" s="90" t="s">
        <v>250</v>
      </c>
      <c r="J4" s="90" t="s">
        <v>251</v>
      </c>
      <c r="K4" s="90" t="s">
        <v>252</v>
      </c>
      <c r="L4" s="90" t="s">
        <v>253</v>
      </c>
      <c r="M4" s="99"/>
      <c r="N4" s="99"/>
      <c r="O4" s="99"/>
      <c r="P4" s="99"/>
      <c r="Q4" s="99"/>
      <c r="R4" s="99"/>
      <c r="S4" s="99"/>
      <c r="T4" s="99"/>
      <c r="U4" s="99"/>
    </row>
    <row r="5" spans="1:33" ht="14.25" customHeight="1" x14ac:dyDescent="0.25">
      <c r="A5" s="218"/>
      <c r="B5" s="649"/>
      <c r="C5" s="650"/>
      <c r="D5" s="218"/>
      <c r="E5" s="651"/>
      <c r="F5" s="218"/>
      <c r="G5" s="218"/>
      <c r="H5" s="650"/>
      <c r="I5" s="80"/>
      <c r="J5" s="120"/>
      <c r="K5" s="121"/>
      <c r="L5" s="121"/>
    </row>
    <row r="6" spans="1:33" ht="14.25" customHeight="1" x14ac:dyDescent="0.25">
      <c r="A6" s="294" t="s">
        <v>13</v>
      </c>
      <c r="B6" s="22" t="s">
        <v>21</v>
      </c>
      <c r="C6" s="123" t="s">
        <v>14</v>
      </c>
      <c r="D6" s="115">
        <v>1175</v>
      </c>
      <c r="E6" s="115">
        <f t="shared" ref="E6:E12" si="0">$I$1</f>
        <v>31.495049504950494</v>
      </c>
      <c r="F6" s="126">
        <v>1</v>
      </c>
      <c r="G6" s="118">
        <f t="shared" ref="G6:G12" si="1">D6*E6</f>
        <v>37006.683168316828</v>
      </c>
      <c r="H6" s="119">
        <f t="shared" ref="H6:H12" si="2">G6*F6</f>
        <v>37006.683168316828</v>
      </c>
      <c r="I6" s="80">
        <f>VLOOKUP(B6,All_Ingredients!$A$1:$F$149,6,FALSE())</f>
        <v>0.9</v>
      </c>
      <c r="J6" s="120">
        <f>VLOOKUP(B6,All_Ingredients!$A$1:$J$149,10,FALSE())</f>
        <v>2.2999999999999998</v>
      </c>
      <c r="K6" s="121">
        <f t="shared" ref="K6" si="3">(H6/I6)/1000</f>
        <v>41.118536853685363</v>
      </c>
      <c r="L6" s="121">
        <f t="shared" ref="L6" si="4">K6*J6</f>
        <v>94.57263476347633</v>
      </c>
    </row>
    <row r="7" spans="1:33" ht="14.25" customHeight="1" x14ac:dyDescent="0.25">
      <c r="A7" s="294" t="s">
        <v>56</v>
      </c>
      <c r="B7" s="22" t="s">
        <v>55</v>
      </c>
      <c r="C7" s="123" t="s">
        <v>14</v>
      </c>
      <c r="D7" s="115">
        <v>10</v>
      </c>
      <c r="E7" s="115">
        <f t="shared" si="0"/>
        <v>31.495049504950494</v>
      </c>
      <c r="F7" s="126">
        <v>1</v>
      </c>
      <c r="G7" s="118">
        <f t="shared" si="1"/>
        <v>314.95049504950492</v>
      </c>
      <c r="H7" s="119">
        <f t="shared" si="2"/>
        <v>314.95049504950492</v>
      </c>
      <c r="I7" s="80">
        <f>VLOOKUP(B7,All_Ingredients!$A$1:$F$149,6,FALSE())</f>
        <v>0.87</v>
      </c>
      <c r="J7" s="120">
        <f>VLOOKUP(B7,All_Ingredients!$A$1:$J$149,10,FALSE())</f>
        <v>7</v>
      </c>
      <c r="K7" s="121">
        <f t="shared" ref="K7:K12" si="5">(H7/I7)/1000</f>
        <v>0.36201206327529301</v>
      </c>
      <c r="L7" s="121">
        <f t="shared" ref="L7:L12" si="6">K7*J7</f>
        <v>2.534084442927051</v>
      </c>
    </row>
    <row r="8" spans="1:33" ht="14.25" customHeight="1" x14ac:dyDescent="0.25">
      <c r="A8" s="294" t="s">
        <v>62</v>
      </c>
      <c r="B8" s="22" t="s">
        <v>61</v>
      </c>
      <c r="C8" s="123" t="s">
        <v>14</v>
      </c>
      <c r="D8" s="115">
        <v>5</v>
      </c>
      <c r="E8" s="115">
        <f t="shared" si="0"/>
        <v>31.495049504950494</v>
      </c>
      <c r="F8" s="126">
        <v>1</v>
      </c>
      <c r="G8" s="118">
        <f t="shared" si="1"/>
        <v>157.47524752475246</v>
      </c>
      <c r="H8" s="119">
        <f t="shared" si="2"/>
        <v>157.47524752475246</v>
      </c>
      <c r="I8" s="80">
        <f>VLOOKUP(B8,All_Ingredients!$A$1:$F$149,6,FALSE())</f>
        <v>0.94</v>
      </c>
      <c r="J8" s="120">
        <f>VLOOKUP(B8,All_Ingredients!$A$1:$J$149,10,FALSE())</f>
        <v>3.6363636363636367</v>
      </c>
      <c r="K8" s="121">
        <f t="shared" si="5"/>
        <v>0.16752685906888562</v>
      </c>
      <c r="L8" s="121">
        <f t="shared" si="6"/>
        <v>0.60918857843231144</v>
      </c>
    </row>
    <row r="9" spans="1:33" ht="14.25" customHeight="1" x14ac:dyDescent="0.25">
      <c r="A9" s="294" t="s">
        <v>154</v>
      </c>
      <c r="B9" s="22" t="s">
        <v>153</v>
      </c>
      <c r="C9" s="123" t="s">
        <v>14</v>
      </c>
      <c r="D9" s="115">
        <v>10</v>
      </c>
      <c r="E9" s="115">
        <f t="shared" si="0"/>
        <v>31.495049504950494</v>
      </c>
      <c r="F9" s="126">
        <v>1</v>
      </c>
      <c r="G9" s="118">
        <f t="shared" si="1"/>
        <v>314.95049504950492</v>
      </c>
      <c r="H9" s="119">
        <f t="shared" si="2"/>
        <v>314.95049504950492</v>
      </c>
      <c r="I9" s="80">
        <f>VLOOKUP(B9,All_Ingredients!$A$1:$F$149,6,FALSE())</f>
        <v>1</v>
      </c>
      <c r="J9" s="120">
        <f>VLOOKUP(B9,All_Ingredients!$A$1:$J$149,10,FALSE())</f>
        <v>30</v>
      </c>
      <c r="K9" s="121">
        <f t="shared" si="5"/>
        <v>0.3149504950495049</v>
      </c>
      <c r="L9" s="121">
        <f t="shared" si="6"/>
        <v>9.4485148514851467</v>
      </c>
    </row>
    <row r="10" spans="1:33" ht="14.25" customHeight="1" x14ac:dyDescent="0.25">
      <c r="A10" s="294" t="s">
        <v>95</v>
      </c>
      <c r="B10" s="22" t="s">
        <v>102</v>
      </c>
      <c r="C10" s="123" t="s">
        <v>14</v>
      </c>
      <c r="D10" s="115">
        <v>2</v>
      </c>
      <c r="E10" s="115">
        <f t="shared" si="0"/>
        <v>31.495049504950494</v>
      </c>
      <c r="F10" s="126">
        <v>0.75</v>
      </c>
      <c r="G10" s="118">
        <f t="shared" si="1"/>
        <v>62.990099009900987</v>
      </c>
      <c r="H10" s="119">
        <f t="shared" si="2"/>
        <v>47.242574257425744</v>
      </c>
      <c r="I10" s="80">
        <f>VLOOKUP(B10,All_Ingredients!$A$1:$F$149,6,FALSE())</f>
        <v>1</v>
      </c>
      <c r="J10" s="120">
        <f>VLOOKUP(B10,All_Ingredients!$A$1:$J$149,10,FALSE())</f>
        <v>47</v>
      </c>
      <c r="K10" s="121">
        <f t="shared" si="5"/>
        <v>4.7242574257425743E-2</v>
      </c>
      <c r="L10" s="121">
        <f t="shared" si="6"/>
        <v>2.22040099009901</v>
      </c>
    </row>
    <row r="11" spans="1:33" ht="14.25" customHeight="1" x14ac:dyDescent="0.25">
      <c r="A11" s="294" t="s">
        <v>95</v>
      </c>
      <c r="B11" s="22" t="s">
        <v>94</v>
      </c>
      <c r="C11" s="123" t="s">
        <v>14</v>
      </c>
      <c r="D11" s="115">
        <v>5</v>
      </c>
      <c r="E11" s="115">
        <f t="shared" si="0"/>
        <v>31.495049504950494</v>
      </c>
      <c r="F11" s="126">
        <v>0.75</v>
      </c>
      <c r="G11" s="118">
        <f t="shared" si="1"/>
        <v>157.47524752475246</v>
      </c>
      <c r="H11" s="119">
        <f t="shared" si="2"/>
        <v>118.10643564356434</v>
      </c>
      <c r="I11" s="80">
        <f>VLOOKUP(B11,All_Ingredients!$A$1:$F$149,6,FALSE())</f>
        <v>1</v>
      </c>
      <c r="J11" s="120">
        <f>VLOOKUP(B11,All_Ingredients!$A$1:$J$149,10,FALSE())</f>
        <v>0.74</v>
      </c>
      <c r="K11" s="121">
        <f t="shared" si="5"/>
        <v>0.11810643564356434</v>
      </c>
      <c r="L11" s="121">
        <f t="shared" si="6"/>
        <v>8.7398762376237601E-2</v>
      </c>
    </row>
    <row r="12" spans="1:33" ht="14.25" customHeight="1" x14ac:dyDescent="0.25">
      <c r="A12" s="294" t="s">
        <v>95</v>
      </c>
      <c r="B12" s="22" t="s">
        <v>106</v>
      </c>
      <c r="C12" s="123" t="s">
        <v>14</v>
      </c>
      <c r="D12" s="115">
        <v>1</v>
      </c>
      <c r="E12" s="115">
        <f t="shared" si="0"/>
        <v>31.495049504950494</v>
      </c>
      <c r="F12" s="126">
        <v>0.75</v>
      </c>
      <c r="G12" s="118">
        <f t="shared" si="1"/>
        <v>31.495049504950494</v>
      </c>
      <c r="H12" s="119">
        <f t="shared" si="2"/>
        <v>23.621287128712872</v>
      </c>
      <c r="I12" s="80">
        <f>VLOOKUP(B12,All_Ingredients!$A$1:$F$149,6,FALSE())</f>
        <v>1</v>
      </c>
      <c r="J12" s="120">
        <f>VLOOKUP(B12,All_Ingredients!$A$1:$J$149,10,FALSE())</f>
        <v>15</v>
      </c>
      <c r="K12" s="121">
        <f t="shared" si="5"/>
        <v>2.3621287128712871E-2</v>
      </c>
      <c r="L12" s="121">
        <f t="shared" si="6"/>
        <v>0.35431930693069308</v>
      </c>
    </row>
    <row r="13" spans="1:33" ht="14.25" customHeight="1" x14ac:dyDescent="0.25">
      <c r="B13" s="348"/>
      <c r="C13" s="132"/>
      <c r="D13" s="253"/>
      <c r="E13" s="224"/>
      <c r="F13" s="135"/>
      <c r="G13" s="139"/>
      <c r="H13" s="137"/>
    </row>
    <row r="14" spans="1:33" ht="14.25" customHeight="1" x14ac:dyDescent="0.25">
      <c r="E14" s="99"/>
      <c r="F14" s="99"/>
    </row>
    <row r="15" spans="1:33" ht="14.25" customHeight="1" x14ac:dyDescent="0.25">
      <c r="E15" s="99"/>
      <c r="F15" s="99"/>
    </row>
    <row r="16" spans="1:33" ht="14.25" customHeight="1" x14ac:dyDescent="0.25">
      <c r="E16" s="99"/>
      <c r="F16" s="99"/>
      <c r="P16" s="477"/>
    </row>
    <row r="17" spans="2:29" ht="14.25" customHeight="1" x14ac:dyDescent="0.25">
      <c r="E17" s="99"/>
      <c r="F17" s="99"/>
    </row>
    <row r="18" spans="2:29" ht="14.25" customHeight="1" x14ac:dyDescent="0.25">
      <c r="E18" s="99"/>
      <c r="F18" s="99"/>
    </row>
    <row r="19" spans="2:29" ht="14.25" customHeight="1" x14ac:dyDescent="0.3">
      <c r="E19" s="99"/>
      <c r="F19" s="99"/>
      <c r="M19" s="1"/>
      <c r="N19"/>
      <c r="O19"/>
    </row>
    <row r="20" spans="2:29" ht="14.25" customHeight="1" x14ac:dyDescent="0.3">
      <c r="E20" s="99"/>
      <c r="F20" s="99"/>
      <c r="M20" s="178"/>
      <c r="N20" s="489"/>
      <c r="O20"/>
    </row>
    <row r="21" spans="2:29" ht="14.25" customHeight="1" x14ac:dyDescent="0.25">
      <c r="E21" s="99"/>
      <c r="F21" s="99"/>
    </row>
    <row r="22" spans="2:29" ht="14.25" customHeight="1" x14ac:dyDescent="0.25">
      <c r="E22" s="99"/>
      <c r="F22" s="99"/>
    </row>
    <row r="23" spans="2:29" ht="14.25" customHeight="1" x14ac:dyDescent="0.3">
      <c r="B23" s="11"/>
      <c r="C23" s="335"/>
      <c r="D23" s="336"/>
      <c r="E23" s="99"/>
      <c r="F23" s="99"/>
    </row>
    <row r="24" spans="2:29" ht="14.25" customHeight="1" x14ac:dyDescent="0.3">
      <c r="B24" s="11"/>
      <c r="C24" s="335"/>
      <c r="D24" s="336"/>
      <c r="E24" s="99"/>
      <c r="F24" s="99"/>
      <c r="Z24" s="1208"/>
    </row>
    <row r="25" spans="2:29" ht="14.25" customHeight="1" x14ac:dyDescent="0.3">
      <c r="B25" s="11"/>
      <c r="C25" s="335"/>
      <c r="D25" s="336"/>
      <c r="E25" s="99"/>
      <c r="F25" s="99"/>
      <c r="R25" s="1467" t="s">
        <v>349</v>
      </c>
      <c r="S25" s="1444"/>
      <c r="T25" s="1444"/>
      <c r="Z25" s="140" t="s">
        <v>14</v>
      </c>
      <c r="AA25" s="141">
        <v>1</v>
      </c>
      <c r="AB25" s="140" t="s">
        <v>253</v>
      </c>
      <c r="AC25" s="142">
        <f>(S34/S30)*AA25</f>
        <v>3.4525791164956546E-3</v>
      </c>
    </row>
    <row r="26" spans="2:29" ht="14.25" customHeight="1" x14ac:dyDescent="0.3">
      <c r="B26" s="11"/>
      <c r="C26" s="335"/>
      <c r="D26" s="336"/>
      <c r="E26" s="99"/>
      <c r="F26" s="99"/>
      <c r="R26" s="364" t="s">
        <v>342</v>
      </c>
      <c r="S26" s="364"/>
      <c r="T26" s="364"/>
    </row>
    <row r="27" spans="2:29" ht="14.25" customHeight="1" x14ac:dyDescent="0.3">
      <c r="B27" s="11"/>
      <c r="C27" s="335"/>
      <c r="D27" s="336"/>
      <c r="E27" s="99"/>
      <c r="F27" s="99"/>
      <c r="R27" s="144" t="s">
        <v>258</v>
      </c>
      <c r="S27" s="144" t="s">
        <v>343</v>
      </c>
      <c r="T27" s="144" t="s">
        <v>261</v>
      </c>
    </row>
    <row r="28" spans="2:29" ht="14.25" customHeight="1" x14ac:dyDescent="0.3">
      <c r="B28" s="11"/>
      <c r="C28" s="335"/>
      <c r="D28" s="336"/>
      <c r="E28" s="99"/>
      <c r="F28" s="99"/>
      <c r="R28" s="144" t="s">
        <v>267</v>
      </c>
      <c r="S28" s="785">
        <f>T28</f>
        <v>31810</v>
      </c>
      <c r="T28" s="784">
        <f>$Z$1</f>
        <v>31810</v>
      </c>
    </row>
    <row r="29" spans="2:29" ht="14.25" customHeight="1" x14ac:dyDescent="0.3">
      <c r="B29" s="11"/>
      <c r="C29" s="335"/>
      <c r="D29" s="336"/>
      <c r="E29" s="99"/>
      <c r="F29" s="99"/>
      <c r="R29" s="144" t="s">
        <v>269</v>
      </c>
      <c r="S29" s="784">
        <f>$AB$1</f>
        <v>0</v>
      </c>
      <c r="T29" s="293"/>
    </row>
    <row r="30" spans="2:29" ht="14.25" customHeight="1" x14ac:dyDescent="0.3">
      <c r="B30" s="11"/>
      <c r="C30" s="335"/>
      <c r="D30" s="336"/>
      <c r="E30" s="99"/>
      <c r="F30" s="99"/>
      <c r="R30" s="144" t="s">
        <v>261</v>
      </c>
      <c r="S30" s="338">
        <f>SUM(S28:S29)</f>
        <v>31810</v>
      </c>
      <c r="T30" s="338">
        <f>S30</f>
        <v>31810</v>
      </c>
    </row>
    <row r="31" spans="2:29" ht="14.25" customHeight="1" x14ac:dyDescent="0.3">
      <c r="B31" s="11"/>
      <c r="C31" s="335"/>
      <c r="D31" s="336"/>
      <c r="E31" s="99"/>
      <c r="F31" s="99"/>
    </row>
    <row r="32" spans="2:29" ht="14.25" customHeight="1" x14ac:dyDescent="0.25">
      <c r="B32" s="99"/>
      <c r="E32" s="99"/>
      <c r="F32" s="99"/>
    </row>
    <row r="33" spans="18:20" ht="13" thickBot="1" x14ac:dyDescent="0.3"/>
    <row r="34" spans="18:20" ht="14.5" thickBot="1" x14ac:dyDescent="0.35">
      <c r="R34" s="162" t="s">
        <v>253</v>
      </c>
      <c r="S34" s="1125">
        <f>SUM(L6:L12)</f>
        <v>109.82654169572677</v>
      </c>
      <c r="T34" s="1196">
        <f>S34</f>
        <v>109.82654169572677</v>
      </c>
    </row>
    <row r="41" spans="18:20" ht="14" customHeight="1" x14ac:dyDescent="0.25"/>
    <row r="42" spans="18:20" ht="14" customHeight="1" x14ac:dyDescent="0.25"/>
    <row r="50" spans="1:8" ht="14" x14ac:dyDescent="0.3">
      <c r="B50" s="225"/>
      <c r="C50" s="225" t="s">
        <v>237</v>
      </c>
      <c r="D50" s="225" t="s">
        <v>283</v>
      </c>
    </row>
    <row r="51" spans="1:8" ht="14" x14ac:dyDescent="0.3">
      <c r="B51" s="179" t="s">
        <v>287</v>
      </c>
      <c r="C51" s="180">
        <f>10/$K$1</f>
        <v>9.9009900990099009</v>
      </c>
      <c r="D51" s="181">
        <f>$C$1*10</f>
        <v>10000</v>
      </c>
    </row>
    <row r="52" spans="1:8" ht="14" x14ac:dyDescent="0.3">
      <c r="B52" s="230" t="s">
        <v>261</v>
      </c>
      <c r="C52" s="231">
        <f>G1</f>
        <v>31.81</v>
      </c>
      <c r="D52" s="232">
        <f>E1</f>
        <v>31810</v>
      </c>
    </row>
    <row r="53" spans="1:8" ht="14" x14ac:dyDescent="0.3">
      <c r="B53" s="230" t="s">
        <v>288</v>
      </c>
      <c r="C53" s="233">
        <f>MIN($C$52, $C$51)</f>
        <v>9.9009900990099009</v>
      </c>
      <c r="D53" s="232">
        <f t="shared" ref="D53:D59" si="7">(C53*$K$1)*$C$1</f>
        <v>10000</v>
      </c>
    </row>
    <row r="54" spans="1:8" ht="14" x14ac:dyDescent="0.3">
      <c r="B54" s="230" t="s">
        <v>289</v>
      </c>
      <c r="C54" s="233">
        <f>MIN($C$52-C53, $C$51)</f>
        <v>9.9009900990099009</v>
      </c>
      <c r="D54" s="232">
        <f t="shared" si="7"/>
        <v>10000</v>
      </c>
    </row>
    <row r="55" spans="1:8" ht="14" x14ac:dyDescent="0.3">
      <c r="B55" s="230" t="s">
        <v>290</v>
      </c>
      <c r="C55" s="233">
        <f>MIN($C$52-C53-C54, $C$51)</f>
        <v>9.9009900990099009</v>
      </c>
      <c r="D55" s="232">
        <f t="shared" si="7"/>
        <v>10000</v>
      </c>
    </row>
    <row r="56" spans="1:8" ht="14" x14ac:dyDescent="0.3">
      <c r="B56" s="230" t="s">
        <v>297</v>
      </c>
      <c r="C56" s="233">
        <f>MIN($C$52-C53-C54-C55, $C$51)</f>
        <v>2.1070297029702978</v>
      </c>
      <c r="D56" s="232">
        <f t="shared" si="7"/>
        <v>2128.1000000000008</v>
      </c>
    </row>
    <row r="57" spans="1:8" ht="14" x14ac:dyDescent="0.3">
      <c r="B57" s="230" t="s">
        <v>348</v>
      </c>
      <c r="C57" s="233">
        <f>MIN($C$52-C53-C54-C55-C56, $C$51)</f>
        <v>0</v>
      </c>
      <c r="D57" s="232">
        <f t="shared" si="7"/>
        <v>0</v>
      </c>
    </row>
    <row r="58" spans="1:8" ht="14" x14ac:dyDescent="0.3">
      <c r="B58" s="230" t="s">
        <v>461</v>
      </c>
      <c r="C58" s="233">
        <f>MIN($C$52-C53-C54-C55-C56-C57, $C$51)</f>
        <v>0</v>
      </c>
      <c r="D58" s="232">
        <f t="shared" si="7"/>
        <v>0</v>
      </c>
    </row>
    <row r="59" spans="1:8" ht="14" x14ac:dyDescent="0.3">
      <c r="B59" s="230" t="s">
        <v>462</v>
      </c>
      <c r="C59" s="233">
        <f>MIN($C$52-C53-C54-C55-C56-C57-C58, $C$51)</f>
        <v>0</v>
      </c>
      <c r="D59" s="232">
        <f t="shared" si="7"/>
        <v>0</v>
      </c>
    </row>
    <row r="62" spans="1:8" ht="17.75" customHeight="1" x14ac:dyDescent="0.3">
      <c r="A62" s="927"/>
      <c r="B62" s="1438" t="s">
        <v>612</v>
      </c>
      <c r="C62" s="1439"/>
      <c r="D62" s="1439"/>
      <c r="E62" s="1439"/>
      <c r="F62" s="1439"/>
      <c r="G62" s="1439"/>
      <c r="H62" s="1439"/>
    </row>
    <row r="63" spans="1:8" ht="14" customHeight="1" x14ac:dyDescent="0.3">
      <c r="A63" s="927"/>
      <c r="B63" s="1436" t="s">
        <v>347</v>
      </c>
      <c r="C63" s="1437"/>
      <c r="D63" s="1437"/>
      <c r="E63" s="1437"/>
      <c r="F63" s="1437"/>
      <c r="G63" s="1437"/>
      <c r="H63" s="1437"/>
    </row>
    <row r="64" spans="1:8" ht="36" customHeight="1" x14ac:dyDescent="0.25">
      <c r="A64" s="90"/>
      <c r="B64" s="242" t="s">
        <v>245</v>
      </c>
      <c r="C64" s="243" t="s">
        <v>246</v>
      </c>
      <c r="D64" s="244" t="s">
        <v>235</v>
      </c>
      <c r="E64" s="217" t="s">
        <v>238</v>
      </c>
      <c r="F64" s="217" t="s">
        <v>247</v>
      </c>
      <c r="G64" s="244" t="s">
        <v>248</v>
      </c>
      <c r="H64" s="217" t="s">
        <v>249</v>
      </c>
    </row>
    <row r="65" spans="1:8" ht="14" x14ac:dyDescent="0.25">
      <c r="A65" s="294" t="s">
        <v>13</v>
      </c>
      <c r="B65" s="322" t="str">
        <f t="shared" ref="B65:D71" si="8">B6</f>
        <v>Potato - بطاطس</v>
      </c>
      <c r="C65" s="123" t="str">
        <f t="shared" si="8"/>
        <v>gm</v>
      </c>
      <c r="D65" s="124">
        <f t="shared" si="8"/>
        <v>1175</v>
      </c>
      <c r="E65" s="115">
        <f>$C$52</f>
        <v>31.81</v>
      </c>
      <c r="F65" s="126">
        <f t="shared" ref="F65:F71" si="9">F6</f>
        <v>1</v>
      </c>
      <c r="G65" s="118">
        <f t="shared" ref="G65:G71" si="10">D65*E65</f>
        <v>37376.75</v>
      </c>
      <c r="H65" s="119">
        <f t="shared" ref="H65:H71" si="11">G65*F65</f>
        <v>37376.75</v>
      </c>
    </row>
    <row r="66" spans="1:8" ht="14.25" customHeight="1" x14ac:dyDescent="0.25">
      <c r="A66" s="294" t="s">
        <v>56</v>
      </c>
      <c r="B66" s="322" t="str">
        <f t="shared" si="8"/>
        <v>Ginger - زنجبيل</v>
      </c>
      <c r="C66" s="123" t="str">
        <f t="shared" si="8"/>
        <v>gm</v>
      </c>
      <c r="D66" s="124">
        <f t="shared" si="8"/>
        <v>10</v>
      </c>
      <c r="E66" s="115">
        <f t="shared" ref="E66:E71" si="12">$C$52</f>
        <v>31.81</v>
      </c>
      <c r="F66" s="126">
        <f t="shared" si="9"/>
        <v>1</v>
      </c>
      <c r="G66" s="118">
        <f t="shared" si="10"/>
        <v>318.09999999999997</v>
      </c>
      <c r="H66" s="119">
        <f t="shared" si="11"/>
        <v>318.09999999999997</v>
      </c>
    </row>
    <row r="67" spans="1:8" ht="14.25" customHeight="1" x14ac:dyDescent="0.25">
      <c r="A67" s="294" t="s">
        <v>62</v>
      </c>
      <c r="B67" s="322" t="str">
        <f t="shared" si="8"/>
        <v>Coriander Leaves - كزبرة خضراء</v>
      </c>
      <c r="C67" s="123" t="str">
        <f t="shared" si="8"/>
        <v>gm</v>
      </c>
      <c r="D67" s="124">
        <f t="shared" si="8"/>
        <v>5</v>
      </c>
      <c r="E67" s="115">
        <f t="shared" si="12"/>
        <v>31.81</v>
      </c>
      <c r="F67" s="126">
        <f t="shared" si="9"/>
        <v>1</v>
      </c>
      <c r="G67" s="118">
        <f t="shared" si="10"/>
        <v>159.04999999999998</v>
      </c>
      <c r="H67" s="119">
        <f t="shared" si="11"/>
        <v>159.04999999999998</v>
      </c>
    </row>
    <row r="68" spans="1:8" ht="14.25" customHeight="1" x14ac:dyDescent="0.25">
      <c r="A68" s="294" t="s">
        <v>154</v>
      </c>
      <c r="B68" s="322" t="str">
        <f t="shared" si="8"/>
        <v>Butter - زبدة</v>
      </c>
      <c r="C68" s="123" t="str">
        <f t="shared" si="8"/>
        <v>gm</v>
      </c>
      <c r="D68" s="124">
        <f t="shared" si="8"/>
        <v>10</v>
      </c>
      <c r="E68" s="115">
        <f t="shared" si="12"/>
        <v>31.81</v>
      </c>
      <c r="F68" s="126">
        <f t="shared" si="9"/>
        <v>1</v>
      </c>
      <c r="G68" s="118">
        <f t="shared" si="10"/>
        <v>318.09999999999997</v>
      </c>
      <c r="H68" s="119">
        <f t="shared" si="11"/>
        <v>318.09999999999997</v>
      </c>
    </row>
    <row r="69" spans="1:8" ht="14.25" customHeight="1" x14ac:dyDescent="0.25">
      <c r="A69" s="294" t="s">
        <v>95</v>
      </c>
      <c r="B69" s="322" t="str">
        <f t="shared" si="8"/>
        <v>White Pepper - فلفل أبيض</v>
      </c>
      <c r="C69" s="123" t="str">
        <f t="shared" si="8"/>
        <v>gm</v>
      </c>
      <c r="D69" s="124">
        <f t="shared" si="8"/>
        <v>2</v>
      </c>
      <c r="E69" s="115">
        <f t="shared" si="12"/>
        <v>31.81</v>
      </c>
      <c r="F69" s="126">
        <f t="shared" si="9"/>
        <v>0.75</v>
      </c>
      <c r="G69" s="118">
        <f t="shared" si="10"/>
        <v>63.62</v>
      </c>
      <c r="H69" s="119">
        <f t="shared" si="11"/>
        <v>47.714999999999996</v>
      </c>
    </row>
    <row r="70" spans="1:8" ht="14.25" customHeight="1" x14ac:dyDescent="0.25">
      <c r="A70" s="294" t="s">
        <v>95</v>
      </c>
      <c r="B70" s="322" t="str">
        <f t="shared" si="8"/>
        <v>Salt - ملح</v>
      </c>
      <c r="C70" s="123" t="str">
        <f t="shared" si="8"/>
        <v>gm</v>
      </c>
      <c r="D70" s="124">
        <f t="shared" si="8"/>
        <v>5</v>
      </c>
      <c r="E70" s="115">
        <f t="shared" si="12"/>
        <v>31.81</v>
      </c>
      <c r="F70" s="126">
        <f t="shared" si="9"/>
        <v>0.75</v>
      </c>
      <c r="G70" s="118">
        <f t="shared" si="10"/>
        <v>159.04999999999998</v>
      </c>
      <c r="H70" s="119">
        <f t="shared" si="11"/>
        <v>119.28749999999999</v>
      </c>
    </row>
    <row r="71" spans="1:8" ht="14.25" customHeight="1" x14ac:dyDescent="0.25">
      <c r="A71" s="294" t="s">
        <v>95</v>
      </c>
      <c r="B71" s="322" t="str">
        <f t="shared" si="8"/>
        <v>Cumin Powder - كمون مطحون</v>
      </c>
      <c r="C71" s="123" t="str">
        <f t="shared" si="8"/>
        <v>gm</v>
      </c>
      <c r="D71" s="124">
        <f t="shared" si="8"/>
        <v>1</v>
      </c>
      <c r="E71" s="115">
        <f t="shared" si="12"/>
        <v>31.81</v>
      </c>
      <c r="F71" s="126">
        <f t="shared" si="9"/>
        <v>0.75</v>
      </c>
      <c r="G71" s="118">
        <f t="shared" si="10"/>
        <v>31.81</v>
      </c>
      <c r="H71" s="119">
        <f t="shared" si="11"/>
        <v>23.857499999999998</v>
      </c>
    </row>
    <row r="72" spans="1:8" ht="12.75" customHeight="1" x14ac:dyDescent="0.25">
      <c r="B72" s="197" t="s">
        <v>742</v>
      </c>
      <c r="E72" s="99"/>
      <c r="F72" s="99"/>
    </row>
    <row r="73" spans="1:8" ht="19.25" customHeight="1" x14ac:dyDescent="0.4">
      <c r="B73" s="198">
        <f>D52</f>
        <v>31810</v>
      </c>
      <c r="C73" s="207"/>
      <c r="D73" s="4"/>
      <c r="E73" s="99"/>
      <c r="F73" s="182"/>
    </row>
    <row r="74" spans="1:8" ht="12.75" customHeight="1" x14ac:dyDescent="0.25">
      <c r="B74" s="99"/>
      <c r="E74" s="99"/>
      <c r="F74" s="99"/>
    </row>
    <row r="75" spans="1:8" ht="12.75" customHeight="1" x14ac:dyDescent="0.25">
      <c r="A75" s="869"/>
      <c r="B75" s="863"/>
      <c r="C75" s="863"/>
      <c r="D75" s="863"/>
      <c r="E75" s="863"/>
      <c r="F75" s="863"/>
      <c r="G75" s="863"/>
      <c r="H75" s="863"/>
    </row>
    <row r="76" spans="1:8" ht="17.75" customHeight="1" x14ac:dyDescent="0.3">
      <c r="A76" s="1226"/>
      <c r="B76" s="1475"/>
      <c r="C76" s="1476"/>
      <c r="D76" s="1476"/>
      <c r="E76" s="1476"/>
      <c r="F76" s="1476"/>
      <c r="G76" s="1476"/>
      <c r="H76" s="1476"/>
    </row>
    <row r="77" spans="1:8" ht="17.75" customHeight="1" x14ac:dyDescent="0.3">
      <c r="A77" s="1226"/>
      <c r="B77" s="1475"/>
      <c r="C77" s="1476"/>
      <c r="D77" s="1476"/>
      <c r="E77" s="1476"/>
      <c r="F77" s="1476"/>
      <c r="G77" s="1476"/>
      <c r="H77" s="1476"/>
    </row>
    <row r="78" spans="1:8" ht="13" x14ac:dyDescent="0.25">
      <c r="A78" s="1231"/>
      <c r="B78" s="1241"/>
      <c r="C78" s="1242"/>
      <c r="D78" s="1241"/>
      <c r="E78" s="1243"/>
      <c r="F78" s="1243"/>
      <c r="G78" s="1241"/>
      <c r="H78" s="1243"/>
    </row>
    <row r="79" spans="1:8" ht="14" x14ac:dyDescent="0.25">
      <c r="A79" s="869"/>
      <c r="B79" s="1244"/>
      <c r="C79" s="1244"/>
      <c r="D79" s="1244"/>
      <c r="E79" s="1245"/>
      <c r="F79" s="1246"/>
      <c r="G79" s="1247"/>
      <c r="H79" s="1248"/>
    </row>
    <row r="80" spans="1:8" ht="14.25" customHeight="1" x14ac:dyDescent="0.25">
      <c r="A80" s="869"/>
      <c r="B80" s="1244"/>
      <c r="C80" s="1244"/>
      <c r="D80" s="1244"/>
      <c r="E80" s="1245"/>
      <c r="F80" s="1246"/>
      <c r="G80" s="1247"/>
      <c r="H80" s="1248"/>
    </row>
    <row r="81" spans="1:8" ht="14.25" customHeight="1" x14ac:dyDescent="0.25">
      <c r="A81" s="869"/>
      <c r="B81" s="1244"/>
      <c r="C81" s="1244"/>
      <c r="D81" s="1244"/>
      <c r="E81" s="1245"/>
      <c r="F81" s="1246"/>
      <c r="G81" s="1247"/>
      <c r="H81" s="1248"/>
    </row>
    <row r="82" spans="1:8" ht="14.25" customHeight="1" x14ac:dyDescent="0.25">
      <c r="A82" s="869"/>
      <c r="B82" s="1244"/>
      <c r="C82" s="1244"/>
      <c r="D82" s="1244"/>
      <c r="E82" s="1245"/>
      <c r="F82" s="1246"/>
      <c r="G82" s="1247"/>
      <c r="H82" s="1248"/>
    </row>
    <row r="83" spans="1:8" ht="14.25" customHeight="1" x14ac:dyDescent="0.25">
      <c r="A83" s="869"/>
      <c r="B83" s="1244"/>
      <c r="C83" s="1244"/>
      <c r="D83" s="1244"/>
      <c r="E83" s="1245"/>
      <c r="F83" s="1246"/>
      <c r="G83" s="1247"/>
      <c r="H83" s="1248"/>
    </row>
    <row r="84" spans="1:8" ht="14.25" customHeight="1" x14ac:dyDescent="0.25">
      <c r="A84" s="869"/>
      <c r="B84" s="1244"/>
      <c r="C84" s="1244"/>
      <c r="D84" s="1244"/>
      <c r="E84" s="1245"/>
      <c r="F84" s="1246"/>
      <c r="G84" s="1247"/>
      <c r="H84" s="1248"/>
    </row>
    <row r="85" spans="1:8" ht="14.25" customHeight="1" x14ac:dyDescent="0.25">
      <c r="A85" s="869"/>
      <c r="B85" s="1244"/>
      <c r="C85" s="1244"/>
      <c r="D85" s="1244"/>
      <c r="E85" s="1245"/>
      <c r="F85" s="1246"/>
      <c r="G85" s="1247"/>
      <c r="H85" s="1248"/>
    </row>
    <row r="86" spans="1:8" ht="12.75" customHeight="1" x14ac:dyDescent="0.25">
      <c r="A86" s="869"/>
      <c r="B86" s="888"/>
      <c r="C86" s="869"/>
      <c r="D86" s="869"/>
      <c r="E86" s="863"/>
      <c r="F86" s="863"/>
      <c r="G86" s="869"/>
      <c r="H86" s="869"/>
    </row>
    <row r="87" spans="1:8" ht="19.5" customHeight="1" x14ac:dyDescent="0.4">
      <c r="A87" s="869"/>
      <c r="B87" s="889"/>
      <c r="C87" s="1255"/>
      <c r="D87" s="1252"/>
      <c r="E87" s="863"/>
      <c r="F87" s="1253"/>
      <c r="G87" s="869"/>
      <c r="H87" s="869"/>
    </row>
    <row r="88" spans="1:8" ht="12.75" customHeight="1" x14ac:dyDescent="0.25">
      <c r="A88" s="869"/>
      <c r="B88" s="863"/>
      <c r="C88" s="863"/>
      <c r="D88" s="863"/>
      <c r="E88" s="863"/>
      <c r="F88" s="863"/>
      <c r="G88" s="863"/>
      <c r="H88" s="863"/>
    </row>
    <row r="89" spans="1:8" ht="12.75" customHeight="1" x14ac:dyDescent="0.25">
      <c r="A89" s="869"/>
      <c r="B89" s="863"/>
      <c r="C89" s="863"/>
      <c r="D89" s="863"/>
      <c r="E89" s="863"/>
      <c r="F89" s="863"/>
      <c r="G89" s="863"/>
      <c r="H89" s="863"/>
    </row>
    <row r="90" spans="1:8" ht="17.75" customHeight="1" x14ac:dyDescent="0.3">
      <c r="A90" s="1226"/>
      <c r="B90" s="1475"/>
      <c r="C90" s="1476"/>
      <c r="D90" s="1476"/>
      <c r="E90" s="1476"/>
      <c r="F90" s="1476"/>
      <c r="G90" s="1476"/>
      <c r="H90" s="1476"/>
    </row>
    <row r="91" spans="1:8" ht="17.75" customHeight="1" x14ac:dyDescent="0.3">
      <c r="A91" s="1226"/>
      <c r="B91" s="1475"/>
      <c r="C91" s="1476"/>
      <c r="D91" s="1476"/>
      <c r="E91" s="1476"/>
      <c r="F91" s="1476"/>
      <c r="G91" s="1476"/>
      <c r="H91" s="1476"/>
    </row>
    <row r="92" spans="1:8" ht="25.5" customHeight="1" x14ac:dyDescent="0.25">
      <c r="A92" s="1231"/>
      <c r="B92" s="1241"/>
      <c r="C92" s="1242"/>
      <c r="D92" s="1241"/>
      <c r="E92" s="1243"/>
      <c r="F92" s="1243"/>
      <c r="G92" s="1241"/>
      <c r="H92" s="1243"/>
    </row>
    <row r="93" spans="1:8" ht="14" x14ac:dyDescent="0.25">
      <c r="A93" s="869"/>
      <c r="B93" s="1244"/>
      <c r="C93" s="1244"/>
      <c r="D93" s="1244"/>
      <c r="E93" s="1245"/>
      <c r="F93" s="1246"/>
      <c r="G93" s="1247"/>
      <c r="H93" s="1248"/>
    </row>
    <row r="94" spans="1:8" ht="14.25" customHeight="1" x14ac:dyDescent="0.25">
      <c r="A94" s="869"/>
      <c r="B94" s="1244"/>
      <c r="C94" s="1244"/>
      <c r="D94" s="1244"/>
      <c r="E94" s="1245"/>
      <c r="F94" s="1246"/>
      <c r="G94" s="1247"/>
      <c r="H94" s="1248"/>
    </row>
    <row r="95" spans="1:8" ht="14.25" customHeight="1" x14ac:dyDescent="0.25">
      <c r="A95" s="869"/>
      <c r="B95" s="1244"/>
      <c r="C95" s="1244"/>
      <c r="D95" s="1244"/>
      <c r="E95" s="1245"/>
      <c r="F95" s="1246"/>
      <c r="G95" s="1247"/>
      <c r="H95" s="1248"/>
    </row>
    <row r="96" spans="1:8" ht="14.25" customHeight="1" x14ac:dyDescent="0.25">
      <c r="A96" s="869"/>
      <c r="B96" s="1244"/>
      <c r="C96" s="1244"/>
      <c r="D96" s="1244"/>
      <c r="E96" s="1245"/>
      <c r="F96" s="1246"/>
      <c r="G96" s="1247"/>
      <c r="H96" s="1248"/>
    </row>
    <row r="97" spans="1:8" ht="14.25" customHeight="1" x14ac:dyDescent="0.25">
      <c r="A97" s="869"/>
      <c r="B97" s="1244"/>
      <c r="C97" s="1244"/>
      <c r="D97" s="1244"/>
      <c r="E97" s="1245"/>
      <c r="F97" s="1246"/>
      <c r="G97" s="1247"/>
      <c r="H97" s="1248"/>
    </row>
    <row r="98" spans="1:8" ht="14.25" customHeight="1" x14ac:dyDescent="0.25">
      <c r="A98" s="869"/>
      <c r="B98" s="1244"/>
      <c r="C98" s="1244"/>
      <c r="D98" s="1244"/>
      <c r="E98" s="1245"/>
      <c r="F98" s="1246"/>
      <c r="G98" s="1247"/>
      <c r="H98" s="1248"/>
    </row>
    <row r="99" spans="1:8" ht="14.25" customHeight="1" x14ac:dyDescent="0.25">
      <c r="A99" s="869"/>
      <c r="B99" s="1244"/>
      <c r="C99" s="1244"/>
      <c r="D99" s="1244"/>
      <c r="E99" s="1245"/>
      <c r="F99" s="1246"/>
      <c r="G99" s="1247"/>
      <c r="H99" s="1248"/>
    </row>
    <row r="100" spans="1:8" ht="12.75" customHeight="1" x14ac:dyDescent="0.25">
      <c r="A100" s="869"/>
      <c r="B100" s="888"/>
      <c r="C100" s="869"/>
      <c r="D100" s="869"/>
      <c r="E100" s="863"/>
      <c r="F100" s="863"/>
      <c r="G100" s="869"/>
      <c r="H100" s="869"/>
    </row>
    <row r="101" spans="1:8" ht="17.75" customHeight="1" x14ac:dyDescent="0.4">
      <c r="A101" s="869"/>
      <c r="B101" s="889"/>
      <c r="C101" s="869"/>
      <c r="D101" s="869"/>
      <c r="E101" s="863"/>
      <c r="F101" s="863"/>
      <c r="G101" s="869"/>
      <c r="H101" s="869"/>
    </row>
    <row r="102" spans="1:8" ht="14.25" customHeight="1" x14ac:dyDescent="0.3">
      <c r="A102" s="869"/>
      <c r="B102" s="863"/>
      <c r="C102" s="893"/>
      <c r="D102" s="1252"/>
      <c r="E102" s="863"/>
      <c r="F102" s="1253"/>
      <c r="G102" s="869"/>
      <c r="H102" s="869"/>
    </row>
    <row r="103" spans="1:8" x14ac:dyDescent="0.25">
      <c r="A103" s="869"/>
      <c r="B103" s="869"/>
      <c r="C103" s="869"/>
      <c r="D103" s="869"/>
      <c r="E103" s="869"/>
      <c r="F103" s="869"/>
      <c r="G103" s="869"/>
      <c r="H103" s="869"/>
    </row>
    <row r="104" spans="1:8" ht="17.75" customHeight="1" x14ac:dyDescent="0.3">
      <c r="A104" s="1226"/>
      <c r="B104" s="1475"/>
      <c r="C104" s="1476"/>
      <c r="D104" s="1476"/>
      <c r="E104" s="1476"/>
      <c r="F104" s="1476"/>
      <c r="G104" s="1476"/>
      <c r="H104" s="1476"/>
    </row>
    <row r="105" spans="1:8" ht="17.75" customHeight="1" x14ac:dyDescent="0.3">
      <c r="A105" s="1226"/>
      <c r="B105" s="1475"/>
      <c r="C105" s="1476"/>
      <c r="D105" s="1476"/>
      <c r="E105" s="1476"/>
      <c r="F105" s="1476"/>
      <c r="G105" s="1476"/>
      <c r="H105" s="1476"/>
    </row>
    <row r="106" spans="1:8" ht="13" x14ac:dyDescent="0.25">
      <c r="A106" s="1231"/>
      <c r="B106" s="1241"/>
      <c r="C106" s="1242"/>
      <c r="D106" s="1241"/>
      <c r="E106" s="1243"/>
      <c r="F106" s="1243"/>
      <c r="G106" s="1241"/>
      <c r="H106" s="1243"/>
    </row>
    <row r="107" spans="1:8" ht="14" x14ac:dyDescent="0.25">
      <c r="A107" s="869"/>
      <c r="B107" s="1244"/>
      <c r="C107" s="1244"/>
      <c r="D107" s="1244"/>
      <c r="E107" s="1245"/>
      <c r="F107" s="1246"/>
      <c r="G107" s="1247"/>
      <c r="H107" s="1248"/>
    </row>
    <row r="108" spans="1:8" ht="14.25" customHeight="1" x14ac:dyDescent="0.25">
      <c r="A108" s="869"/>
      <c r="B108" s="1244"/>
      <c r="C108" s="1244"/>
      <c r="D108" s="1244"/>
      <c r="E108" s="1245"/>
      <c r="F108" s="1246"/>
      <c r="G108" s="1247"/>
      <c r="H108" s="1248"/>
    </row>
    <row r="109" spans="1:8" ht="14.25" customHeight="1" x14ac:dyDescent="0.25">
      <c r="A109" s="869"/>
      <c r="B109" s="1244"/>
      <c r="C109" s="1244"/>
      <c r="D109" s="1244"/>
      <c r="E109" s="1245"/>
      <c r="F109" s="1246"/>
      <c r="G109" s="1247"/>
      <c r="H109" s="1248"/>
    </row>
    <row r="110" spans="1:8" ht="14.25" customHeight="1" x14ac:dyDescent="0.25">
      <c r="A110" s="869"/>
      <c r="B110" s="1244"/>
      <c r="C110" s="1244"/>
      <c r="D110" s="1244"/>
      <c r="E110" s="1245"/>
      <c r="F110" s="1246"/>
      <c r="G110" s="1247"/>
      <c r="H110" s="1248"/>
    </row>
    <row r="111" spans="1:8" ht="14.25" customHeight="1" x14ac:dyDescent="0.25">
      <c r="A111" s="869"/>
      <c r="B111" s="1244"/>
      <c r="C111" s="1244"/>
      <c r="D111" s="1244"/>
      <c r="E111" s="1245"/>
      <c r="F111" s="1246"/>
      <c r="G111" s="1247"/>
      <c r="H111" s="1248"/>
    </row>
    <row r="112" spans="1:8" ht="14.25" customHeight="1" x14ac:dyDescent="0.25">
      <c r="A112" s="869"/>
      <c r="B112" s="1244"/>
      <c r="C112" s="1244"/>
      <c r="D112" s="1244"/>
      <c r="E112" s="1245"/>
      <c r="F112" s="1246"/>
      <c r="G112" s="1247"/>
      <c r="H112" s="1248"/>
    </row>
    <row r="113" spans="1:8" ht="14.25" customHeight="1" x14ac:dyDescent="0.25">
      <c r="A113" s="869"/>
      <c r="B113" s="1244"/>
      <c r="C113" s="1244"/>
      <c r="D113" s="1244"/>
      <c r="E113" s="1245"/>
      <c r="F113" s="1246"/>
      <c r="G113" s="1247"/>
      <c r="H113" s="1248"/>
    </row>
    <row r="114" spans="1:8" ht="12.75" customHeight="1" x14ac:dyDescent="0.25">
      <c r="A114" s="869"/>
      <c r="B114" s="888"/>
      <c r="C114" s="869"/>
      <c r="D114" s="869"/>
      <c r="E114" s="863"/>
      <c r="F114" s="863"/>
      <c r="G114" s="869"/>
      <c r="H114" s="869"/>
    </row>
    <row r="115" spans="1:8" ht="21" customHeight="1" x14ac:dyDescent="0.4">
      <c r="A115" s="869"/>
      <c r="B115" s="889"/>
      <c r="C115" s="869"/>
      <c r="D115" s="869"/>
      <c r="E115" s="863"/>
      <c r="F115" s="863"/>
      <c r="G115" s="869"/>
      <c r="H115" s="869"/>
    </row>
    <row r="116" spans="1:8" ht="14.25" customHeight="1" x14ac:dyDescent="0.3">
      <c r="A116" s="869"/>
      <c r="B116" s="863"/>
      <c r="C116" s="893"/>
      <c r="D116" s="1252"/>
      <c r="E116" s="863"/>
      <c r="F116" s="1253"/>
      <c r="G116" s="869"/>
      <c r="H116" s="869"/>
    </row>
    <row r="117" spans="1:8" ht="17.75" customHeight="1" x14ac:dyDescent="0.3">
      <c r="A117" s="1226"/>
      <c r="B117" s="1475"/>
      <c r="C117" s="1476"/>
      <c r="D117" s="1476"/>
      <c r="E117" s="1476"/>
      <c r="F117" s="1476"/>
      <c r="G117" s="1476"/>
      <c r="H117" s="1476"/>
    </row>
    <row r="118" spans="1:8" ht="17.75" customHeight="1" x14ac:dyDescent="0.3">
      <c r="A118" s="1226"/>
      <c r="B118" s="1475"/>
      <c r="C118" s="1476"/>
      <c r="D118" s="1476"/>
      <c r="E118" s="1476"/>
      <c r="F118" s="1476"/>
      <c r="G118" s="1476"/>
      <c r="H118" s="1476"/>
    </row>
    <row r="119" spans="1:8" ht="13" x14ac:dyDescent="0.25">
      <c r="A119" s="1231"/>
      <c r="B119" s="1241"/>
      <c r="C119" s="1242"/>
      <c r="D119" s="1241"/>
      <c r="E119" s="1243"/>
      <c r="F119" s="1243"/>
      <c r="G119" s="1241"/>
      <c r="H119" s="1243"/>
    </row>
    <row r="120" spans="1:8" ht="14" x14ac:dyDescent="0.25">
      <c r="A120" s="869"/>
      <c r="B120" s="1244"/>
      <c r="C120" s="1244"/>
      <c r="D120" s="1244"/>
      <c r="E120" s="1245"/>
      <c r="F120" s="1246"/>
      <c r="G120" s="1247"/>
      <c r="H120" s="1248"/>
    </row>
    <row r="121" spans="1:8" ht="14.25" customHeight="1" x14ac:dyDescent="0.25">
      <c r="A121" s="869"/>
      <c r="B121" s="1244"/>
      <c r="C121" s="1244"/>
      <c r="D121" s="1244"/>
      <c r="E121" s="1245"/>
      <c r="F121" s="1246"/>
      <c r="G121" s="1247"/>
      <c r="H121" s="1248"/>
    </row>
    <row r="122" spans="1:8" ht="14.25" customHeight="1" x14ac:dyDescent="0.25">
      <c r="A122" s="869"/>
      <c r="B122" s="1244"/>
      <c r="C122" s="1244"/>
      <c r="D122" s="1244"/>
      <c r="E122" s="1245"/>
      <c r="F122" s="1246"/>
      <c r="G122" s="1247"/>
      <c r="H122" s="1248"/>
    </row>
    <row r="123" spans="1:8" ht="14.25" customHeight="1" x14ac:dyDescent="0.25">
      <c r="A123" s="869"/>
      <c r="B123" s="1244"/>
      <c r="C123" s="1244"/>
      <c r="D123" s="1244"/>
      <c r="E123" s="1245"/>
      <c r="F123" s="1246"/>
      <c r="G123" s="1247"/>
      <c r="H123" s="1248"/>
    </row>
    <row r="124" spans="1:8" ht="14.25" customHeight="1" x14ac:dyDescent="0.25">
      <c r="A124" s="869"/>
      <c r="B124" s="1244"/>
      <c r="C124" s="1244"/>
      <c r="D124" s="1244"/>
      <c r="E124" s="1245"/>
      <c r="F124" s="1246"/>
      <c r="G124" s="1247"/>
      <c r="H124" s="1248"/>
    </row>
    <row r="125" spans="1:8" ht="14.25" customHeight="1" x14ac:dyDescent="0.25">
      <c r="A125" s="869"/>
      <c r="B125" s="1244"/>
      <c r="C125" s="1244"/>
      <c r="D125" s="1244"/>
      <c r="E125" s="1245"/>
      <c r="F125" s="1246"/>
      <c r="G125" s="1247"/>
      <c r="H125" s="1248"/>
    </row>
    <row r="126" spans="1:8" ht="14.25" customHeight="1" x14ac:dyDescent="0.25">
      <c r="A126" s="869"/>
      <c r="B126" s="1244"/>
      <c r="C126" s="1244"/>
      <c r="D126" s="1244"/>
      <c r="E126" s="1245"/>
      <c r="F126" s="1246"/>
      <c r="G126" s="1247"/>
      <c r="H126" s="1248"/>
    </row>
    <row r="127" spans="1:8" ht="15.5" x14ac:dyDescent="0.25">
      <c r="A127" s="869"/>
      <c r="B127" s="888"/>
      <c r="C127" s="869"/>
      <c r="D127" s="869"/>
      <c r="E127" s="869"/>
      <c r="F127" s="869"/>
      <c r="G127" s="869"/>
      <c r="H127" s="869"/>
    </row>
    <row r="128" spans="1:8" ht="29.75" customHeight="1" x14ac:dyDescent="0.4">
      <c r="A128" s="869"/>
      <c r="B128" s="889"/>
      <c r="C128" s="869"/>
      <c r="D128" s="869"/>
      <c r="E128" s="869"/>
      <c r="F128" s="869"/>
      <c r="G128" s="869"/>
      <c r="H128" s="869"/>
    </row>
    <row r="129" spans="1:8" ht="29.75" customHeight="1" x14ac:dyDescent="0.25">
      <c r="A129" s="869"/>
      <c r="B129" s="869"/>
      <c r="C129" s="869"/>
      <c r="D129" s="869"/>
      <c r="E129" s="869"/>
      <c r="F129" s="869"/>
      <c r="G129" s="869"/>
      <c r="H129" s="869"/>
    </row>
    <row r="130" spans="1:8" ht="18" x14ac:dyDescent="0.3">
      <c r="A130" s="1226"/>
      <c r="B130" s="1475"/>
      <c r="C130" s="1476"/>
      <c r="D130" s="1476"/>
      <c r="E130" s="1476"/>
      <c r="F130" s="1476"/>
      <c r="G130" s="1476"/>
      <c r="H130" s="1476"/>
    </row>
    <row r="131" spans="1:8" ht="18" x14ac:dyDescent="0.3">
      <c r="A131" s="1226"/>
      <c r="B131" s="1475"/>
      <c r="C131" s="1476"/>
      <c r="D131" s="1476"/>
      <c r="E131" s="1476"/>
      <c r="F131" s="1476"/>
      <c r="G131" s="1476"/>
      <c r="H131" s="1476"/>
    </row>
    <row r="132" spans="1:8" ht="13" x14ac:dyDescent="0.25">
      <c r="A132" s="1231"/>
      <c r="B132" s="1241"/>
      <c r="C132" s="1242"/>
      <c r="D132" s="1241"/>
      <c r="E132" s="1243"/>
      <c r="F132" s="1243"/>
      <c r="G132" s="1241"/>
      <c r="H132" s="1243"/>
    </row>
    <row r="133" spans="1:8" ht="14" x14ac:dyDescent="0.25">
      <c r="A133" s="869"/>
      <c r="B133" s="1244"/>
      <c r="C133" s="1244"/>
      <c r="D133" s="1244"/>
      <c r="E133" s="1245"/>
      <c r="F133" s="1246"/>
      <c r="G133" s="1247"/>
      <c r="H133" s="1248"/>
    </row>
    <row r="134" spans="1:8" ht="14" x14ac:dyDescent="0.25">
      <c r="A134" s="869"/>
      <c r="B134" s="1244"/>
      <c r="C134" s="1244"/>
      <c r="D134" s="1244"/>
      <c r="E134" s="1245"/>
      <c r="F134" s="1246"/>
      <c r="G134" s="1247"/>
      <c r="H134" s="1248"/>
    </row>
    <row r="135" spans="1:8" ht="14" x14ac:dyDescent="0.25">
      <c r="A135" s="869"/>
      <c r="B135" s="1244"/>
      <c r="C135" s="1244"/>
      <c r="D135" s="1244"/>
      <c r="E135" s="1245"/>
      <c r="F135" s="1246"/>
      <c r="G135" s="1247"/>
      <c r="H135" s="1248"/>
    </row>
    <row r="136" spans="1:8" ht="14" x14ac:dyDescent="0.25">
      <c r="A136" s="869"/>
      <c r="B136" s="1244"/>
      <c r="C136" s="1244"/>
      <c r="D136" s="1244"/>
      <c r="E136" s="1245"/>
      <c r="F136" s="1246"/>
      <c r="G136" s="1247"/>
      <c r="H136" s="1248"/>
    </row>
    <row r="137" spans="1:8" ht="14" x14ac:dyDescent="0.25">
      <c r="A137" s="869"/>
      <c r="B137" s="1244"/>
      <c r="C137" s="1244"/>
      <c r="D137" s="1244"/>
      <c r="E137" s="1245"/>
      <c r="F137" s="1246"/>
      <c r="G137" s="1247"/>
      <c r="H137" s="1248"/>
    </row>
    <row r="138" spans="1:8" ht="14" x14ac:dyDescent="0.25">
      <c r="A138" s="869"/>
      <c r="B138" s="1244"/>
      <c r="C138" s="1244"/>
      <c r="D138" s="1244"/>
      <c r="E138" s="1245"/>
      <c r="F138" s="1246"/>
      <c r="G138" s="1247"/>
      <c r="H138" s="1248"/>
    </row>
    <row r="139" spans="1:8" ht="14" x14ac:dyDescent="0.25">
      <c r="A139" s="869"/>
      <c r="B139" s="1244"/>
      <c r="C139" s="1244"/>
      <c r="D139" s="1244"/>
      <c r="E139" s="1245"/>
      <c r="F139" s="1246"/>
      <c r="G139" s="1247"/>
      <c r="H139" s="1248"/>
    </row>
    <row r="140" spans="1:8" ht="15.5" x14ac:dyDescent="0.25">
      <c r="A140" s="869"/>
      <c r="B140" s="888"/>
      <c r="C140" s="869"/>
      <c r="D140" s="869"/>
      <c r="E140" s="869"/>
      <c r="F140" s="869"/>
      <c r="G140" s="869"/>
      <c r="H140" s="869"/>
    </row>
    <row r="141" spans="1:8" ht="20" x14ac:dyDescent="0.4">
      <c r="A141" s="869"/>
      <c r="B141" s="889"/>
      <c r="C141" s="869"/>
      <c r="D141" s="869"/>
      <c r="E141" s="869"/>
      <c r="F141" s="869"/>
      <c r="G141" s="869"/>
      <c r="H141" s="869"/>
    </row>
    <row r="142" spans="1:8" x14ac:dyDescent="0.25">
      <c r="A142" s="869"/>
      <c r="B142" s="869"/>
      <c r="C142" s="869"/>
      <c r="D142" s="869"/>
      <c r="E142" s="869"/>
      <c r="F142" s="869"/>
      <c r="G142" s="869"/>
      <c r="H142" s="869"/>
    </row>
    <row r="143" spans="1:8" ht="18" x14ac:dyDescent="0.3">
      <c r="A143" s="1226"/>
      <c r="B143" s="1475"/>
      <c r="C143" s="1476"/>
      <c r="D143" s="1476"/>
      <c r="E143" s="1476"/>
      <c r="F143" s="1476"/>
      <c r="G143" s="1476"/>
      <c r="H143" s="1476"/>
    </row>
    <row r="144" spans="1:8" ht="18" x14ac:dyDescent="0.3">
      <c r="A144" s="1226"/>
      <c r="B144" s="1475"/>
      <c r="C144" s="1476"/>
      <c r="D144" s="1476"/>
      <c r="E144" s="1476"/>
      <c r="F144" s="1476"/>
      <c r="G144" s="1476"/>
      <c r="H144" s="1476"/>
    </row>
    <row r="145" spans="1:8" ht="13" x14ac:dyDescent="0.25">
      <c r="A145" s="1231"/>
      <c r="B145" s="1241"/>
      <c r="C145" s="1242"/>
      <c r="D145" s="1241"/>
      <c r="E145" s="1243"/>
      <c r="F145" s="1243"/>
      <c r="G145" s="1241"/>
      <c r="H145" s="1243"/>
    </row>
    <row r="146" spans="1:8" ht="14" x14ac:dyDescent="0.25">
      <c r="A146" s="869"/>
      <c r="B146" s="1244"/>
      <c r="C146" s="1244"/>
      <c r="D146" s="1244"/>
      <c r="E146" s="1245"/>
      <c r="F146" s="1246"/>
      <c r="G146" s="1247"/>
      <c r="H146" s="1248"/>
    </row>
    <row r="147" spans="1:8" ht="14" x14ac:dyDescent="0.25">
      <c r="A147" s="869"/>
      <c r="B147" s="1244"/>
      <c r="C147" s="1244"/>
      <c r="D147" s="1244"/>
      <c r="E147" s="1245"/>
      <c r="F147" s="1246"/>
      <c r="G147" s="1247"/>
      <c r="H147" s="1248"/>
    </row>
    <row r="148" spans="1:8" ht="14" x14ac:dyDescent="0.25">
      <c r="A148" s="869"/>
      <c r="B148" s="1244"/>
      <c r="C148" s="1244"/>
      <c r="D148" s="1244"/>
      <c r="E148" s="1245"/>
      <c r="F148" s="1246"/>
      <c r="G148" s="1247"/>
      <c r="H148" s="1248"/>
    </row>
    <row r="149" spans="1:8" ht="14" x14ac:dyDescent="0.25">
      <c r="A149" s="869"/>
      <c r="B149" s="1244"/>
      <c r="C149" s="1244"/>
      <c r="D149" s="1244"/>
      <c r="E149" s="1245"/>
      <c r="F149" s="1246"/>
      <c r="G149" s="1247"/>
      <c r="H149" s="1248"/>
    </row>
    <row r="150" spans="1:8" ht="14" x14ac:dyDescent="0.25">
      <c r="A150" s="869"/>
      <c r="B150" s="1244"/>
      <c r="C150" s="1244"/>
      <c r="D150" s="1244"/>
      <c r="E150" s="1245"/>
      <c r="F150" s="1246"/>
      <c r="G150" s="1247"/>
      <c r="H150" s="1248"/>
    </row>
    <row r="151" spans="1:8" ht="14" x14ac:dyDescent="0.25">
      <c r="A151" s="869"/>
      <c r="B151" s="1244"/>
      <c r="C151" s="1244"/>
      <c r="D151" s="1244"/>
      <c r="E151" s="1245"/>
      <c r="F151" s="1246"/>
      <c r="G151" s="1247"/>
      <c r="H151" s="1248"/>
    </row>
    <row r="152" spans="1:8" ht="14" x14ac:dyDescent="0.25">
      <c r="A152" s="869"/>
      <c r="B152" s="1244"/>
      <c r="C152" s="1244"/>
      <c r="D152" s="1244"/>
      <c r="E152" s="1245"/>
      <c r="F152" s="1246"/>
      <c r="G152" s="1247"/>
      <c r="H152" s="1248"/>
    </row>
    <row r="153" spans="1:8" ht="15.5" x14ac:dyDescent="0.25">
      <c r="A153" s="869"/>
      <c r="B153" s="888"/>
      <c r="C153" s="869"/>
      <c r="D153" s="869"/>
      <c r="E153" s="869"/>
      <c r="F153" s="869"/>
      <c r="G153" s="869"/>
      <c r="H153" s="869"/>
    </row>
    <row r="154" spans="1:8" ht="20" x14ac:dyDescent="0.4">
      <c r="A154" s="869"/>
      <c r="B154" s="889"/>
      <c r="C154" s="869"/>
      <c r="D154" s="869"/>
      <c r="E154" s="869"/>
      <c r="F154" s="869"/>
      <c r="G154" s="869"/>
      <c r="H154" s="869"/>
    </row>
    <row r="155" spans="1:8" x14ac:dyDescent="0.25">
      <c r="A155" s="869"/>
      <c r="B155" s="869"/>
      <c r="C155" s="869"/>
      <c r="D155" s="869"/>
      <c r="E155" s="869"/>
      <c r="F155" s="869"/>
      <c r="G155" s="869"/>
      <c r="H155" s="869"/>
    </row>
    <row r="156" spans="1:8" x14ac:dyDescent="0.25">
      <c r="A156" s="869"/>
      <c r="B156" s="869"/>
      <c r="C156" s="869"/>
      <c r="D156" s="869"/>
      <c r="E156" s="869"/>
      <c r="F156" s="869"/>
      <c r="G156" s="869"/>
      <c r="H156" s="869"/>
    </row>
  </sheetData>
  <mergeCells count="16">
    <mergeCell ref="B130:H130"/>
    <mergeCell ref="B131:H131"/>
    <mergeCell ref="B143:H143"/>
    <mergeCell ref="B144:H144"/>
    <mergeCell ref="AE2:AG3"/>
    <mergeCell ref="B118:H118"/>
    <mergeCell ref="B90:H90"/>
    <mergeCell ref="B105:H105"/>
    <mergeCell ref="B77:H77"/>
    <mergeCell ref="B91:H91"/>
    <mergeCell ref="B62:H62"/>
    <mergeCell ref="B117:H117"/>
    <mergeCell ref="B104:H104"/>
    <mergeCell ref="R25:T25"/>
    <mergeCell ref="B76:H76"/>
    <mergeCell ref="B63:H63"/>
  </mergeCells>
  <phoneticPr fontId="67" type="noConversion"/>
  <printOptions horizontalCentered="1"/>
  <pageMargins left="0.5" right="0.5" top="1" bottom="0.5" header="0.3" footer="0.511811023622047"/>
  <pageSetup paperSize="9" scale="33"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rgb="FFFFFF00"/>
    <pageSetUpPr fitToPage="1"/>
  </sheetPr>
  <dimension ref="A1:AG131"/>
  <sheetViews>
    <sheetView zoomScale="85" zoomScaleNormal="85" workbookViewId="0">
      <selection activeCell="R52" sqref="Q52:R53"/>
    </sheetView>
  </sheetViews>
  <sheetFormatPr defaultColWidth="12.5" defaultRowHeight="12.5" x14ac:dyDescent="0.25"/>
  <cols>
    <col min="1" max="1" width="12.5" style="14" customWidth="1"/>
    <col min="2" max="2" width="31.414062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5" width="4.4140625" style="14" customWidth="1"/>
    <col min="16" max="16" width="4" style="14" customWidth="1"/>
    <col min="17" max="17" width="4.4140625" style="14" customWidth="1"/>
    <col min="18" max="18" width="12.5" style="14" customWidth="1"/>
    <col min="19" max="27" width="12.5" style="14"/>
    <col min="28" max="28" width="6.75" style="14" customWidth="1"/>
    <col min="29" max="16384" width="12.5" style="14"/>
  </cols>
  <sheetData>
    <row r="1" spans="1:33" ht="28.5" customHeight="1" x14ac:dyDescent="0.25">
      <c r="B1" s="79" t="s">
        <v>235</v>
      </c>
      <c r="C1" s="80">
        <v>1000</v>
      </c>
      <c r="D1" s="81" t="s">
        <v>236</v>
      </c>
      <c r="E1" s="116">
        <f>S30</f>
        <v>25230</v>
      </c>
      <c r="F1" s="79" t="s">
        <v>237</v>
      </c>
      <c r="G1" s="116">
        <f>E1/C1</f>
        <v>25.23</v>
      </c>
      <c r="H1" s="79" t="s">
        <v>238</v>
      </c>
      <c r="I1" s="116">
        <f>G1/K1</f>
        <v>24.980198019801982</v>
      </c>
      <c r="J1" s="325" t="s">
        <v>239</v>
      </c>
      <c r="K1" s="326">
        <v>1.01</v>
      </c>
      <c r="L1" s="99"/>
      <c r="M1" s="99"/>
      <c r="N1" s="99"/>
      <c r="O1" s="99"/>
      <c r="P1" s="99"/>
      <c r="Q1" s="99"/>
      <c r="R1" s="99"/>
      <c r="S1" s="99"/>
      <c r="T1" s="99"/>
      <c r="U1" s="99"/>
      <c r="V1" s="99"/>
      <c r="Y1" s="90" t="s">
        <v>463</v>
      </c>
      <c r="Z1" s="835">
        <v>25230</v>
      </c>
      <c r="AA1" s="90" t="s">
        <v>578</v>
      </c>
      <c r="AB1" s="835">
        <v>0</v>
      </c>
      <c r="AC1" s="90" t="s">
        <v>567</v>
      </c>
      <c r="AD1" s="835">
        <v>172</v>
      </c>
    </row>
    <row r="2" spans="1:33" ht="12.75" customHeight="1" x14ac:dyDescent="0.25">
      <c r="A2" s="329"/>
      <c r="B2" s="1443" t="s">
        <v>87</v>
      </c>
      <c r="C2" s="1466"/>
      <c r="D2" s="1466"/>
      <c r="E2" s="1466"/>
      <c r="F2" s="1466"/>
      <c r="G2" s="1466"/>
      <c r="H2" s="1466"/>
      <c r="I2" s="99"/>
      <c r="J2" s="99"/>
      <c r="K2" s="99"/>
      <c r="L2" s="99"/>
      <c r="M2" s="99"/>
      <c r="N2" s="99"/>
      <c r="O2" s="99"/>
      <c r="P2" s="99"/>
      <c r="Q2" s="99"/>
      <c r="R2" s="99"/>
      <c r="S2" s="99"/>
      <c r="T2" s="99"/>
      <c r="U2" s="99"/>
      <c r="AE2" s="1452"/>
      <c r="AF2" s="1460"/>
      <c r="AG2" s="1460"/>
    </row>
    <row r="3" spans="1:33" ht="12.75" customHeight="1" x14ac:dyDescent="0.25">
      <c r="A3" s="329"/>
      <c r="B3" s="1444"/>
      <c r="C3" s="1444"/>
      <c r="D3" s="1444"/>
      <c r="E3" s="1444"/>
      <c r="F3" s="1444"/>
      <c r="G3" s="1444"/>
      <c r="H3" s="1444"/>
      <c r="I3" s="99"/>
      <c r="J3" s="99"/>
      <c r="K3" s="99"/>
      <c r="L3" s="99"/>
      <c r="M3" s="99"/>
      <c r="N3" s="99"/>
      <c r="O3" s="99"/>
      <c r="P3" s="99"/>
      <c r="Q3" s="99"/>
      <c r="R3" s="99"/>
      <c r="S3" s="99"/>
      <c r="T3" s="99"/>
      <c r="U3" s="99"/>
      <c r="AE3" s="1460"/>
      <c r="AF3" s="1460"/>
      <c r="AG3" s="1460"/>
    </row>
    <row r="4" spans="1:33" ht="68.75" customHeight="1" x14ac:dyDescent="0.25">
      <c r="A4" s="90" t="s">
        <v>1</v>
      </c>
      <c r="B4" s="90" t="s">
        <v>245</v>
      </c>
      <c r="C4" s="106" t="s">
        <v>246</v>
      </c>
      <c r="D4" s="90" t="s">
        <v>235</v>
      </c>
      <c r="E4" s="217" t="s">
        <v>238</v>
      </c>
      <c r="F4" s="107" t="s">
        <v>247</v>
      </c>
      <c r="G4" s="90" t="s">
        <v>248</v>
      </c>
      <c r="H4" s="106" t="s">
        <v>339</v>
      </c>
      <c r="I4" s="90" t="s">
        <v>250</v>
      </c>
      <c r="J4" s="90" t="s">
        <v>251</v>
      </c>
      <c r="K4" s="90" t="s">
        <v>252</v>
      </c>
      <c r="L4" s="90" t="s">
        <v>253</v>
      </c>
      <c r="M4" s="99"/>
      <c r="N4" s="99"/>
      <c r="O4" s="99"/>
      <c r="P4" s="99"/>
      <c r="Q4" s="99"/>
      <c r="R4" s="99"/>
      <c r="S4" s="99"/>
      <c r="T4" s="99"/>
      <c r="U4" s="99"/>
    </row>
    <row r="5" spans="1:33" ht="14.25" customHeight="1" x14ac:dyDescent="0.25">
      <c r="A5" s="218"/>
      <c r="B5" s="649"/>
      <c r="C5" s="650"/>
      <c r="D5" s="218"/>
      <c r="E5" s="651"/>
      <c r="F5" s="218"/>
      <c r="G5" s="218"/>
      <c r="H5" s="650"/>
      <c r="I5" s="80"/>
      <c r="J5" s="120"/>
      <c r="K5" s="121"/>
      <c r="L5" s="121"/>
    </row>
    <row r="6" spans="1:33" ht="14.25" customHeight="1" x14ac:dyDescent="0.25">
      <c r="A6" s="294" t="s">
        <v>13</v>
      </c>
      <c r="B6" s="22" t="s">
        <v>21</v>
      </c>
      <c r="C6" s="123" t="s">
        <v>14</v>
      </c>
      <c r="D6" s="115">
        <v>1400</v>
      </c>
      <c r="E6" s="115">
        <f t="shared" ref="E6:E11" si="0">$I$1</f>
        <v>24.980198019801982</v>
      </c>
      <c r="F6" s="126">
        <v>1</v>
      </c>
      <c r="G6" s="118">
        <f t="shared" ref="G6:G11" si="1">D6*E6</f>
        <v>34972.277227722778</v>
      </c>
      <c r="H6" s="119">
        <f t="shared" ref="H6:H11" si="2">G6*F6</f>
        <v>34972.277227722778</v>
      </c>
      <c r="I6" s="80">
        <f>VLOOKUP(B6,All_Ingredients!$A$1:$F$149,6,FALSE())</f>
        <v>0.9</v>
      </c>
      <c r="J6" s="120">
        <f>VLOOKUP(B6,All_Ingredients!$A$1:$J$149,10,FALSE())</f>
        <v>2.2999999999999998</v>
      </c>
      <c r="K6" s="121">
        <f t="shared" ref="K6" si="3">(H6/I6)/1000</f>
        <v>38.858085808580867</v>
      </c>
      <c r="L6" s="121">
        <f t="shared" ref="L6" si="4">K6*J6</f>
        <v>89.373597359735982</v>
      </c>
    </row>
    <row r="7" spans="1:33" ht="14.25" customHeight="1" x14ac:dyDescent="0.25">
      <c r="A7" s="294" t="s">
        <v>95</v>
      </c>
      <c r="B7" s="22" t="s">
        <v>111</v>
      </c>
      <c r="C7" s="123" t="s">
        <v>14</v>
      </c>
      <c r="D7" s="115">
        <v>2</v>
      </c>
      <c r="E7" s="115">
        <f t="shared" si="0"/>
        <v>24.980198019801982</v>
      </c>
      <c r="F7" s="126">
        <v>1</v>
      </c>
      <c r="G7" s="118">
        <f t="shared" si="1"/>
        <v>49.960396039603964</v>
      </c>
      <c r="H7" s="119">
        <f t="shared" si="2"/>
        <v>49.960396039603964</v>
      </c>
      <c r="I7" s="80">
        <f>VLOOKUP(B7,All_Ingredients!$A$1:$F$149,6,FALSE())</f>
        <v>1</v>
      </c>
      <c r="J7" s="120">
        <f>VLOOKUP(B7,All_Ingredients!$A$1:$J$149,10,FALSE())</f>
        <v>64.243759177679877</v>
      </c>
      <c r="K7" s="121">
        <f t="shared" ref="K7:K11" si="5">(H7/I7)/1000</f>
        <v>4.9960396039603963E-2</v>
      </c>
      <c r="L7" s="121">
        <f t="shared" ref="L7:L11" si="6">K7*J7</f>
        <v>3.2096436515898286</v>
      </c>
    </row>
    <row r="8" spans="1:33" ht="14.25" customHeight="1" x14ac:dyDescent="0.25">
      <c r="A8" s="294" t="s">
        <v>81</v>
      </c>
      <c r="B8" s="22" t="s">
        <v>83</v>
      </c>
      <c r="C8" s="123" t="s">
        <v>14</v>
      </c>
      <c r="D8" s="115">
        <v>1</v>
      </c>
      <c r="E8" s="115">
        <f t="shared" si="0"/>
        <v>24.980198019801982</v>
      </c>
      <c r="F8" s="126">
        <v>1</v>
      </c>
      <c r="G8" s="118">
        <f t="shared" si="1"/>
        <v>24.980198019801982</v>
      </c>
      <c r="H8" s="119">
        <f t="shared" si="2"/>
        <v>24.980198019801982</v>
      </c>
      <c r="I8" s="80">
        <f>VLOOKUP(B8,All_Ingredients!$A$1:$F$149,6,FALSE())</f>
        <v>1</v>
      </c>
      <c r="J8" s="120">
        <f>VLOOKUP(B8,All_Ingredients!$A$1:$J$149,10,FALSE())</f>
        <v>147.88732394366198</v>
      </c>
      <c r="K8" s="121">
        <f t="shared" si="5"/>
        <v>2.4980198019801982E-2</v>
      </c>
      <c r="L8" s="121">
        <f t="shared" si="6"/>
        <v>3.6942546367312792</v>
      </c>
    </row>
    <row r="9" spans="1:33" ht="14.25" customHeight="1" x14ac:dyDescent="0.25">
      <c r="A9" s="294" t="s">
        <v>95</v>
      </c>
      <c r="B9" s="22" t="s">
        <v>94</v>
      </c>
      <c r="C9" s="123" t="s">
        <v>14</v>
      </c>
      <c r="D9" s="115">
        <v>2</v>
      </c>
      <c r="E9" s="115">
        <f t="shared" si="0"/>
        <v>24.980198019801982</v>
      </c>
      <c r="F9" s="126">
        <v>1</v>
      </c>
      <c r="G9" s="118">
        <f t="shared" si="1"/>
        <v>49.960396039603964</v>
      </c>
      <c r="H9" s="119">
        <f t="shared" si="2"/>
        <v>49.960396039603964</v>
      </c>
      <c r="I9" s="80">
        <f>VLOOKUP(B9,All_Ingredients!$A$1:$F$149,6,FALSE())</f>
        <v>1</v>
      </c>
      <c r="J9" s="120">
        <f>VLOOKUP(B9,All_Ingredients!$A$1:$J$149,10,FALSE())</f>
        <v>0.74</v>
      </c>
      <c r="K9" s="121">
        <f t="shared" si="5"/>
        <v>4.9960396039603963E-2</v>
      </c>
      <c r="L9" s="121">
        <f t="shared" si="6"/>
        <v>3.6970693069306934E-2</v>
      </c>
    </row>
    <row r="10" spans="1:33" ht="14.25" customHeight="1" x14ac:dyDescent="0.25">
      <c r="A10" s="294" t="s">
        <v>95</v>
      </c>
      <c r="B10" s="22" t="s">
        <v>100</v>
      </c>
      <c r="C10" s="123" t="s">
        <v>14</v>
      </c>
      <c r="D10" s="222">
        <v>0.5</v>
      </c>
      <c r="E10" s="115">
        <f t="shared" si="0"/>
        <v>24.980198019801982</v>
      </c>
      <c r="F10" s="126">
        <v>1</v>
      </c>
      <c r="G10" s="118">
        <f t="shared" si="1"/>
        <v>12.490099009900991</v>
      </c>
      <c r="H10" s="119">
        <f t="shared" si="2"/>
        <v>12.490099009900991</v>
      </c>
      <c r="I10" s="80">
        <f>VLOOKUP(B10,All_Ingredients!$A$1:$F$149,6,FALSE())</f>
        <v>1</v>
      </c>
      <c r="J10" s="120">
        <f>VLOOKUP(B10,All_Ingredients!$A$1:$J$149,10,FALSE())</f>
        <v>31</v>
      </c>
      <c r="K10" s="121">
        <f t="shared" si="5"/>
        <v>1.2490099009900991E-2</v>
      </c>
      <c r="L10" s="121">
        <f t="shared" si="6"/>
        <v>0.3871930693069307</v>
      </c>
    </row>
    <row r="11" spans="1:33" ht="14.25" customHeight="1" x14ac:dyDescent="0.25">
      <c r="A11" s="294" t="s">
        <v>206</v>
      </c>
      <c r="B11" s="22" t="s">
        <v>214</v>
      </c>
      <c r="C11" s="123" t="s">
        <v>161</v>
      </c>
      <c r="D11" s="115">
        <v>10</v>
      </c>
      <c r="E11" s="115">
        <f t="shared" si="0"/>
        <v>24.980198019801982</v>
      </c>
      <c r="F11" s="126">
        <v>0.75</v>
      </c>
      <c r="G11" s="118">
        <f t="shared" si="1"/>
        <v>249.80198019801981</v>
      </c>
      <c r="H11" s="119">
        <f t="shared" si="2"/>
        <v>187.35148514851485</v>
      </c>
      <c r="I11" s="80">
        <f>VLOOKUP(B11,All_Ingredients!$A$1:$F$149,6,FALSE())</f>
        <v>1</v>
      </c>
      <c r="J11" s="120">
        <f>VLOOKUP(B11,All_Ingredients!$A$1:$J$149,10,FALSE())</f>
        <v>5</v>
      </c>
      <c r="K11" s="121">
        <f t="shared" si="5"/>
        <v>0.18735148514851485</v>
      </c>
      <c r="L11" s="121">
        <f t="shared" si="6"/>
        <v>0.93675742574257426</v>
      </c>
    </row>
    <row r="12" spans="1:33" ht="14.25" customHeight="1" x14ac:dyDescent="0.25">
      <c r="A12" s="355"/>
      <c r="B12" s="355"/>
      <c r="C12" s="356"/>
      <c r="D12" s="357"/>
      <c r="E12" s="358"/>
      <c r="F12" s="359"/>
      <c r="G12" s="360"/>
      <c r="H12" s="361"/>
    </row>
    <row r="13" spans="1:33" ht="14.25" customHeight="1" x14ac:dyDescent="0.25">
      <c r="B13" s="348"/>
      <c r="C13" s="132"/>
      <c r="D13" s="253"/>
      <c r="E13" s="224"/>
      <c r="F13" s="135"/>
      <c r="G13" s="139"/>
      <c r="H13" s="137"/>
    </row>
    <row r="14" spans="1:33" ht="14.25" customHeight="1" x14ac:dyDescent="0.25">
      <c r="E14" s="99"/>
      <c r="F14" s="99"/>
    </row>
    <row r="15" spans="1:33" ht="14.25" customHeight="1" x14ac:dyDescent="0.25">
      <c r="E15" s="99"/>
      <c r="F15" s="99"/>
    </row>
    <row r="16" spans="1:33" ht="14.25" customHeight="1" x14ac:dyDescent="0.25">
      <c r="E16" s="99"/>
      <c r="F16" s="99"/>
    </row>
    <row r="17" spans="2:29" ht="14.25" customHeight="1" x14ac:dyDescent="0.25">
      <c r="E17" s="99"/>
      <c r="F17" s="99"/>
    </row>
    <row r="18" spans="2:29" ht="14.25" customHeight="1" x14ac:dyDescent="0.25">
      <c r="E18" s="99"/>
      <c r="F18" s="99"/>
    </row>
    <row r="19" spans="2:29" ht="14.25" customHeight="1" x14ac:dyDescent="0.25">
      <c r="E19" s="99"/>
      <c r="F19" s="99"/>
    </row>
    <row r="20" spans="2:29" ht="14.25" customHeight="1" x14ac:dyDescent="0.3">
      <c r="E20" s="99"/>
      <c r="F20" s="99"/>
      <c r="M20" s="1"/>
      <c r="N20"/>
      <c r="O20"/>
    </row>
    <row r="21" spans="2:29" ht="14.25" customHeight="1" x14ac:dyDescent="0.3">
      <c r="E21" s="99"/>
      <c r="F21" s="99"/>
      <c r="M21" s="178"/>
      <c r="N21" s="489"/>
      <c r="O21"/>
    </row>
    <row r="22" spans="2:29" ht="14.25" customHeight="1" x14ac:dyDescent="0.3">
      <c r="B22" s="11"/>
      <c r="C22" s="335"/>
      <c r="D22" s="336"/>
      <c r="E22" s="99"/>
      <c r="F22" s="99"/>
    </row>
    <row r="23" spans="2:29" ht="14.25" customHeight="1" x14ac:dyDescent="0.3">
      <c r="B23" s="11"/>
      <c r="C23" s="335"/>
      <c r="D23" s="336"/>
      <c r="E23" s="99"/>
      <c r="F23" s="99"/>
    </row>
    <row r="24" spans="2:29" ht="14.25" customHeight="1" x14ac:dyDescent="0.3">
      <c r="B24" s="11"/>
      <c r="C24" s="335"/>
      <c r="D24" s="336"/>
      <c r="E24" s="99"/>
      <c r="F24" s="99"/>
      <c r="Z24" s="1208"/>
    </row>
    <row r="25" spans="2:29" ht="14.25" customHeight="1" x14ac:dyDescent="0.3">
      <c r="B25" s="11"/>
      <c r="C25" s="335"/>
      <c r="D25" s="336"/>
      <c r="E25" s="99"/>
      <c r="F25" s="99"/>
      <c r="R25" s="1467" t="s">
        <v>341</v>
      </c>
      <c r="S25" s="1444"/>
      <c r="T25" s="1444"/>
      <c r="Z25" s="140" t="s">
        <v>14</v>
      </c>
      <c r="AA25" s="141">
        <v>1</v>
      </c>
      <c r="AB25" s="140" t="s">
        <v>253</v>
      </c>
      <c r="AC25" s="142">
        <f>(S34/S30)*AA25</f>
        <v>3.869933287204752E-3</v>
      </c>
    </row>
    <row r="26" spans="2:29" ht="14.25" customHeight="1" x14ac:dyDescent="0.3">
      <c r="B26" s="11"/>
      <c r="C26" s="335"/>
      <c r="D26" s="336"/>
      <c r="E26" s="99"/>
      <c r="F26" s="99"/>
      <c r="R26" s="364" t="s">
        <v>342</v>
      </c>
      <c r="S26" s="364"/>
      <c r="T26" s="364"/>
    </row>
    <row r="27" spans="2:29" ht="14.25" customHeight="1" x14ac:dyDescent="0.3">
      <c r="B27" s="11"/>
      <c r="C27" s="335"/>
      <c r="D27" s="336"/>
      <c r="E27" s="99"/>
      <c r="F27" s="99"/>
      <c r="R27" s="144" t="s">
        <v>258</v>
      </c>
      <c r="S27" s="144" t="s">
        <v>343</v>
      </c>
      <c r="T27" s="144" t="s">
        <v>261</v>
      </c>
    </row>
    <row r="28" spans="2:29" ht="14.25" customHeight="1" x14ac:dyDescent="0.3">
      <c r="B28" s="11"/>
      <c r="C28" s="335"/>
      <c r="D28" s="336"/>
      <c r="E28" s="99"/>
      <c r="F28" s="99"/>
      <c r="R28" s="144" t="s">
        <v>267</v>
      </c>
      <c r="S28" s="784">
        <f>$Z$1</f>
        <v>25230</v>
      </c>
      <c r="T28" s="786">
        <f>S28</f>
        <v>25230</v>
      </c>
    </row>
    <row r="29" spans="2:29" ht="14.25" customHeight="1" x14ac:dyDescent="0.3">
      <c r="B29" s="11"/>
      <c r="C29" s="335"/>
      <c r="D29" s="336"/>
      <c r="E29" s="99"/>
      <c r="F29" s="99"/>
      <c r="O29" s="362"/>
      <c r="R29" s="144" t="s">
        <v>269</v>
      </c>
      <c r="S29" s="784">
        <f>$AB$1</f>
        <v>0</v>
      </c>
      <c r="T29" s="787">
        <f>S29</f>
        <v>0</v>
      </c>
    </row>
    <row r="30" spans="2:29" ht="14.25" customHeight="1" x14ac:dyDescent="0.3">
      <c r="B30" s="11"/>
      <c r="C30" s="335"/>
      <c r="D30" s="336"/>
      <c r="E30" s="99"/>
      <c r="F30" s="99"/>
      <c r="R30" s="144" t="s">
        <v>261</v>
      </c>
      <c r="S30" s="338">
        <f>SUM(S28:S29)</f>
        <v>25230</v>
      </c>
      <c r="T30" s="338">
        <f>S30</f>
        <v>25230</v>
      </c>
    </row>
    <row r="31" spans="2:29" ht="14.25" customHeight="1" x14ac:dyDescent="0.3">
      <c r="B31" s="11"/>
      <c r="C31" s="335"/>
      <c r="D31" s="336"/>
      <c r="E31" s="99"/>
      <c r="F31" s="99"/>
    </row>
    <row r="32" spans="2:29" ht="14.25" customHeight="1" x14ac:dyDescent="0.3">
      <c r="B32" s="11"/>
      <c r="C32" s="335"/>
      <c r="D32" s="336"/>
      <c r="E32" s="99"/>
      <c r="F32" s="99"/>
    </row>
    <row r="33" spans="2:20" ht="14.25" customHeight="1" thickBot="1" x14ac:dyDescent="0.35">
      <c r="B33" s="11"/>
      <c r="C33" s="335"/>
      <c r="D33" s="336"/>
      <c r="E33" s="99"/>
      <c r="F33" s="99"/>
    </row>
    <row r="34" spans="2:20" ht="14.25" customHeight="1" thickBot="1" x14ac:dyDescent="0.35">
      <c r="B34" s="11"/>
      <c r="C34" s="335"/>
      <c r="D34" s="336"/>
      <c r="E34" s="99"/>
      <c r="F34" s="99"/>
      <c r="R34" s="162" t="s">
        <v>253</v>
      </c>
      <c r="S34" s="1125">
        <f>SUM(L6:L11)</f>
        <v>97.638416836175892</v>
      </c>
      <c r="T34" s="1196">
        <f>S34</f>
        <v>97.638416836175892</v>
      </c>
    </row>
    <row r="35" spans="2:20" ht="14.25" customHeight="1" x14ac:dyDescent="0.3">
      <c r="B35" s="11"/>
      <c r="C35" s="335"/>
      <c r="D35" s="336"/>
      <c r="E35" s="99"/>
      <c r="F35" s="99"/>
    </row>
    <row r="36" spans="2:20" ht="14.25" customHeight="1" x14ac:dyDescent="0.3">
      <c r="B36" s="11"/>
      <c r="C36" s="335"/>
      <c r="D36" s="336"/>
      <c r="E36" s="99"/>
      <c r="F36" s="99"/>
    </row>
    <row r="37" spans="2:20" ht="14.25" customHeight="1" x14ac:dyDescent="0.3">
      <c r="B37" s="11"/>
      <c r="C37" s="335"/>
      <c r="D37" s="336"/>
      <c r="E37" s="99"/>
      <c r="F37" s="99"/>
    </row>
    <row r="38" spans="2:20" ht="14.25" customHeight="1" x14ac:dyDescent="0.3">
      <c r="B38" s="11"/>
      <c r="C38" s="335"/>
      <c r="D38" s="336"/>
      <c r="E38" s="99"/>
      <c r="F38" s="99"/>
    </row>
    <row r="39" spans="2:20" ht="14.25" customHeight="1" x14ac:dyDescent="0.3">
      <c r="B39" s="11"/>
      <c r="C39" s="335"/>
      <c r="D39" s="336"/>
      <c r="E39" s="99"/>
      <c r="F39" s="99"/>
    </row>
    <row r="40" spans="2:20" ht="14.25" customHeight="1" x14ac:dyDescent="0.3">
      <c r="B40" s="11"/>
      <c r="C40" s="335"/>
      <c r="D40" s="336"/>
      <c r="E40" s="99"/>
      <c r="F40" s="99"/>
    </row>
    <row r="41" spans="2:20" ht="14" customHeight="1" x14ac:dyDescent="0.3">
      <c r="B41" s="11"/>
      <c r="C41" s="335"/>
      <c r="D41" s="336"/>
      <c r="E41" s="99"/>
      <c r="F41" s="99"/>
    </row>
    <row r="42" spans="2:20" ht="14.25" customHeight="1" x14ac:dyDescent="0.3">
      <c r="B42" s="11"/>
      <c r="C42" s="335"/>
      <c r="D42" s="336"/>
      <c r="E42" s="99"/>
      <c r="F42" s="99"/>
    </row>
    <row r="43" spans="2:20" ht="14.25" customHeight="1" x14ac:dyDescent="0.3">
      <c r="B43" s="11"/>
      <c r="C43" s="335"/>
      <c r="D43" s="336"/>
      <c r="E43" s="99"/>
      <c r="F43" s="99"/>
    </row>
    <row r="44" spans="2:20" ht="14.25" customHeight="1" x14ac:dyDescent="0.3">
      <c r="B44" s="11"/>
      <c r="C44" s="335"/>
      <c r="D44" s="336"/>
      <c r="E44" s="99"/>
      <c r="F44" s="99"/>
    </row>
    <row r="45" spans="2:20" ht="14.25" customHeight="1" x14ac:dyDescent="0.3">
      <c r="B45" s="11"/>
      <c r="C45" s="335"/>
      <c r="D45" s="336"/>
      <c r="E45" s="99"/>
      <c r="F45" s="99"/>
    </row>
    <row r="46" spans="2:20" ht="14.25" customHeight="1" x14ac:dyDescent="0.3">
      <c r="B46" s="11"/>
      <c r="C46" s="335"/>
      <c r="D46" s="336"/>
      <c r="E46" s="99"/>
      <c r="F46" s="99"/>
    </row>
    <row r="47" spans="2:20" ht="14.25" customHeight="1" x14ac:dyDescent="0.3">
      <c r="B47" s="11"/>
      <c r="C47" s="335"/>
      <c r="D47" s="336"/>
      <c r="E47" s="99"/>
      <c r="F47" s="99"/>
    </row>
    <row r="48" spans="2:20" ht="14.25" customHeight="1" x14ac:dyDescent="0.3">
      <c r="B48" s="11"/>
      <c r="C48" s="335"/>
      <c r="D48" s="336"/>
      <c r="E48" s="99"/>
      <c r="F48" s="99"/>
    </row>
    <row r="49" spans="1:8" ht="14.25" customHeight="1" x14ac:dyDescent="0.3">
      <c r="B49" s="11"/>
      <c r="C49" s="335"/>
      <c r="D49" s="336"/>
      <c r="E49" s="99"/>
      <c r="F49" s="99"/>
    </row>
    <row r="50" spans="1:8" ht="14.25" customHeight="1" x14ac:dyDescent="0.3">
      <c r="B50" s="225"/>
      <c r="C50" s="225" t="s">
        <v>237</v>
      </c>
      <c r="D50" s="225" t="s">
        <v>283</v>
      </c>
      <c r="E50" s="99"/>
      <c r="F50" s="99"/>
    </row>
    <row r="51" spans="1:8" ht="14.25" customHeight="1" x14ac:dyDescent="0.3">
      <c r="B51" s="179" t="s">
        <v>287</v>
      </c>
      <c r="C51" s="180">
        <f>10/$K$1</f>
        <v>9.9009900990099009</v>
      </c>
      <c r="D51" s="181">
        <f>$C$1*10</f>
        <v>10000</v>
      </c>
      <c r="E51" s="99"/>
      <c r="F51" s="99"/>
    </row>
    <row r="52" spans="1:8" ht="14.25" customHeight="1" x14ac:dyDescent="0.3">
      <c r="B52" s="230" t="s">
        <v>261</v>
      </c>
      <c r="C52" s="232">
        <f>G1</f>
        <v>25.23</v>
      </c>
      <c r="D52" s="232">
        <f>E1</f>
        <v>25230</v>
      </c>
      <c r="E52" s="99"/>
      <c r="F52" s="99"/>
    </row>
    <row r="53" spans="1:8" ht="14.25" customHeight="1" x14ac:dyDescent="0.3">
      <c r="B53" s="230" t="s">
        <v>288</v>
      </c>
      <c r="C53" s="233">
        <f>MIN($C$52, $C$51)</f>
        <v>9.9009900990099009</v>
      </c>
      <c r="D53" s="232">
        <f>(C53*$K$1)*$C$1</f>
        <v>10000</v>
      </c>
      <c r="E53" s="99"/>
      <c r="F53" s="99"/>
    </row>
    <row r="54" spans="1:8" ht="14.25" customHeight="1" x14ac:dyDescent="0.3">
      <c r="B54" s="230" t="s">
        <v>289</v>
      </c>
      <c r="C54" s="233">
        <f>MIN(MAX($C$52-C53,0),$C$51)</f>
        <v>9.9009900990099009</v>
      </c>
      <c r="D54" s="232">
        <f>(C54*$K$1)*$C$1</f>
        <v>10000</v>
      </c>
      <c r="E54" s="99"/>
      <c r="F54" s="99"/>
    </row>
    <row r="55" spans="1:8" ht="14.25" customHeight="1" x14ac:dyDescent="0.3">
      <c r="B55" s="230" t="s">
        <v>290</v>
      </c>
      <c r="C55" s="233">
        <f>MIN(MAX($C$52-C53-C54,0),$C$51)</f>
        <v>5.4280198019801986</v>
      </c>
      <c r="D55" s="232">
        <f>(C55*$K$1)*$C$1</f>
        <v>5482.3</v>
      </c>
      <c r="E55" s="99"/>
      <c r="F55" s="99"/>
    </row>
    <row r="56" spans="1:8" ht="14.25" customHeight="1" x14ac:dyDescent="0.3">
      <c r="B56" s="230" t="s">
        <v>297</v>
      </c>
      <c r="C56" s="233">
        <f>MIN(MAX($C$52-C53-C54-C55,0),$C$51)</f>
        <v>0</v>
      </c>
      <c r="D56" s="232">
        <f>(C56*$K$1)*$C$1</f>
        <v>0</v>
      </c>
      <c r="E56" s="99"/>
      <c r="F56" s="99"/>
    </row>
    <row r="57" spans="1:8" ht="14.25" customHeight="1" x14ac:dyDescent="0.3">
      <c r="B57" s="230" t="s">
        <v>348</v>
      </c>
      <c r="C57" s="233">
        <f>MIN(MAX($C$52-C53-C54-C55-C56,0),$C$51)</f>
        <v>0</v>
      </c>
      <c r="D57" s="232">
        <f>(C57*$K$1)*$C$1</f>
        <v>0</v>
      </c>
      <c r="E57" s="99"/>
      <c r="F57" s="99"/>
    </row>
    <row r="58" spans="1:8" ht="14.25" customHeight="1" x14ac:dyDescent="0.3">
      <c r="B58" s="11"/>
      <c r="C58" s="335"/>
      <c r="D58" s="336"/>
      <c r="E58" s="99"/>
      <c r="F58" s="99"/>
    </row>
    <row r="59" spans="1:8" ht="14.25" customHeight="1" x14ac:dyDescent="0.3">
      <c r="B59" s="11"/>
      <c r="C59" s="335"/>
      <c r="D59" s="336"/>
      <c r="E59" s="99"/>
      <c r="F59" s="99"/>
    </row>
    <row r="60" spans="1:8" ht="14.25" customHeight="1" x14ac:dyDescent="0.3">
      <c r="B60" s="11"/>
      <c r="C60" s="335"/>
      <c r="D60" s="336"/>
      <c r="E60" s="99"/>
      <c r="F60" s="99"/>
    </row>
    <row r="61" spans="1:8" ht="14" customHeight="1" x14ac:dyDescent="0.3">
      <c r="B61" s="11"/>
      <c r="C61" s="335"/>
      <c r="D61" s="336"/>
      <c r="E61" s="99"/>
      <c r="F61" s="99"/>
    </row>
    <row r="62" spans="1:8" ht="17.75" customHeight="1" x14ac:dyDescent="0.25">
      <c r="B62" s="99"/>
      <c r="E62" s="99"/>
      <c r="F62" s="99"/>
    </row>
    <row r="63" spans="1:8" ht="17.75" customHeight="1" x14ac:dyDescent="0.3">
      <c r="A63" s="927"/>
      <c r="B63" s="1438" t="s">
        <v>608</v>
      </c>
      <c r="C63" s="1439"/>
      <c r="D63" s="1439"/>
      <c r="E63" s="1439"/>
      <c r="F63" s="1439"/>
      <c r="G63" s="1439"/>
      <c r="H63" s="1439"/>
    </row>
    <row r="64" spans="1:8" ht="25.5" customHeight="1" x14ac:dyDescent="0.3">
      <c r="A64" s="927"/>
      <c r="B64" s="1436" t="s">
        <v>829</v>
      </c>
      <c r="C64" s="1437"/>
      <c r="D64" s="1437"/>
      <c r="E64" s="1437"/>
      <c r="F64" s="1437"/>
      <c r="G64" s="1437"/>
      <c r="H64" s="1437"/>
    </row>
    <row r="65" spans="1:8" ht="31.5" customHeight="1" x14ac:dyDescent="0.25">
      <c r="A65" s="90"/>
      <c r="B65" s="242" t="s">
        <v>245</v>
      </c>
      <c r="C65" s="243" t="s">
        <v>246</v>
      </c>
      <c r="D65" s="244" t="s">
        <v>235</v>
      </c>
      <c r="E65" s="217" t="s">
        <v>238</v>
      </c>
      <c r="F65" s="217" t="s">
        <v>247</v>
      </c>
      <c r="G65" s="244" t="s">
        <v>248</v>
      </c>
      <c r="H65" s="217" t="s">
        <v>249</v>
      </c>
    </row>
    <row r="66" spans="1:8" ht="14.25" customHeight="1" x14ac:dyDescent="0.25">
      <c r="A66" s="294" t="s">
        <v>13</v>
      </c>
      <c r="B66" s="322" t="str">
        <f t="shared" ref="B66:D71" si="7">B6</f>
        <v>Potato - بطاطس</v>
      </c>
      <c r="C66" s="123" t="str">
        <f t="shared" si="7"/>
        <v>gm</v>
      </c>
      <c r="D66" s="124">
        <f t="shared" si="7"/>
        <v>1400</v>
      </c>
      <c r="E66" s="115">
        <f>$C$52</f>
        <v>25.23</v>
      </c>
      <c r="F66" s="126">
        <f t="shared" ref="F66:F71" si="8">F6</f>
        <v>1</v>
      </c>
      <c r="G66" s="118">
        <f t="shared" ref="G66:G71" si="9">D66*E66</f>
        <v>35322</v>
      </c>
      <c r="H66" s="119">
        <f t="shared" ref="H66:H71" si="10">G66*F66</f>
        <v>35322</v>
      </c>
    </row>
    <row r="67" spans="1:8" ht="14.25" customHeight="1" x14ac:dyDescent="0.25">
      <c r="A67" s="294" t="s">
        <v>95</v>
      </c>
      <c r="B67" s="322" t="str">
        <f t="shared" si="7"/>
        <v>Paprika Powder - بابريكا مطحون</v>
      </c>
      <c r="C67" s="123" t="str">
        <f t="shared" si="7"/>
        <v>gm</v>
      </c>
      <c r="D67" s="124">
        <f t="shared" si="7"/>
        <v>2</v>
      </c>
      <c r="E67" s="115">
        <f t="shared" ref="E67:E71" si="11">$C$52</f>
        <v>25.23</v>
      </c>
      <c r="F67" s="126">
        <f t="shared" si="8"/>
        <v>1</v>
      </c>
      <c r="G67" s="118">
        <f t="shared" si="9"/>
        <v>50.46</v>
      </c>
      <c r="H67" s="119">
        <f t="shared" si="10"/>
        <v>50.46</v>
      </c>
    </row>
    <row r="68" spans="1:8" ht="14.25" customHeight="1" x14ac:dyDescent="0.25">
      <c r="A68" s="294" t="s">
        <v>81</v>
      </c>
      <c r="B68" s="322" t="str">
        <f t="shared" si="7"/>
        <v>Dry Oregano - أوريجانو مجفف</v>
      </c>
      <c r="C68" s="123" t="str">
        <f t="shared" si="7"/>
        <v>gm</v>
      </c>
      <c r="D68" s="124">
        <f t="shared" si="7"/>
        <v>1</v>
      </c>
      <c r="E68" s="115">
        <f t="shared" si="11"/>
        <v>25.23</v>
      </c>
      <c r="F68" s="126">
        <f t="shared" si="8"/>
        <v>1</v>
      </c>
      <c r="G68" s="118">
        <f t="shared" si="9"/>
        <v>25.23</v>
      </c>
      <c r="H68" s="119">
        <f t="shared" si="10"/>
        <v>25.23</v>
      </c>
    </row>
    <row r="69" spans="1:8" ht="14.25" customHeight="1" x14ac:dyDescent="0.25">
      <c r="A69" s="294" t="s">
        <v>95</v>
      </c>
      <c r="B69" s="322" t="str">
        <f t="shared" si="7"/>
        <v>Salt - ملح</v>
      </c>
      <c r="C69" s="123" t="str">
        <f t="shared" si="7"/>
        <v>gm</v>
      </c>
      <c r="D69" s="124">
        <f t="shared" si="7"/>
        <v>2</v>
      </c>
      <c r="E69" s="115">
        <f t="shared" si="11"/>
        <v>25.23</v>
      </c>
      <c r="F69" s="126">
        <f t="shared" si="8"/>
        <v>1</v>
      </c>
      <c r="G69" s="118">
        <f t="shared" si="9"/>
        <v>50.46</v>
      </c>
      <c r="H69" s="119">
        <f t="shared" si="10"/>
        <v>50.46</v>
      </c>
    </row>
    <row r="70" spans="1:8" ht="14.25" customHeight="1" x14ac:dyDescent="0.25">
      <c r="A70" s="294" t="s">
        <v>95</v>
      </c>
      <c r="B70" s="322" t="str">
        <f t="shared" si="7"/>
        <v>Black Pepper Powder - فلفل أسود مطحون</v>
      </c>
      <c r="C70" s="123" t="str">
        <f t="shared" si="7"/>
        <v>gm</v>
      </c>
      <c r="D70" s="124">
        <f t="shared" si="7"/>
        <v>0.5</v>
      </c>
      <c r="E70" s="115">
        <f t="shared" si="11"/>
        <v>25.23</v>
      </c>
      <c r="F70" s="126">
        <f t="shared" si="8"/>
        <v>1</v>
      </c>
      <c r="G70" s="118">
        <f t="shared" si="9"/>
        <v>12.615</v>
      </c>
      <c r="H70" s="119">
        <f t="shared" si="10"/>
        <v>12.615</v>
      </c>
    </row>
    <row r="71" spans="1:8" ht="12.75" customHeight="1" x14ac:dyDescent="0.25">
      <c r="A71" s="294" t="s">
        <v>206</v>
      </c>
      <c r="B71" s="322" t="str">
        <f t="shared" si="7"/>
        <v>Lemon Juice - عصير ليمون</v>
      </c>
      <c r="C71" s="123" t="str">
        <f t="shared" si="7"/>
        <v>ml</v>
      </c>
      <c r="D71" s="124">
        <f t="shared" si="7"/>
        <v>10</v>
      </c>
      <c r="E71" s="115">
        <f t="shared" si="11"/>
        <v>25.23</v>
      </c>
      <c r="F71" s="126">
        <f t="shared" si="8"/>
        <v>0.75</v>
      </c>
      <c r="G71" s="118">
        <f t="shared" si="9"/>
        <v>252.3</v>
      </c>
      <c r="H71" s="119">
        <f t="shared" si="10"/>
        <v>189.22500000000002</v>
      </c>
    </row>
    <row r="72" spans="1:8" ht="14.25" customHeight="1" x14ac:dyDescent="0.25">
      <c r="A72" s="294"/>
      <c r="B72" s="197" t="s">
        <v>742</v>
      </c>
      <c r="C72" s="99"/>
      <c r="D72" s="99"/>
      <c r="E72" s="99"/>
      <c r="F72" s="99"/>
      <c r="G72" s="99"/>
      <c r="H72" s="99"/>
    </row>
    <row r="73" spans="1:8" ht="17" customHeight="1" x14ac:dyDescent="0.4">
      <c r="A73" s="402"/>
      <c r="B73" s="198">
        <f>D52</f>
        <v>25230</v>
      </c>
      <c r="C73" s="207"/>
      <c r="D73" s="4"/>
      <c r="E73" s="99"/>
      <c r="F73" s="182"/>
    </row>
    <row r="74" spans="1:8" ht="17.75" customHeight="1" x14ac:dyDescent="0.25">
      <c r="A74" s="869"/>
      <c r="B74" s="863"/>
      <c r="C74" s="863"/>
      <c r="D74" s="863"/>
      <c r="E74" s="863"/>
      <c r="F74" s="863"/>
      <c r="G74" s="863"/>
      <c r="H74" s="863"/>
    </row>
    <row r="75" spans="1:8" ht="17.75" customHeight="1" x14ac:dyDescent="0.3">
      <c r="A75" s="1226"/>
      <c r="B75" s="1475"/>
      <c r="C75" s="1476"/>
      <c r="D75" s="1476"/>
      <c r="E75" s="1476"/>
      <c r="F75" s="1476"/>
      <c r="G75" s="1476"/>
      <c r="H75" s="1476"/>
    </row>
    <row r="76" spans="1:8" ht="25.5" customHeight="1" x14ac:dyDescent="0.3">
      <c r="A76" s="1226"/>
      <c r="B76" s="1475"/>
      <c r="C76" s="1476"/>
      <c r="D76" s="1476"/>
      <c r="E76" s="1476"/>
      <c r="F76" s="1476"/>
      <c r="G76" s="1476"/>
      <c r="H76" s="1476"/>
    </row>
    <row r="77" spans="1:8" ht="29.75" customHeight="1" x14ac:dyDescent="0.25">
      <c r="A77" s="1231"/>
      <c r="B77" s="1241"/>
      <c r="C77" s="1242"/>
      <c r="D77" s="1241"/>
      <c r="E77" s="1243"/>
      <c r="F77" s="1243"/>
      <c r="G77" s="1241"/>
      <c r="H77" s="1243"/>
    </row>
    <row r="78" spans="1:8" ht="14.25" customHeight="1" x14ac:dyDescent="0.25">
      <c r="A78" s="869"/>
      <c r="B78" s="1244"/>
      <c r="C78" s="1244"/>
      <c r="D78" s="1244"/>
      <c r="E78" s="1249"/>
      <c r="F78" s="1246"/>
      <c r="G78" s="1247"/>
      <c r="H78" s="1248"/>
    </row>
    <row r="79" spans="1:8" ht="14.25" customHeight="1" x14ac:dyDescent="0.25">
      <c r="A79" s="869"/>
      <c r="B79" s="1244"/>
      <c r="C79" s="1244"/>
      <c r="D79" s="1244"/>
      <c r="E79" s="1249"/>
      <c r="F79" s="1246"/>
      <c r="G79" s="1247"/>
      <c r="H79" s="1248"/>
    </row>
    <row r="80" spans="1:8" ht="14.25" customHeight="1" x14ac:dyDescent="0.25">
      <c r="A80" s="869"/>
      <c r="B80" s="1244"/>
      <c r="C80" s="1244"/>
      <c r="D80" s="1244"/>
      <c r="E80" s="1249"/>
      <c r="F80" s="1246"/>
      <c r="G80" s="1247"/>
      <c r="H80" s="1248"/>
    </row>
    <row r="81" spans="1:8" ht="14.25" customHeight="1" x14ac:dyDescent="0.25">
      <c r="A81" s="869"/>
      <c r="B81" s="1244"/>
      <c r="C81" s="1244"/>
      <c r="D81" s="1244"/>
      <c r="E81" s="1249"/>
      <c r="F81" s="1246"/>
      <c r="G81" s="1247"/>
      <c r="H81" s="1248"/>
    </row>
    <row r="82" spans="1:8" ht="14.25" customHeight="1" x14ac:dyDescent="0.25">
      <c r="A82" s="869"/>
      <c r="B82" s="1244"/>
      <c r="C82" s="1244"/>
      <c r="D82" s="1244"/>
      <c r="E82" s="1249"/>
      <c r="F82" s="1246"/>
      <c r="G82" s="1247"/>
      <c r="H82" s="1248"/>
    </row>
    <row r="83" spans="1:8" ht="12.75" customHeight="1" x14ac:dyDescent="0.25">
      <c r="A83" s="869"/>
      <c r="B83" s="1244"/>
      <c r="C83" s="1244"/>
      <c r="D83" s="1244"/>
      <c r="E83" s="1249"/>
      <c r="F83" s="1246"/>
      <c r="G83" s="1247"/>
      <c r="H83" s="1248"/>
    </row>
    <row r="84" spans="1:8" ht="15.5" x14ac:dyDescent="0.25">
      <c r="A84" s="869"/>
      <c r="B84" s="888"/>
      <c r="C84" s="863"/>
      <c r="D84" s="863"/>
      <c r="E84" s="863"/>
      <c r="F84" s="863"/>
      <c r="G84" s="863"/>
      <c r="H84" s="863"/>
    </row>
    <row r="85" spans="1:8" ht="18" customHeight="1" x14ac:dyDescent="0.4">
      <c r="A85" s="869"/>
      <c r="B85" s="889"/>
      <c r="C85" s="869"/>
      <c r="D85" s="869"/>
      <c r="E85" s="869"/>
      <c r="F85" s="869"/>
      <c r="G85" s="869"/>
      <c r="H85" s="869"/>
    </row>
    <row r="86" spans="1:8" ht="12.75" customHeight="1" x14ac:dyDescent="0.25">
      <c r="A86" s="869"/>
      <c r="B86" s="863"/>
      <c r="C86" s="863"/>
      <c r="D86" s="863"/>
      <c r="E86" s="863"/>
      <c r="F86" s="863"/>
      <c r="G86" s="863"/>
      <c r="H86" s="863"/>
    </row>
    <row r="87" spans="1:8" ht="17.75" customHeight="1" x14ac:dyDescent="0.25">
      <c r="A87" s="869"/>
      <c r="B87" s="863"/>
      <c r="C87" s="863"/>
      <c r="D87" s="863"/>
      <c r="E87" s="863"/>
      <c r="F87" s="863"/>
      <c r="G87" s="863"/>
      <c r="H87" s="863"/>
    </row>
    <row r="88" spans="1:8" ht="17.75" customHeight="1" x14ac:dyDescent="0.3">
      <c r="A88" s="1226"/>
      <c r="B88" s="1475"/>
      <c r="C88" s="1476"/>
      <c r="D88" s="1476"/>
      <c r="E88" s="1476"/>
      <c r="F88" s="1476"/>
      <c r="G88" s="1476"/>
      <c r="H88" s="1476"/>
    </row>
    <row r="89" spans="1:8" ht="25.5" customHeight="1" x14ac:dyDescent="0.3">
      <c r="A89" s="1226"/>
      <c r="B89" s="1475"/>
      <c r="C89" s="1476"/>
      <c r="D89" s="1476"/>
      <c r="E89" s="1476"/>
      <c r="F89" s="1476"/>
      <c r="G89" s="1476"/>
      <c r="H89" s="1476"/>
    </row>
    <row r="90" spans="1:8" ht="28.25" customHeight="1" x14ac:dyDescent="0.25">
      <c r="A90" s="1231"/>
      <c r="B90" s="1241"/>
      <c r="C90" s="1242"/>
      <c r="D90" s="1241"/>
      <c r="E90" s="1243"/>
      <c r="F90" s="1243"/>
      <c r="G90" s="1241"/>
      <c r="H90" s="1243"/>
    </row>
    <row r="91" spans="1:8" ht="14.25" customHeight="1" x14ac:dyDescent="0.25">
      <c r="A91" s="869"/>
      <c r="B91" s="1244"/>
      <c r="C91" s="1244"/>
      <c r="D91" s="1244"/>
      <c r="E91" s="1245"/>
      <c r="F91" s="1246"/>
      <c r="G91" s="1247"/>
      <c r="H91" s="1248"/>
    </row>
    <row r="92" spans="1:8" ht="14.25" customHeight="1" x14ac:dyDescent="0.25">
      <c r="A92" s="869"/>
      <c r="B92" s="1244"/>
      <c r="C92" s="1244"/>
      <c r="D92" s="1244"/>
      <c r="E92" s="1245"/>
      <c r="F92" s="1246"/>
      <c r="G92" s="1247"/>
      <c r="H92" s="1248"/>
    </row>
    <row r="93" spans="1:8" ht="14.25" customHeight="1" x14ac:dyDescent="0.25">
      <c r="A93" s="869"/>
      <c r="B93" s="1244"/>
      <c r="C93" s="1244"/>
      <c r="D93" s="1244"/>
      <c r="E93" s="1245"/>
      <c r="F93" s="1246"/>
      <c r="G93" s="1247"/>
      <c r="H93" s="1248"/>
    </row>
    <row r="94" spans="1:8" ht="14.25" customHeight="1" x14ac:dyDescent="0.25">
      <c r="A94" s="869"/>
      <c r="B94" s="1244"/>
      <c r="C94" s="1244"/>
      <c r="D94" s="1244"/>
      <c r="E94" s="1245"/>
      <c r="F94" s="1246"/>
      <c r="G94" s="1247"/>
      <c r="H94" s="1248"/>
    </row>
    <row r="95" spans="1:8" ht="14.25" customHeight="1" x14ac:dyDescent="0.25">
      <c r="A95" s="869"/>
      <c r="B95" s="1244"/>
      <c r="C95" s="1244"/>
      <c r="D95" s="1244"/>
      <c r="E95" s="1245"/>
      <c r="F95" s="1246"/>
      <c r="G95" s="1247"/>
      <c r="H95" s="1248"/>
    </row>
    <row r="96" spans="1:8" ht="14" x14ac:dyDescent="0.25">
      <c r="A96" s="869"/>
      <c r="B96" s="1244"/>
      <c r="C96" s="1244"/>
      <c r="D96" s="1244"/>
      <c r="E96" s="1245"/>
      <c r="F96" s="1246"/>
      <c r="G96" s="1247"/>
      <c r="H96" s="1248"/>
    </row>
    <row r="97" spans="1:8" ht="15.5" x14ac:dyDescent="0.25">
      <c r="A97" s="869"/>
      <c r="B97" s="888"/>
      <c r="C97" s="869"/>
      <c r="D97" s="869"/>
      <c r="E97" s="869"/>
      <c r="F97" s="869"/>
      <c r="G97" s="869"/>
      <c r="H97" s="869"/>
    </row>
    <row r="98" spans="1:8" ht="20" x14ac:dyDescent="0.4">
      <c r="A98" s="869"/>
      <c r="B98" s="889"/>
      <c r="C98" s="869"/>
      <c r="D98" s="869"/>
      <c r="E98" s="869"/>
      <c r="F98" s="869"/>
      <c r="G98" s="869"/>
      <c r="H98" s="869"/>
    </row>
    <row r="99" spans="1:8" x14ac:dyDescent="0.25">
      <c r="A99" s="869"/>
      <c r="B99" s="869"/>
      <c r="C99" s="869"/>
      <c r="D99" s="869"/>
      <c r="E99" s="869"/>
      <c r="F99" s="869"/>
      <c r="G99" s="869"/>
      <c r="H99" s="869"/>
    </row>
    <row r="100" spans="1:8" ht="17.75" customHeight="1" x14ac:dyDescent="0.25">
      <c r="A100" s="869"/>
      <c r="B100" s="869"/>
      <c r="C100" s="869"/>
      <c r="D100" s="869"/>
      <c r="E100" s="869"/>
      <c r="F100" s="869"/>
      <c r="G100" s="869"/>
      <c r="H100" s="869"/>
    </row>
    <row r="101" spans="1:8" ht="17.75" customHeight="1" x14ac:dyDescent="0.3">
      <c r="A101" s="1226"/>
      <c r="B101" s="1475"/>
      <c r="C101" s="1476"/>
      <c r="D101" s="1476"/>
      <c r="E101" s="1476"/>
      <c r="F101" s="1476"/>
      <c r="G101" s="1476"/>
      <c r="H101" s="1476"/>
    </row>
    <row r="102" spans="1:8" ht="25.5" customHeight="1" x14ac:dyDescent="0.3">
      <c r="A102" s="1226"/>
      <c r="B102" s="1475"/>
      <c r="C102" s="1476"/>
      <c r="D102" s="1476"/>
      <c r="E102" s="1476"/>
      <c r="F102" s="1476"/>
      <c r="G102" s="1476"/>
      <c r="H102" s="1476"/>
    </row>
    <row r="103" spans="1:8" ht="27" customHeight="1" x14ac:dyDescent="0.25">
      <c r="A103" s="1231"/>
      <c r="B103" s="1241"/>
      <c r="C103" s="1242"/>
      <c r="D103" s="1241"/>
      <c r="E103" s="1243"/>
      <c r="F103" s="1243"/>
      <c r="G103" s="1241"/>
      <c r="H103" s="1243"/>
    </row>
    <row r="104" spans="1:8" ht="14.25" customHeight="1" x14ac:dyDescent="0.25">
      <c r="A104" s="869"/>
      <c r="B104" s="1244"/>
      <c r="C104" s="1244"/>
      <c r="D104" s="1244"/>
      <c r="E104" s="1256"/>
      <c r="F104" s="1257"/>
      <c r="G104" s="1247"/>
      <c r="H104" s="1248"/>
    </row>
    <row r="105" spans="1:8" ht="14.25" customHeight="1" x14ac:dyDescent="0.25">
      <c r="A105" s="869"/>
      <c r="B105" s="1244"/>
      <c r="C105" s="1244"/>
      <c r="D105" s="1244"/>
      <c r="E105" s="1256"/>
      <c r="F105" s="1257"/>
      <c r="G105" s="1247"/>
      <c r="H105" s="1248"/>
    </row>
    <row r="106" spans="1:8" ht="14.25" customHeight="1" x14ac:dyDescent="0.25">
      <c r="A106" s="869"/>
      <c r="B106" s="1244"/>
      <c r="C106" s="1244"/>
      <c r="D106" s="1244"/>
      <c r="E106" s="1256"/>
      <c r="F106" s="1257"/>
      <c r="G106" s="1247"/>
      <c r="H106" s="1248"/>
    </row>
    <row r="107" spans="1:8" ht="14.25" customHeight="1" x14ac:dyDescent="0.25">
      <c r="A107" s="869"/>
      <c r="B107" s="1244"/>
      <c r="C107" s="1244"/>
      <c r="D107" s="1244"/>
      <c r="E107" s="1256"/>
      <c r="F107" s="1257"/>
      <c r="G107" s="1247"/>
      <c r="H107" s="1248"/>
    </row>
    <row r="108" spans="1:8" ht="14.25" customHeight="1" x14ac:dyDescent="0.25">
      <c r="A108" s="869"/>
      <c r="B108" s="1244"/>
      <c r="C108" s="1244"/>
      <c r="D108" s="1244"/>
      <c r="E108" s="1256"/>
      <c r="F108" s="1257"/>
      <c r="G108" s="1247"/>
      <c r="H108" s="1248"/>
    </row>
    <row r="109" spans="1:8" ht="12.75" customHeight="1" x14ac:dyDescent="0.25">
      <c r="A109" s="869"/>
      <c r="B109" s="1244"/>
      <c r="C109" s="1244"/>
      <c r="D109" s="1244"/>
      <c r="E109" s="1256"/>
      <c r="F109" s="1257"/>
      <c r="G109" s="1247"/>
      <c r="H109" s="1248"/>
    </row>
    <row r="110" spans="1:8" ht="15.5" x14ac:dyDescent="0.25">
      <c r="A110" s="869"/>
      <c r="B110" s="888"/>
      <c r="C110" s="863"/>
      <c r="D110" s="863"/>
      <c r="E110" s="863"/>
      <c r="F110" s="863"/>
      <c r="G110" s="863"/>
      <c r="H110" s="863"/>
    </row>
    <row r="111" spans="1:8" ht="20" x14ac:dyDescent="0.4">
      <c r="A111" s="869"/>
      <c r="B111" s="889"/>
      <c r="C111" s="869"/>
      <c r="D111" s="869"/>
      <c r="E111" s="869"/>
      <c r="F111" s="869"/>
      <c r="G111" s="869"/>
      <c r="H111" s="869"/>
    </row>
    <row r="112" spans="1:8" ht="17.75" customHeight="1" x14ac:dyDescent="0.25">
      <c r="A112" s="869"/>
      <c r="B112" s="869"/>
      <c r="C112" s="869"/>
      <c r="D112" s="869"/>
      <c r="E112" s="869"/>
      <c r="F112" s="869"/>
      <c r="G112" s="869"/>
      <c r="H112" s="869"/>
    </row>
    <row r="113" spans="1:8" ht="17.75" customHeight="1" x14ac:dyDescent="0.3">
      <c r="A113" s="1226"/>
      <c r="B113" s="1475"/>
      <c r="C113" s="1476"/>
      <c r="D113" s="1476"/>
      <c r="E113" s="1476"/>
      <c r="F113" s="1476"/>
      <c r="G113" s="1476"/>
      <c r="H113" s="1476"/>
    </row>
    <row r="114" spans="1:8" ht="25.5" customHeight="1" x14ac:dyDescent="0.3">
      <c r="A114" s="1226"/>
      <c r="B114" s="1475"/>
      <c r="C114" s="1476"/>
      <c r="D114" s="1476"/>
      <c r="E114" s="1476"/>
      <c r="F114" s="1476"/>
      <c r="G114" s="1476"/>
      <c r="H114" s="1476"/>
    </row>
    <row r="115" spans="1:8" ht="44.75" customHeight="1" x14ac:dyDescent="0.25">
      <c r="A115" s="1231"/>
      <c r="B115" s="1241"/>
      <c r="C115" s="1242"/>
      <c r="D115" s="1241"/>
      <c r="E115" s="1243"/>
      <c r="F115" s="1243"/>
      <c r="G115" s="1241"/>
      <c r="H115" s="1243"/>
    </row>
    <row r="116" spans="1:8" ht="14.25" customHeight="1" x14ac:dyDescent="0.25">
      <c r="A116" s="869"/>
      <c r="B116" s="1244"/>
      <c r="C116" s="1244"/>
      <c r="D116" s="1244"/>
      <c r="E116" s="1256"/>
      <c r="F116" s="1257"/>
      <c r="G116" s="1247"/>
      <c r="H116" s="1248"/>
    </row>
    <row r="117" spans="1:8" ht="14.25" customHeight="1" x14ac:dyDescent="0.25">
      <c r="A117" s="869"/>
      <c r="B117" s="1244"/>
      <c r="C117" s="1244"/>
      <c r="D117" s="1244"/>
      <c r="E117" s="1256"/>
      <c r="F117" s="1257"/>
      <c r="G117" s="1247"/>
      <c r="H117" s="1248"/>
    </row>
    <row r="118" spans="1:8" ht="14.25" customHeight="1" x14ac:dyDescent="0.25">
      <c r="A118" s="869"/>
      <c r="B118" s="1244"/>
      <c r="C118" s="1244"/>
      <c r="D118" s="1244"/>
      <c r="E118" s="1256"/>
      <c r="F118" s="1257"/>
      <c r="G118" s="1247"/>
      <c r="H118" s="1248"/>
    </row>
    <row r="119" spans="1:8" ht="14.25" customHeight="1" x14ac:dyDescent="0.25">
      <c r="A119" s="869"/>
      <c r="B119" s="1244"/>
      <c r="C119" s="1244"/>
      <c r="D119" s="1244"/>
      <c r="E119" s="1256"/>
      <c r="F119" s="1257"/>
      <c r="G119" s="1247"/>
      <c r="H119" s="1248"/>
    </row>
    <row r="120" spans="1:8" ht="14.25" customHeight="1" x14ac:dyDescent="0.25">
      <c r="A120" s="869"/>
      <c r="B120" s="1244"/>
      <c r="C120" s="1244"/>
      <c r="D120" s="1244"/>
      <c r="E120" s="1256"/>
      <c r="F120" s="1257"/>
      <c r="G120" s="1247"/>
      <c r="H120" s="1248"/>
    </row>
    <row r="121" spans="1:8" ht="14" x14ac:dyDescent="0.25">
      <c r="A121" s="869"/>
      <c r="B121" s="1244"/>
      <c r="C121" s="1244"/>
      <c r="D121" s="1244"/>
      <c r="E121" s="1256"/>
      <c r="F121" s="1257"/>
      <c r="G121" s="1247"/>
      <c r="H121" s="1248"/>
    </row>
    <row r="122" spans="1:8" ht="15.5" x14ac:dyDescent="0.25">
      <c r="A122" s="869"/>
      <c r="B122" s="888"/>
      <c r="C122" s="869"/>
      <c r="D122" s="869"/>
      <c r="E122" s="869"/>
      <c r="F122" s="869"/>
      <c r="G122" s="869"/>
      <c r="H122" s="869"/>
    </row>
    <row r="123" spans="1:8" ht="20" x14ac:dyDescent="0.4">
      <c r="A123" s="869"/>
      <c r="B123" s="889"/>
      <c r="C123" s="869"/>
      <c r="D123" s="869"/>
      <c r="E123" s="869"/>
      <c r="F123" s="869"/>
      <c r="G123" s="869"/>
      <c r="H123" s="869"/>
    </row>
    <row r="124" spans="1:8" x14ac:dyDescent="0.25">
      <c r="A124" s="869"/>
      <c r="B124" s="869"/>
      <c r="C124" s="869"/>
      <c r="D124" s="869"/>
      <c r="E124" s="869"/>
      <c r="F124" s="869"/>
      <c r="G124" s="869"/>
      <c r="H124" s="869"/>
    </row>
    <row r="125" spans="1:8" x14ac:dyDescent="0.25">
      <c r="A125" s="869"/>
      <c r="B125" s="869"/>
      <c r="C125" s="869"/>
      <c r="D125" s="869"/>
      <c r="E125" s="869"/>
      <c r="F125" s="869"/>
      <c r="G125" s="869"/>
      <c r="H125" s="869"/>
    </row>
    <row r="126" spans="1:8" x14ac:dyDescent="0.25">
      <c r="A126" s="869"/>
      <c r="B126" s="869"/>
      <c r="C126" s="869"/>
      <c r="D126" s="869"/>
      <c r="E126" s="869"/>
      <c r="F126" s="869"/>
      <c r="G126" s="869"/>
      <c r="H126" s="869"/>
    </row>
    <row r="127" spans="1:8" x14ac:dyDescent="0.25">
      <c r="A127" s="869"/>
      <c r="B127" s="869"/>
      <c r="C127" s="869"/>
      <c r="D127" s="869"/>
      <c r="E127" s="869"/>
      <c r="F127" s="869"/>
      <c r="G127" s="869"/>
      <c r="H127" s="869"/>
    </row>
    <row r="128" spans="1:8" x14ac:dyDescent="0.25">
      <c r="A128" s="869"/>
      <c r="B128" s="869"/>
      <c r="C128" s="869"/>
      <c r="D128" s="869"/>
      <c r="E128" s="869"/>
      <c r="F128" s="869"/>
      <c r="G128" s="869"/>
      <c r="H128" s="869"/>
    </row>
    <row r="129" spans="1:8" x14ac:dyDescent="0.25">
      <c r="A129" s="869"/>
      <c r="B129" s="869"/>
      <c r="C129" s="869"/>
      <c r="D129" s="869"/>
      <c r="E129" s="869"/>
      <c r="F129" s="869"/>
      <c r="G129" s="869"/>
      <c r="H129" s="869"/>
    </row>
    <row r="130" spans="1:8" x14ac:dyDescent="0.25">
      <c r="A130" s="869"/>
      <c r="B130" s="869"/>
      <c r="C130" s="869"/>
      <c r="D130" s="869"/>
      <c r="E130" s="869"/>
      <c r="F130" s="869"/>
      <c r="G130" s="869"/>
      <c r="H130" s="869"/>
    </row>
    <row r="131" spans="1:8" x14ac:dyDescent="0.25">
      <c r="A131" s="869"/>
      <c r="B131" s="869"/>
      <c r="C131" s="869"/>
      <c r="D131" s="869"/>
      <c r="E131" s="869"/>
      <c r="F131" s="869"/>
      <c r="G131" s="869"/>
      <c r="H131" s="869"/>
    </row>
  </sheetData>
  <mergeCells count="13">
    <mergeCell ref="B114:H114"/>
    <mergeCell ref="B88:H88"/>
    <mergeCell ref="B63:H63"/>
    <mergeCell ref="B101:H101"/>
    <mergeCell ref="B2:H3"/>
    <mergeCell ref="B113:H113"/>
    <mergeCell ref="B64:H64"/>
    <mergeCell ref="B102:H102"/>
    <mergeCell ref="AE2:AG3"/>
    <mergeCell ref="B75:H75"/>
    <mergeCell ref="B89:H89"/>
    <mergeCell ref="B76:H76"/>
    <mergeCell ref="R25:T25"/>
  </mergeCells>
  <printOptions horizontalCentered="1"/>
  <pageMargins left="0.5" right="0.5" top="1" bottom="0.5" header="0.3" footer="0.511811023622047"/>
  <pageSetup paperSize="9" scale="34"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rgb="FFFFFF00"/>
    <pageSetUpPr fitToPage="1"/>
  </sheetPr>
  <dimension ref="A1:AG109"/>
  <sheetViews>
    <sheetView topLeftCell="J1" zoomScale="70" zoomScaleNormal="70" workbookViewId="0">
      <selection activeCell="R52" sqref="Q52:R53"/>
    </sheetView>
  </sheetViews>
  <sheetFormatPr defaultColWidth="12.5" defaultRowHeight="12.5" x14ac:dyDescent="0.25"/>
  <cols>
    <col min="1" max="1" width="12.5" style="14" customWidth="1"/>
    <col min="2" max="2" width="37.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0" width="12.5" style="14" customWidth="1"/>
    <col min="11" max="11" width="9.1640625" style="14" customWidth="1"/>
    <col min="12" max="12" width="8.33203125" style="14" customWidth="1"/>
    <col min="13" max="17" width="5.08203125" style="14" customWidth="1"/>
    <col min="18" max="18" width="28.1640625" style="14" customWidth="1"/>
    <col min="19" max="19" width="12.5" style="14" customWidth="1"/>
    <col min="20" max="20" width="12.5" style="14"/>
    <col min="21" max="24" width="3.08203125" style="14" customWidth="1"/>
    <col min="25" max="27" width="12.5" style="14"/>
    <col min="28" max="28" width="6.75" style="14" customWidth="1"/>
    <col min="29" max="16384" width="12.5" style="14"/>
  </cols>
  <sheetData>
    <row r="1" spans="1:33" ht="28.5" customHeight="1" x14ac:dyDescent="0.25">
      <c r="B1" s="79" t="s">
        <v>235</v>
      </c>
      <c r="C1" s="80">
        <v>1000</v>
      </c>
      <c r="D1" s="81" t="s">
        <v>236</v>
      </c>
      <c r="E1" s="116">
        <f>S30</f>
        <v>19500</v>
      </c>
      <c r="F1" s="79" t="s">
        <v>237</v>
      </c>
      <c r="G1" s="116">
        <f>E1/C1</f>
        <v>19.5</v>
      </c>
      <c r="H1" s="79" t="s">
        <v>238</v>
      </c>
      <c r="I1" s="116">
        <f>G1/K1</f>
        <v>19.5</v>
      </c>
      <c r="J1" s="325" t="s">
        <v>239</v>
      </c>
      <c r="K1" s="326">
        <v>1</v>
      </c>
      <c r="L1" s="99"/>
      <c r="M1" s="99" t="s">
        <v>402</v>
      </c>
      <c r="N1" s="99"/>
      <c r="O1" s="99"/>
      <c r="P1" s="99"/>
      <c r="Q1" s="99"/>
      <c r="R1" s="99"/>
      <c r="S1" s="99"/>
      <c r="T1" s="99"/>
      <c r="U1" s="99"/>
      <c r="V1" s="99"/>
      <c r="Y1" s="90" t="s">
        <v>463</v>
      </c>
      <c r="Z1" s="835">
        <v>19500</v>
      </c>
      <c r="AA1" s="90" t="s">
        <v>578</v>
      </c>
      <c r="AB1" s="835">
        <v>0</v>
      </c>
      <c r="AC1" s="90" t="s">
        <v>567</v>
      </c>
      <c r="AD1" s="835">
        <v>130</v>
      </c>
    </row>
    <row r="2" spans="1:33" ht="12.75" customHeight="1" x14ac:dyDescent="0.25">
      <c r="A2" s="329"/>
      <c r="B2" s="1443" t="s">
        <v>403</v>
      </c>
      <c r="C2" s="1466"/>
      <c r="D2" s="1466"/>
      <c r="E2" s="1466"/>
      <c r="F2" s="1466"/>
      <c r="G2" s="1466"/>
      <c r="H2" s="1466"/>
      <c r="I2" s="99"/>
      <c r="J2" s="99"/>
      <c r="K2" s="99"/>
      <c r="L2" s="99"/>
      <c r="M2" s="99"/>
      <c r="N2" s="99"/>
      <c r="O2" s="99"/>
      <c r="P2" s="99"/>
      <c r="Q2" s="99"/>
      <c r="R2" s="99"/>
      <c r="S2" s="99"/>
      <c r="T2" s="99"/>
      <c r="U2" s="99"/>
      <c r="AE2" s="1452"/>
      <c r="AF2" s="1460"/>
      <c r="AG2" s="1460"/>
    </row>
    <row r="3" spans="1:33" ht="12.75" customHeight="1" x14ac:dyDescent="0.25">
      <c r="A3" s="329"/>
      <c r="B3" s="1444"/>
      <c r="C3" s="1444"/>
      <c r="D3" s="1444"/>
      <c r="E3" s="1444"/>
      <c r="F3" s="1444"/>
      <c r="G3" s="1444"/>
      <c r="H3" s="1444"/>
      <c r="I3" s="99"/>
      <c r="J3" s="99"/>
      <c r="K3" s="99"/>
      <c r="L3" s="99"/>
      <c r="M3" s="99"/>
      <c r="N3" s="99"/>
      <c r="O3" s="99"/>
      <c r="P3" s="99"/>
      <c r="Q3" s="99"/>
      <c r="R3" s="99"/>
      <c r="S3" s="99"/>
      <c r="T3" s="99"/>
      <c r="U3" s="99"/>
      <c r="AE3" s="1460"/>
      <c r="AF3" s="1460"/>
      <c r="AG3" s="1460"/>
    </row>
    <row r="4" spans="1:33" ht="68.75" customHeight="1" x14ac:dyDescent="0.25">
      <c r="A4" s="90" t="s">
        <v>1</v>
      </c>
      <c r="B4" s="90" t="s">
        <v>245</v>
      </c>
      <c r="C4" s="106" t="s">
        <v>246</v>
      </c>
      <c r="D4" s="90" t="s">
        <v>235</v>
      </c>
      <c r="E4" s="217" t="s">
        <v>238</v>
      </c>
      <c r="F4" s="107" t="s">
        <v>247</v>
      </c>
      <c r="G4" s="90" t="s">
        <v>248</v>
      </c>
      <c r="H4" s="106" t="s">
        <v>339</v>
      </c>
      <c r="I4" s="90" t="s">
        <v>250</v>
      </c>
      <c r="J4" s="90" t="s">
        <v>251</v>
      </c>
      <c r="K4" s="90" t="s">
        <v>252</v>
      </c>
      <c r="L4" s="90" t="s">
        <v>253</v>
      </c>
      <c r="M4" s="99"/>
      <c r="N4" s="99"/>
      <c r="O4" s="99"/>
      <c r="P4" s="99"/>
      <c r="Q4" s="99"/>
      <c r="R4" s="99"/>
      <c r="S4" s="99"/>
      <c r="T4" s="99"/>
      <c r="U4" s="99"/>
    </row>
    <row r="5" spans="1:33" ht="14.25" customHeight="1" x14ac:dyDescent="0.25">
      <c r="A5" s="218"/>
      <c r="B5" s="649"/>
      <c r="C5" s="650"/>
      <c r="D5" s="218"/>
      <c r="E5" s="651"/>
      <c r="F5" s="218"/>
      <c r="G5" s="218"/>
      <c r="H5" s="650"/>
      <c r="I5" s="80"/>
      <c r="J5" s="120"/>
      <c r="K5" s="121"/>
      <c r="L5" s="121"/>
    </row>
    <row r="6" spans="1:33" ht="14.25" customHeight="1" x14ac:dyDescent="0.25">
      <c r="A6" s="294" t="s">
        <v>13</v>
      </c>
      <c r="B6" s="22" t="s">
        <v>19</v>
      </c>
      <c r="C6" s="123" t="s">
        <v>14</v>
      </c>
      <c r="D6" s="1123">
        <v>450</v>
      </c>
      <c r="E6" s="115">
        <f t="shared" ref="E6:E14" si="0">$I$1</f>
        <v>19.5</v>
      </c>
      <c r="F6" s="126">
        <v>1</v>
      </c>
      <c r="G6" s="118">
        <f t="shared" ref="G6:G14" si="1">D6*E6</f>
        <v>8775</v>
      </c>
      <c r="H6" s="119">
        <f t="shared" ref="H6:H14" si="2">G6*F6</f>
        <v>8775</v>
      </c>
      <c r="I6" s="80">
        <f>VLOOKUP(B6,All_Ingredients!$A$1:$F$149,6,FALSE())</f>
        <v>0.84</v>
      </c>
      <c r="J6" s="120">
        <f>VLOOKUP(B6,All_Ingredients!$A$1:$J$149,10,FALSE())</f>
        <v>2.6</v>
      </c>
      <c r="K6" s="121">
        <f t="shared" ref="K6:K14" si="3">(H6/I6)/1000</f>
        <v>10.446428571428573</v>
      </c>
      <c r="L6" s="121">
        <f t="shared" ref="L6:L14" si="4">K6*J6</f>
        <v>27.160714285714292</v>
      </c>
    </row>
    <row r="7" spans="1:33" ht="14.25" customHeight="1" x14ac:dyDescent="0.25">
      <c r="A7" s="294" t="s">
        <v>13</v>
      </c>
      <c r="B7" s="22" t="s">
        <v>47</v>
      </c>
      <c r="C7" s="123" t="s">
        <v>14</v>
      </c>
      <c r="D7" s="1123">
        <v>450</v>
      </c>
      <c r="E7" s="115">
        <f t="shared" si="0"/>
        <v>19.5</v>
      </c>
      <c r="F7" s="126">
        <v>1</v>
      </c>
      <c r="G7" s="118">
        <f t="shared" si="1"/>
        <v>8775</v>
      </c>
      <c r="H7" s="119">
        <f t="shared" si="2"/>
        <v>8775</v>
      </c>
      <c r="I7" s="80">
        <f>VLOOKUP(B7,All_Ingredients!$A$1:$F$149,6,FALSE())</f>
        <v>0.78</v>
      </c>
      <c r="J7" s="120">
        <f>VLOOKUP(B7,All_Ingredients!$A$1:$J$149,10,FALSE())</f>
        <v>3.7</v>
      </c>
      <c r="K7" s="121">
        <f t="shared" si="3"/>
        <v>11.25</v>
      </c>
      <c r="L7" s="121">
        <f t="shared" si="4"/>
        <v>41.625</v>
      </c>
    </row>
    <row r="8" spans="1:33" ht="14.25" customHeight="1" x14ac:dyDescent="0.25">
      <c r="A8" s="294" t="s">
        <v>13</v>
      </c>
      <c r="B8" s="22" t="s">
        <v>28</v>
      </c>
      <c r="C8" s="123" t="s">
        <v>14</v>
      </c>
      <c r="D8" s="1123">
        <v>80</v>
      </c>
      <c r="E8" s="115">
        <f t="shared" si="0"/>
        <v>19.5</v>
      </c>
      <c r="F8" s="126">
        <v>1</v>
      </c>
      <c r="G8" s="118">
        <f t="shared" si="1"/>
        <v>1560</v>
      </c>
      <c r="H8" s="119">
        <f t="shared" si="2"/>
        <v>1560</v>
      </c>
      <c r="I8" s="80">
        <f>VLOOKUP(B8,All_Ingredients!$A$1:$F$149,6,FALSE())</f>
        <v>0.73</v>
      </c>
      <c r="J8" s="120">
        <f>VLOOKUP(B8,All_Ingredients!$A$1:$J$149,10,FALSE())</f>
        <v>8.5</v>
      </c>
      <c r="K8" s="121">
        <f t="shared" si="3"/>
        <v>2.1369863013698631</v>
      </c>
      <c r="L8" s="121">
        <f t="shared" si="4"/>
        <v>18.164383561643838</v>
      </c>
    </row>
    <row r="9" spans="1:33" ht="14.25" customHeight="1" x14ac:dyDescent="0.25">
      <c r="A9" s="294" t="s">
        <v>13</v>
      </c>
      <c r="B9" s="22" t="s">
        <v>30</v>
      </c>
      <c r="C9" s="123" t="s">
        <v>14</v>
      </c>
      <c r="D9" s="1123">
        <v>80</v>
      </c>
      <c r="E9" s="115">
        <f t="shared" si="0"/>
        <v>19.5</v>
      </c>
      <c r="F9" s="126">
        <v>1</v>
      </c>
      <c r="G9" s="118">
        <f t="shared" si="1"/>
        <v>1560</v>
      </c>
      <c r="H9" s="119">
        <f t="shared" si="2"/>
        <v>1560</v>
      </c>
      <c r="I9" s="80">
        <f>VLOOKUP(B9,All_Ingredients!$A$1:$F$149,6,FALSE())</f>
        <v>0.71</v>
      </c>
      <c r="J9" s="120">
        <f>VLOOKUP(B9,All_Ingredients!$A$1:$J$149,10,FALSE())</f>
        <v>8.5</v>
      </c>
      <c r="K9" s="121">
        <f t="shared" si="3"/>
        <v>2.1971830985915495</v>
      </c>
      <c r="L9" s="121">
        <f t="shared" si="4"/>
        <v>18.676056338028172</v>
      </c>
    </row>
    <row r="10" spans="1:33" ht="14.25" customHeight="1" x14ac:dyDescent="0.25">
      <c r="A10" s="294" t="s">
        <v>13</v>
      </c>
      <c r="B10" s="22" t="s">
        <v>32</v>
      </c>
      <c r="C10" s="123" t="s">
        <v>14</v>
      </c>
      <c r="D10" s="1123">
        <v>80</v>
      </c>
      <c r="E10" s="115">
        <f t="shared" si="0"/>
        <v>19.5</v>
      </c>
      <c r="F10" s="126">
        <v>1</v>
      </c>
      <c r="G10" s="118">
        <f t="shared" si="1"/>
        <v>1560</v>
      </c>
      <c r="H10" s="119">
        <f t="shared" si="2"/>
        <v>1560</v>
      </c>
      <c r="I10" s="80">
        <f>VLOOKUP(B10,All_Ingredients!$A$1:$F$149,6,FALSE())</f>
        <v>0.69</v>
      </c>
      <c r="J10" s="120">
        <f>VLOOKUP(B10,All_Ingredients!$A$1:$J$149,10,FALSE())</f>
        <v>4</v>
      </c>
      <c r="K10" s="121">
        <f t="shared" si="3"/>
        <v>2.2608695652173916</v>
      </c>
      <c r="L10" s="121">
        <f t="shared" si="4"/>
        <v>9.0434782608695663</v>
      </c>
    </row>
    <row r="11" spans="1:33" ht="14.25" customHeight="1" x14ac:dyDescent="0.25">
      <c r="A11" s="294" t="s">
        <v>13</v>
      </c>
      <c r="B11" s="22" t="s">
        <v>50</v>
      </c>
      <c r="C11" s="123" t="s">
        <v>14</v>
      </c>
      <c r="D11" s="1123">
        <v>80</v>
      </c>
      <c r="E11" s="115">
        <f t="shared" si="0"/>
        <v>19.5</v>
      </c>
      <c r="F11" s="126">
        <v>1</v>
      </c>
      <c r="G11" s="118">
        <f t="shared" si="1"/>
        <v>1560</v>
      </c>
      <c r="H11" s="119">
        <f t="shared" si="2"/>
        <v>1560</v>
      </c>
      <c r="I11" s="80">
        <f>VLOOKUP(B11,All_Ingredients!$A$1:$F$149,6,FALSE())</f>
        <v>0.75</v>
      </c>
      <c r="J11" s="120">
        <f>VLOOKUP(B11,All_Ingredients!$A$1:$J$149,10,FALSE())</f>
        <v>20</v>
      </c>
      <c r="K11" s="121">
        <f t="shared" si="3"/>
        <v>2.08</v>
      </c>
      <c r="L11" s="121">
        <f t="shared" si="4"/>
        <v>41.6</v>
      </c>
    </row>
    <row r="12" spans="1:33" ht="14.25" customHeight="1" x14ac:dyDescent="0.25">
      <c r="A12" s="294" t="s">
        <v>220</v>
      </c>
      <c r="B12" s="22" t="s">
        <v>545</v>
      </c>
      <c r="C12" s="123" t="s">
        <v>14</v>
      </c>
      <c r="D12" s="1123">
        <v>80</v>
      </c>
      <c r="E12" s="115">
        <f t="shared" si="0"/>
        <v>19.5</v>
      </c>
      <c r="F12" s="126">
        <v>1</v>
      </c>
      <c r="G12" s="118">
        <f t="shared" si="1"/>
        <v>1560</v>
      </c>
      <c r="H12" s="119">
        <f t="shared" si="2"/>
        <v>1560</v>
      </c>
      <c r="I12" s="80">
        <f>VLOOKUP(B12,All_Ingredients!$A$1:$F$149,6,FALSE())</f>
        <v>1</v>
      </c>
      <c r="J12" s="120">
        <f>VLOOKUP(B12,All_Ingredients!$A$1:$J$149,10,FALSE())</f>
        <v>10.196078431372548</v>
      </c>
      <c r="K12" s="121">
        <f t="shared" si="3"/>
        <v>1.56</v>
      </c>
      <c r="L12" s="121">
        <f t="shared" si="4"/>
        <v>15.905882352941177</v>
      </c>
    </row>
    <row r="13" spans="1:33" ht="14.25" customHeight="1" x14ac:dyDescent="0.25">
      <c r="A13" s="294" t="s">
        <v>95</v>
      </c>
      <c r="B13" s="322" t="s">
        <v>94</v>
      </c>
      <c r="C13" s="123" t="s">
        <v>14</v>
      </c>
      <c r="D13" s="115">
        <v>4</v>
      </c>
      <c r="E13" s="115">
        <f t="shared" si="0"/>
        <v>19.5</v>
      </c>
      <c r="F13" s="126">
        <v>0.75</v>
      </c>
      <c r="G13" s="118">
        <f t="shared" si="1"/>
        <v>78</v>
      </c>
      <c r="H13" s="119">
        <f t="shared" si="2"/>
        <v>58.5</v>
      </c>
      <c r="I13" s="80">
        <f>VLOOKUP(B13,All_Ingredients!$A$1:$F$149,6,FALSE())</f>
        <v>1</v>
      </c>
      <c r="J13" s="120">
        <f>VLOOKUP(B13,All_Ingredients!$A$1:$J$149,10,FALSE())</f>
        <v>0.74</v>
      </c>
      <c r="K13" s="121">
        <f t="shared" si="3"/>
        <v>5.8500000000000003E-2</v>
      </c>
      <c r="L13" s="121">
        <f t="shared" si="4"/>
        <v>4.3290000000000002E-2</v>
      </c>
    </row>
    <row r="14" spans="1:33" ht="14.25" customHeight="1" x14ac:dyDescent="0.25">
      <c r="A14" s="294" t="s">
        <v>95</v>
      </c>
      <c r="B14" s="322" t="s">
        <v>100</v>
      </c>
      <c r="C14" s="123" t="s">
        <v>14</v>
      </c>
      <c r="D14" s="196">
        <v>0.5</v>
      </c>
      <c r="E14" s="115">
        <f t="shared" si="0"/>
        <v>19.5</v>
      </c>
      <c r="F14" s="126">
        <v>1</v>
      </c>
      <c r="G14" s="118">
        <f t="shared" si="1"/>
        <v>9.75</v>
      </c>
      <c r="H14" s="119">
        <f t="shared" si="2"/>
        <v>9.75</v>
      </c>
      <c r="I14" s="80">
        <f>VLOOKUP(B14,All_Ingredients!$A$1:$F$149,6,FALSE())</f>
        <v>1</v>
      </c>
      <c r="J14" s="120">
        <f>VLOOKUP(B14,All_Ingredients!$A$1:$J$149,10,FALSE())</f>
        <v>31</v>
      </c>
      <c r="K14" s="121">
        <f t="shared" si="3"/>
        <v>9.75E-3</v>
      </c>
      <c r="L14" s="121">
        <f t="shared" si="4"/>
        <v>0.30225000000000002</v>
      </c>
    </row>
    <row r="15" spans="1:33" ht="14.25" customHeight="1" x14ac:dyDescent="0.25">
      <c r="B15" s="355"/>
      <c r="C15" s="356"/>
      <c r="D15" s="358"/>
      <c r="E15" s="358"/>
      <c r="F15" s="359"/>
      <c r="G15" s="360"/>
      <c r="H15" s="361"/>
    </row>
    <row r="16" spans="1:33" ht="14.25" customHeight="1" x14ac:dyDescent="0.25">
      <c r="E16" s="224"/>
      <c r="F16" s="135"/>
      <c r="G16" s="139"/>
      <c r="H16" s="137"/>
    </row>
    <row r="17" spans="2:29" ht="14.25" customHeight="1" x14ac:dyDescent="0.25">
      <c r="E17" s="99"/>
      <c r="F17" s="99"/>
    </row>
    <row r="18" spans="2:29" ht="14.25" customHeight="1" x14ac:dyDescent="0.25">
      <c r="E18" s="99"/>
      <c r="F18" s="99"/>
    </row>
    <row r="19" spans="2:29" ht="14.25" customHeight="1" x14ac:dyDescent="0.25">
      <c r="E19" s="99"/>
      <c r="F19" s="99"/>
    </row>
    <row r="20" spans="2:29" ht="14.25" customHeight="1" x14ac:dyDescent="0.25">
      <c r="E20" s="99"/>
      <c r="F20" s="99"/>
    </row>
    <row r="21" spans="2:29" ht="14.25" customHeight="1" x14ac:dyDescent="0.25">
      <c r="E21" s="99"/>
      <c r="F21" s="99"/>
    </row>
    <row r="22" spans="2:29" ht="14.25" customHeight="1" x14ac:dyDescent="0.3">
      <c r="B22" s="11"/>
      <c r="C22" s="335"/>
      <c r="D22" s="336"/>
      <c r="E22" s="99"/>
      <c r="F22" s="99"/>
    </row>
    <row r="23" spans="2:29" ht="14.25" customHeight="1" x14ac:dyDescent="0.3">
      <c r="B23" s="11"/>
      <c r="C23" s="335"/>
      <c r="D23" s="336"/>
      <c r="E23" s="99"/>
      <c r="F23" s="99"/>
    </row>
    <row r="24" spans="2:29" ht="14.25" customHeight="1" x14ac:dyDescent="0.3">
      <c r="B24" s="11"/>
      <c r="C24" s="335"/>
      <c r="D24" s="336"/>
      <c r="E24" s="99"/>
      <c r="F24" s="99"/>
      <c r="Z24" s="1208"/>
    </row>
    <row r="25" spans="2:29" ht="14.25" customHeight="1" x14ac:dyDescent="0.3">
      <c r="B25" s="11"/>
      <c r="C25" s="335"/>
      <c r="D25" s="336"/>
      <c r="E25" s="99"/>
      <c r="F25" s="99"/>
      <c r="R25" s="1467" t="s">
        <v>404</v>
      </c>
      <c r="S25" s="1444"/>
      <c r="T25" s="1444"/>
      <c r="Z25" s="140" t="s">
        <v>14</v>
      </c>
      <c r="AA25" s="141">
        <v>1</v>
      </c>
      <c r="AB25" s="140" t="s">
        <v>253</v>
      </c>
      <c r="AC25" s="142">
        <f>(S33/S30)*AA25</f>
        <v>8.8472335794460028E-3</v>
      </c>
    </row>
    <row r="26" spans="2:29" ht="14.25" customHeight="1" x14ac:dyDescent="0.3">
      <c r="B26" s="11"/>
      <c r="C26" s="335"/>
      <c r="D26" s="336"/>
      <c r="E26" s="99"/>
      <c r="F26" s="99"/>
      <c r="R26" s="1477" t="s">
        <v>342</v>
      </c>
      <c r="S26" s="1446"/>
      <c r="T26" s="1446"/>
    </row>
    <row r="27" spans="2:29" ht="14.25" customHeight="1" x14ac:dyDescent="0.3">
      <c r="B27" s="11"/>
      <c r="C27" s="335"/>
      <c r="D27" s="336"/>
      <c r="E27" s="99"/>
      <c r="F27" s="99"/>
      <c r="R27" s="144" t="s">
        <v>258</v>
      </c>
      <c r="S27" s="144" t="s">
        <v>343</v>
      </c>
      <c r="T27" s="144" t="s">
        <v>261</v>
      </c>
    </row>
    <row r="28" spans="2:29" ht="14.25" customHeight="1" x14ac:dyDescent="0.3">
      <c r="B28" s="11"/>
      <c r="C28" s="335"/>
      <c r="D28" s="336"/>
      <c r="E28" s="99"/>
      <c r="F28" s="99"/>
      <c r="R28" s="144" t="s">
        <v>267</v>
      </c>
      <c r="S28" s="785">
        <f>T28</f>
        <v>19500</v>
      </c>
      <c r="T28" s="784">
        <f>$Z$1</f>
        <v>19500</v>
      </c>
    </row>
    <row r="29" spans="2:29" ht="14.25" customHeight="1" x14ac:dyDescent="0.3">
      <c r="B29" s="11"/>
      <c r="C29" s="335"/>
      <c r="D29" s="336"/>
      <c r="E29" s="99"/>
      <c r="F29" s="99"/>
      <c r="R29" s="144" t="s">
        <v>269</v>
      </c>
      <c r="S29" s="784">
        <f>$AB$1</f>
        <v>0</v>
      </c>
      <c r="T29" s="787">
        <f>S29</f>
        <v>0</v>
      </c>
    </row>
    <row r="30" spans="2:29" ht="14.25" customHeight="1" x14ac:dyDescent="0.3">
      <c r="B30" s="11"/>
      <c r="C30" s="335"/>
      <c r="D30" s="336"/>
      <c r="E30" s="99"/>
      <c r="F30" s="99"/>
      <c r="R30" s="144" t="s">
        <v>261</v>
      </c>
      <c r="S30" s="338">
        <f>SUM(S28:S29)</f>
        <v>19500</v>
      </c>
      <c r="T30" s="338">
        <f>S30</f>
        <v>19500</v>
      </c>
    </row>
    <row r="31" spans="2:29" ht="14.25" customHeight="1" x14ac:dyDescent="0.3">
      <c r="B31" s="11"/>
      <c r="C31" s="335"/>
      <c r="D31" s="336"/>
      <c r="E31" s="99"/>
      <c r="F31" s="99"/>
    </row>
    <row r="32" spans="2:29" ht="14.25" customHeight="1" thickBot="1" x14ac:dyDescent="0.35">
      <c r="B32" s="11"/>
      <c r="C32" s="335"/>
      <c r="D32" s="336"/>
      <c r="E32" s="99"/>
      <c r="F32" s="99"/>
    </row>
    <row r="33" spans="2:20" ht="14.25" customHeight="1" thickBot="1" x14ac:dyDescent="0.35">
      <c r="B33" s="11"/>
      <c r="C33" s="335"/>
      <c r="D33" s="336"/>
      <c r="E33" s="99"/>
      <c r="F33" s="99"/>
      <c r="R33" s="162" t="s">
        <v>253</v>
      </c>
      <c r="S33" s="1125">
        <f>SUM(L6:L14)</f>
        <v>172.52105479919706</v>
      </c>
      <c r="T33" s="1196">
        <f>S33</f>
        <v>172.52105479919706</v>
      </c>
    </row>
    <row r="34" spans="2:20" ht="14.25" customHeight="1" x14ac:dyDescent="0.3">
      <c r="B34" s="11"/>
      <c r="C34" s="335"/>
      <c r="D34" s="336"/>
      <c r="E34" s="99"/>
      <c r="F34" s="99"/>
    </row>
    <row r="35" spans="2:20" ht="14.25" customHeight="1" x14ac:dyDescent="0.3">
      <c r="B35" s="11"/>
      <c r="C35" s="335"/>
      <c r="D35" s="336"/>
      <c r="E35" s="99"/>
      <c r="F35" s="99"/>
    </row>
    <row r="36" spans="2:20" ht="14.25" customHeight="1" x14ac:dyDescent="0.3">
      <c r="B36" s="11"/>
      <c r="C36" s="335"/>
      <c r="D36" s="336"/>
      <c r="E36" s="99"/>
      <c r="F36" s="99"/>
    </row>
    <row r="37" spans="2:20" ht="14.25" customHeight="1" x14ac:dyDescent="0.3">
      <c r="B37" s="11"/>
      <c r="C37" s="335"/>
      <c r="D37" s="336"/>
      <c r="E37" s="99"/>
      <c r="F37" s="99"/>
    </row>
    <row r="38" spans="2:20" ht="14.25" customHeight="1" x14ac:dyDescent="0.3">
      <c r="B38" s="11"/>
      <c r="C38" s="335"/>
      <c r="D38" s="336"/>
      <c r="E38" s="99"/>
      <c r="F38" s="99"/>
    </row>
    <row r="39" spans="2:20" ht="14.25" customHeight="1" x14ac:dyDescent="0.3">
      <c r="B39" s="11"/>
      <c r="C39" s="335"/>
      <c r="D39" s="336"/>
      <c r="E39" s="99"/>
      <c r="F39" s="99"/>
    </row>
    <row r="40" spans="2:20" ht="14.25" customHeight="1" x14ac:dyDescent="0.3">
      <c r="B40" s="11"/>
      <c r="C40" s="335"/>
      <c r="D40" s="336"/>
      <c r="E40" s="99"/>
      <c r="F40" s="99"/>
    </row>
    <row r="41" spans="2:20" ht="14.25" customHeight="1" x14ac:dyDescent="0.3">
      <c r="B41" s="11"/>
      <c r="C41" s="335"/>
      <c r="D41" s="336"/>
      <c r="E41" s="99"/>
      <c r="F41" s="99"/>
    </row>
    <row r="42" spans="2:20" ht="14.25" customHeight="1" x14ac:dyDescent="0.3">
      <c r="B42" s="11"/>
      <c r="C42" s="335"/>
      <c r="D42" s="336"/>
      <c r="E42" s="99"/>
      <c r="F42" s="99"/>
    </row>
    <row r="43" spans="2:20" ht="14" customHeight="1" x14ac:dyDescent="0.3">
      <c r="B43" s="11"/>
      <c r="C43" s="335"/>
      <c r="D43" s="336"/>
      <c r="E43" s="99"/>
      <c r="F43" s="99"/>
    </row>
    <row r="44" spans="2:20" ht="14" customHeight="1" x14ac:dyDescent="0.3">
      <c r="B44" s="11"/>
      <c r="C44" s="335"/>
      <c r="D44" s="336"/>
      <c r="E44" s="99"/>
      <c r="F44" s="99"/>
    </row>
    <row r="45" spans="2:20" ht="14.25" customHeight="1" x14ac:dyDescent="0.3">
      <c r="B45" s="11"/>
      <c r="C45" s="335"/>
      <c r="D45" s="336"/>
      <c r="E45" s="99"/>
      <c r="F45" s="99"/>
    </row>
    <row r="46" spans="2:20" ht="14.25" customHeight="1" x14ac:dyDescent="0.3">
      <c r="B46" s="11"/>
      <c r="C46" s="335"/>
      <c r="D46" s="336"/>
      <c r="E46" s="99"/>
      <c r="F46" s="99"/>
    </row>
    <row r="47" spans="2:20" ht="19.5" customHeight="1" x14ac:dyDescent="0.3">
      <c r="B47" s="11"/>
      <c r="C47" s="335"/>
      <c r="D47" s="336"/>
      <c r="E47" s="99"/>
      <c r="F47" s="99"/>
    </row>
    <row r="48" spans="2:20" ht="14.25" customHeight="1" x14ac:dyDescent="0.3">
      <c r="B48" s="11"/>
      <c r="C48" s="335"/>
      <c r="D48" s="336"/>
      <c r="E48" s="99"/>
      <c r="F48" s="99"/>
    </row>
    <row r="49" spans="1:8" ht="12" customHeight="1" x14ac:dyDescent="0.3">
      <c r="B49" s="11"/>
      <c r="C49" s="335"/>
      <c r="D49" s="336"/>
      <c r="E49" s="99"/>
      <c r="F49" s="99"/>
    </row>
    <row r="50" spans="1:8" ht="14.25" customHeight="1" x14ac:dyDescent="0.3">
      <c r="B50" s="225"/>
      <c r="C50" s="225" t="s">
        <v>237</v>
      </c>
      <c r="D50" s="225" t="s">
        <v>283</v>
      </c>
      <c r="E50" s="99"/>
      <c r="F50" s="99"/>
    </row>
    <row r="51" spans="1:8" ht="14" x14ac:dyDescent="0.3">
      <c r="B51" s="179" t="s">
        <v>287</v>
      </c>
      <c r="C51" s="180">
        <f>10/$K$1</f>
        <v>10</v>
      </c>
      <c r="D51" s="181">
        <f>$C$1*10</f>
        <v>10000</v>
      </c>
      <c r="E51" s="99"/>
      <c r="F51" s="99"/>
    </row>
    <row r="52" spans="1:8" ht="14.25" customHeight="1" x14ac:dyDescent="0.3">
      <c r="B52" s="230" t="s">
        <v>261</v>
      </c>
      <c r="C52" s="232">
        <f>G1</f>
        <v>19.5</v>
      </c>
      <c r="D52" s="232">
        <f>E1</f>
        <v>19500</v>
      </c>
      <c r="E52" s="99"/>
      <c r="F52" s="99"/>
    </row>
    <row r="53" spans="1:8" ht="14.25" customHeight="1" x14ac:dyDescent="0.3">
      <c r="B53" s="230" t="s">
        <v>288</v>
      </c>
      <c r="C53" s="233">
        <f>MIN($C$52, $C$51)</f>
        <v>10</v>
      </c>
      <c r="D53" s="232">
        <f>(C53*$K$1)*$C$1</f>
        <v>10000</v>
      </c>
      <c r="E53" s="99"/>
      <c r="F53" s="99"/>
    </row>
    <row r="54" spans="1:8" ht="14.25" customHeight="1" x14ac:dyDescent="0.3">
      <c r="B54" s="230" t="s">
        <v>289</v>
      </c>
      <c r="C54" s="233">
        <f>MIN(MAX($C$52-C53,0),$C$51)</f>
        <v>9.5</v>
      </c>
      <c r="D54" s="232">
        <f>(C54*$K$1)*$C$1</f>
        <v>9500</v>
      </c>
      <c r="E54" s="99"/>
      <c r="F54" s="99"/>
    </row>
    <row r="55" spans="1:8" ht="14.25" customHeight="1" x14ac:dyDescent="0.3">
      <c r="B55" s="230" t="s">
        <v>290</v>
      </c>
      <c r="C55" s="233">
        <f>MIN(MAX($C$52-C53-C54,0),$C$51)</f>
        <v>0</v>
      </c>
      <c r="D55" s="232">
        <f>(C55*$K$1)*$C$1</f>
        <v>0</v>
      </c>
      <c r="E55" s="99"/>
      <c r="F55" s="99"/>
    </row>
    <row r="56" spans="1:8" ht="14.25" customHeight="1" x14ac:dyDescent="0.3">
      <c r="B56" s="11"/>
      <c r="C56" s="335"/>
      <c r="D56" s="336"/>
      <c r="E56" s="99"/>
      <c r="F56" s="99"/>
    </row>
    <row r="57" spans="1:8" ht="14.25" customHeight="1" x14ac:dyDescent="0.3">
      <c r="B57" s="11"/>
      <c r="C57" s="335"/>
      <c r="D57" s="336"/>
      <c r="E57" s="99"/>
      <c r="F57" s="99"/>
    </row>
    <row r="58" spans="1:8" ht="14.25" customHeight="1" x14ac:dyDescent="0.3">
      <c r="B58" s="11"/>
      <c r="C58" s="335"/>
      <c r="D58" s="336"/>
      <c r="E58" s="99"/>
      <c r="F58" s="99"/>
    </row>
    <row r="59" spans="1:8" ht="14.25" customHeight="1" x14ac:dyDescent="0.3">
      <c r="B59" s="11"/>
      <c r="C59" s="335"/>
      <c r="D59" s="336"/>
      <c r="E59" s="99"/>
      <c r="F59" s="99"/>
    </row>
    <row r="60" spans="1:8" ht="12.75" customHeight="1" x14ac:dyDescent="0.3">
      <c r="B60" s="11"/>
      <c r="C60" s="335"/>
      <c r="D60" s="336"/>
      <c r="E60" s="99"/>
      <c r="F60" s="99"/>
    </row>
    <row r="61" spans="1:8" ht="12.75" customHeight="1" x14ac:dyDescent="0.25">
      <c r="E61" s="99"/>
      <c r="F61" s="99"/>
    </row>
    <row r="62" spans="1:8" ht="12.75" customHeight="1" x14ac:dyDescent="0.3">
      <c r="A62" s="927"/>
      <c r="B62" s="1438" t="s">
        <v>830</v>
      </c>
      <c r="C62" s="1439"/>
      <c r="D62" s="1439"/>
      <c r="E62" s="1439"/>
      <c r="F62" s="1439"/>
      <c r="G62" s="1439"/>
      <c r="H62" s="1439"/>
    </row>
    <row r="63" spans="1:8" ht="17.75" customHeight="1" x14ac:dyDescent="0.3">
      <c r="A63" s="927"/>
      <c r="B63" s="1436" t="s">
        <v>403</v>
      </c>
      <c r="C63" s="1437"/>
      <c r="D63" s="1437"/>
      <c r="E63" s="1437"/>
      <c r="F63" s="1437"/>
      <c r="G63" s="1437"/>
      <c r="H63" s="1437"/>
    </row>
    <row r="64" spans="1:8" ht="27.5" customHeight="1" x14ac:dyDescent="0.25">
      <c r="A64" s="90"/>
      <c r="B64" s="242" t="s">
        <v>245</v>
      </c>
      <c r="C64" s="243" t="s">
        <v>246</v>
      </c>
      <c r="D64" s="244" t="s">
        <v>235</v>
      </c>
      <c r="E64" s="217" t="s">
        <v>238</v>
      </c>
      <c r="F64" s="217" t="s">
        <v>247</v>
      </c>
      <c r="G64" s="244" t="s">
        <v>248</v>
      </c>
      <c r="H64" s="217" t="s">
        <v>249</v>
      </c>
    </row>
    <row r="65" spans="1:8" ht="14" x14ac:dyDescent="0.25">
      <c r="A65" s="294" t="s">
        <v>13</v>
      </c>
      <c r="B65" s="322" t="str">
        <f t="shared" ref="B65:D73" si="5">B6</f>
        <v>Carrot - جزر</v>
      </c>
      <c r="C65" s="123" t="str">
        <f t="shared" si="5"/>
        <v>gm</v>
      </c>
      <c r="D65" s="115">
        <f t="shared" si="5"/>
        <v>450</v>
      </c>
      <c r="E65" s="115">
        <f>$C$52</f>
        <v>19.5</v>
      </c>
      <c r="F65" s="126">
        <f t="shared" ref="F65:F73" si="6">F6</f>
        <v>1</v>
      </c>
      <c r="G65" s="118">
        <f t="shared" ref="G65:G73" si="7">D65*E65</f>
        <v>8775</v>
      </c>
      <c r="H65" s="119">
        <f t="shared" ref="H65:H73" si="8">G65*F65</f>
        <v>8775</v>
      </c>
    </row>
    <row r="66" spans="1:8" ht="14" x14ac:dyDescent="0.25">
      <c r="A66" s="294" t="s">
        <v>13</v>
      </c>
      <c r="B66" s="322" t="str">
        <f t="shared" si="5"/>
        <v>Zucchini - كوسة</v>
      </c>
      <c r="C66" s="123" t="str">
        <f t="shared" si="5"/>
        <v>gm</v>
      </c>
      <c r="D66" s="115">
        <f t="shared" si="5"/>
        <v>450</v>
      </c>
      <c r="E66" s="115">
        <f t="shared" ref="E66:E73" si="9">$C$52</f>
        <v>19.5</v>
      </c>
      <c r="F66" s="126">
        <f t="shared" si="6"/>
        <v>1</v>
      </c>
      <c r="G66" s="118">
        <f t="shared" si="7"/>
        <v>8775</v>
      </c>
      <c r="H66" s="119">
        <f t="shared" si="8"/>
        <v>8775</v>
      </c>
    </row>
    <row r="67" spans="1:8" ht="14.25" customHeight="1" x14ac:dyDescent="0.25">
      <c r="A67" s="294" t="s">
        <v>13</v>
      </c>
      <c r="B67" s="322" t="str">
        <f t="shared" si="5"/>
        <v xml:space="preserve">Red Bell Pepper - فلفل أحمر </v>
      </c>
      <c r="C67" s="123" t="str">
        <f t="shared" si="5"/>
        <v>gm</v>
      </c>
      <c r="D67" s="115">
        <f t="shared" si="5"/>
        <v>80</v>
      </c>
      <c r="E67" s="115">
        <f t="shared" si="9"/>
        <v>19.5</v>
      </c>
      <c r="F67" s="126">
        <f t="shared" si="6"/>
        <v>1</v>
      </c>
      <c r="G67" s="118">
        <f t="shared" si="7"/>
        <v>1560</v>
      </c>
      <c r="H67" s="119">
        <f t="shared" si="8"/>
        <v>1560</v>
      </c>
    </row>
    <row r="68" spans="1:8" ht="14.25" customHeight="1" x14ac:dyDescent="0.25">
      <c r="A68" s="294" t="s">
        <v>13</v>
      </c>
      <c r="B68" s="322" t="str">
        <f t="shared" si="5"/>
        <v xml:space="preserve">Yellow Bell Pepper - فلفل أصفر </v>
      </c>
      <c r="C68" s="123" t="str">
        <f t="shared" si="5"/>
        <v>gm</v>
      </c>
      <c r="D68" s="115">
        <f t="shared" si="5"/>
        <v>80</v>
      </c>
      <c r="E68" s="115">
        <f t="shared" si="9"/>
        <v>19.5</v>
      </c>
      <c r="F68" s="126">
        <f t="shared" si="6"/>
        <v>1</v>
      </c>
      <c r="G68" s="118">
        <f t="shared" si="7"/>
        <v>1560</v>
      </c>
      <c r="H68" s="119">
        <f t="shared" si="8"/>
        <v>1560</v>
      </c>
    </row>
    <row r="69" spans="1:8" ht="14.25" customHeight="1" x14ac:dyDescent="0.25">
      <c r="A69" s="294" t="s">
        <v>13</v>
      </c>
      <c r="B69" s="322" t="str">
        <f t="shared" si="5"/>
        <v>Green Bell Pepper - فلفل أخضر رومى</v>
      </c>
      <c r="C69" s="123" t="str">
        <f t="shared" si="5"/>
        <v>gm</v>
      </c>
      <c r="D69" s="115">
        <f t="shared" si="5"/>
        <v>80</v>
      </c>
      <c r="E69" s="115">
        <f t="shared" si="9"/>
        <v>19.5</v>
      </c>
      <c r="F69" s="126">
        <f t="shared" si="6"/>
        <v>1</v>
      </c>
      <c r="G69" s="118">
        <f t="shared" si="7"/>
        <v>1560</v>
      </c>
      <c r="H69" s="119">
        <f t="shared" si="8"/>
        <v>1560</v>
      </c>
    </row>
    <row r="70" spans="1:8" ht="14.25" customHeight="1" x14ac:dyDescent="0.25">
      <c r="A70" s="294" t="s">
        <v>13</v>
      </c>
      <c r="B70" s="322" t="str">
        <f t="shared" si="5"/>
        <v>Chinese Cabbage - ملفوف صيني</v>
      </c>
      <c r="C70" s="123" t="str">
        <f t="shared" si="5"/>
        <v>gm</v>
      </c>
      <c r="D70" s="115">
        <f t="shared" si="5"/>
        <v>80</v>
      </c>
      <c r="E70" s="115">
        <f t="shared" si="9"/>
        <v>19.5</v>
      </c>
      <c r="F70" s="126">
        <f t="shared" si="6"/>
        <v>1</v>
      </c>
      <c r="G70" s="118">
        <f t="shared" si="7"/>
        <v>1560</v>
      </c>
      <c r="H70" s="119">
        <f t="shared" si="8"/>
        <v>1560</v>
      </c>
    </row>
    <row r="71" spans="1:8" ht="14.25" customHeight="1" x14ac:dyDescent="0.25">
      <c r="A71" s="294" t="s">
        <v>220</v>
      </c>
      <c r="B71" s="322" t="str">
        <f t="shared" si="5"/>
        <v>Sweet Corn - ذرة حلوة</v>
      </c>
      <c r="C71" s="123" t="str">
        <f t="shared" si="5"/>
        <v>gm</v>
      </c>
      <c r="D71" s="115">
        <f t="shared" si="5"/>
        <v>80</v>
      </c>
      <c r="E71" s="115">
        <f t="shared" si="9"/>
        <v>19.5</v>
      </c>
      <c r="F71" s="126">
        <f t="shared" si="6"/>
        <v>1</v>
      </c>
      <c r="G71" s="118">
        <f t="shared" si="7"/>
        <v>1560</v>
      </c>
      <c r="H71" s="119">
        <f t="shared" si="8"/>
        <v>1560</v>
      </c>
    </row>
    <row r="72" spans="1:8" ht="14.25" customHeight="1" x14ac:dyDescent="0.25">
      <c r="A72" s="294" t="s">
        <v>95</v>
      </c>
      <c r="B72" s="322" t="str">
        <f t="shared" si="5"/>
        <v>Salt - ملح</v>
      </c>
      <c r="C72" s="123" t="str">
        <f t="shared" si="5"/>
        <v>gm</v>
      </c>
      <c r="D72" s="115">
        <f t="shared" si="5"/>
        <v>4</v>
      </c>
      <c r="E72" s="115">
        <f t="shared" si="9"/>
        <v>19.5</v>
      </c>
      <c r="F72" s="126">
        <f t="shared" si="6"/>
        <v>0.75</v>
      </c>
      <c r="G72" s="118">
        <f t="shared" si="7"/>
        <v>78</v>
      </c>
      <c r="H72" s="119">
        <f t="shared" si="8"/>
        <v>58.5</v>
      </c>
    </row>
    <row r="73" spans="1:8" ht="14.25" customHeight="1" x14ac:dyDescent="0.25">
      <c r="A73" s="294" t="s">
        <v>95</v>
      </c>
      <c r="B73" s="322" t="str">
        <f t="shared" si="5"/>
        <v>Black Pepper Powder - فلفل أسود مطحون</v>
      </c>
      <c r="C73" s="123" t="str">
        <f t="shared" si="5"/>
        <v>gm</v>
      </c>
      <c r="D73" s="196">
        <f t="shared" si="5"/>
        <v>0.5</v>
      </c>
      <c r="E73" s="115">
        <f t="shared" si="9"/>
        <v>19.5</v>
      </c>
      <c r="F73" s="126">
        <f t="shared" si="6"/>
        <v>1</v>
      </c>
      <c r="G73" s="118">
        <f t="shared" si="7"/>
        <v>9.75</v>
      </c>
      <c r="H73" s="119">
        <f t="shared" si="8"/>
        <v>9.75</v>
      </c>
    </row>
    <row r="74" spans="1:8" ht="14.25" customHeight="1" x14ac:dyDescent="0.25">
      <c r="B74" s="197" t="s">
        <v>740</v>
      </c>
      <c r="E74" s="99"/>
      <c r="F74" s="99"/>
    </row>
    <row r="75" spans="1:8" ht="23.75" customHeight="1" x14ac:dyDescent="0.4">
      <c r="B75" s="198">
        <f>D52</f>
        <v>19500</v>
      </c>
      <c r="C75" s="207"/>
      <c r="D75" s="4"/>
      <c r="E75" s="99"/>
      <c r="F75" s="182"/>
    </row>
    <row r="76" spans="1:8" ht="14.25" customHeight="1" x14ac:dyDescent="0.25">
      <c r="B76" s="99"/>
      <c r="E76" s="99"/>
      <c r="F76" s="99"/>
    </row>
    <row r="77" spans="1:8" ht="12.75" customHeight="1" x14ac:dyDescent="0.25">
      <c r="B77" s="99"/>
      <c r="C77" s="99"/>
      <c r="D77" s="345"/>
      <c r="E77" s="99"/>
      <c r="F77" s="99"/>
      <c r="G77" s="99"/>
      <c r="H77" s="99"/>
    </row>
    <row r="78" spans="1:8" ht="12.75" customHeight="1" x14ac:dyDescent="0.25"/>
    <row r="79" spans="1:8" ht="18" x14ac:dyDescent="0.3">
      <c r="A79" s="1226"/>
      <c r="B79" s="1475"/>
      <c r="C79" s="1476"/>
      <c r="D79" s="1476"/>
      <c r="E79" s="1476"/>
      <c r="F79" s="1476"/>
      <c r="G79" s="1476"/>
      <c r="H79" s="1476"/>
    </row>
    <row r="80" spans="1:8" ht="17.75" customHeight="1" x14ac:dyDescent="0.3">
      <c r="A80" s="1226"/>
      <c r="B80" s="1475"/>
      <c r="C80" s="1476"/>
      <c r="D80" s="1476"/>
      <c r="E80" s="1476"/>
      <c r="F80" s="1476"/>
      <c r="G80" s="1476"/>
      <c r="H80" s="1476"/>
    </row>
    <row r="81" spans="1:8" ht="35" customHeight="1" x14ac:dyDescent="0.25">
      <c r="A81" s="1231"/>
      <c r="B81" s="1241"/>
      <c r="C81" s="1242"/>
      <c r="D81" s="1241"/>
      <c r="E81" s="1243"/>
      <c r="F81" s="1243"/>
      <c r="G81" s="1241"/>
      <c r="H81" s="1243"/>
    </row>
    <row r="82" spans="1:8" ht="14" x14ac:dyDescent="0.25">
      <c r="A82" s="869"/>
      <c r="B82" s="1244"/>
      <c r="C82" s="1244"/>
      <c r="D82" s="1249"/>
      <c r="E82" s="1249"/>
      <c r="F82" s="1246"/>
      <c r="G82" s="1247"/>
      <c r="H82" s="1248"/>
    </row>
    <row r="83" spans="1:8" ht="14" x14ac:dyDescent="0.25">
      <c r="A83" s="869"/>
      <c r="B83" s="1244"/>
      <c r="C83" s="1244"/>
      <c r="D83" s="1249"/>
      <c r="E83" s="1249"/>
      <c r="F83" s="1246"/>
      <c r="G83" s="1247"/>
      <c r="H83" s="1248"/>
    </row>
    <row r="84" spans="1:8" ht="17.75" customHeight="1" x14ac:dyDescent="0.25">
      <c r="A84" s="869"/>
      <c r="B84" s="1244"/>
      <c r="C84" s="1244"/>
      <c r="D84" s="1249"/>
      <c r="E84" s="1249"/>
      <c r="F84" s="1246"/>
      <c r="G84" s="1247"/>
      <c r="H84" s="1248"/>
    </row>
    <row r="85" spans="1:8" ht="17.75" customHeight="1" x14ac:dyDescent="0.25">
      <c r="A85" s="869"/>
      <c r="B85" s="1244"/>
      <c r="C85" s="1244"/>
      <c r="D85" s="1249"/>
      <c r="E85" s="1249"/>
      <c r="F85" s="1246"/>
      <c r="G85" s="1247"/>
      <c r="H85" s="1248"/>
    </row>
    <row r="86" spans="1:8" ht="17.75" customHeight="1" x14ac:dyDescent="0.25">
      <c r="A86" s="869"/>
      <c r="B86" s="1244"/>
      <c r="C86" s="1244"/>
      <c r="D86" s="1249"/>
      <c r="E86" s="1249"/>
      <c r="F86" s="1246"/>
      <c r="G86" s="1247"/>
      <c r="H86" s="1248"/>
    </row>
    <row r="87" spans="1:8" ht="14.25" customHeight="1" x14ac:dyDescent="0.25">
      <c r="A87" s="869"/>
      <c r="B87" s="1244"/>
      <c r="C87" s="1244"/>
      <c r="D87" s="1249"/>
      <c r="E87" s="1249"/>
      <c r="F87" s="1246"/>
      <c r="G87" s="1247"/>
      <c r="H87" s="1248"/>
    </row>
    <row r="88" spans="1:8" ht="14.25" customHeight="1" x14ac:dyDescent="0.25">
      <c r="A88" s="869"/>
      <c r="B88" s="1244"/>
      <c r="C88" s="1244"/>
      <c r="D88" s="1249"/>
      <c r="E88" s="1249"/>
      <c r="F88" s="1246"/>
      <c r="G88" s="1247"/>
      <c r="H88" s="1248"/>
    </row>
    <row r="89" spans="1:8" ht="14.25" customHeight="1" x14ac:dyDescent="0.25">
      <c r="A89" s="869"/>
      <c r="B89" s="1244"/>
      <c r="C89" s="1244"/>
      <c r="D89" s="1249"/>
      <c r="E89" s="1249"/>
      <c r="F89" s="1246"/>
      <c r="G89" s="1247"/>
      <c r="H89" s="1248"/>
    </row>
    <row r="90" spans="1:8" ht="14.25" customHeight="1" x14ac:dyDescent="0.25">
      <c r="A90" s="869"/>
      <c r="B90" s="1244"/>
      <c r="C90" s="1244"/>
      <c r="D90" s="1251"/>
      <c r="E90" s="1249"/>
      <c r="F90" s="1246"/>
      <c r="G90" s="1247"/>
      <c r="H90" s="1248"/>
    </row>
    <row r="91" spans="1:8" ht="14.25" customHeight="1" x14ac:dyDescent="0.25">
      <c r="A91" s="869"/>
      <c r="B91" s="888"/>
      <c r="C91" s="869"/>
      <c r="D91" s="869"/>
      <c r="E91" s="863"/>
      <c r="F91" s="863"/>
      <c r="G91" s="869"/>
      <c r="H91" s="869"/>
    </row>
    <row r="92" spans="1:8" ht="21.5" customHeight="1" x14ac:dyDescent="0.4">
      <c r="A92" s="869"/>
      <c r="B92" s="889"/>
      <c r="C92" s="893"/>
      <c r="D92" s="1252"/>
      <c r="E92" s="863"/>
      <c r="F92" s="1253"/>
      <c r="G92" s="869"/>
      <c r="H92" s="869"/>
    </row>
    <row r="93" spans="1:8" ht="14.25" customHeight="1" x14ac:dyDescent="0.25">
      <c r="A93" s="869"/>
      <c r="B93" s="869"/>
      <c r="C93" s="869"/>
      <c r="D93" s="869"/>
      <c r="E93" s="869"/>
      <c r="F93" s="869"/>
      <c r="G93" s="869"/>
      <c r="H93" s="869"/>
    </row>
    <row r="94" spans="1:8" x14ac:dyDescent="0.25">
      <c r="A94" s="869"/>
      <c r="B94" s="869"/>
      <c r="C94" s="869"/>
      <c r="D94" s="869"/>
      <c r="E94" s="869"/>
      <c r="F94" s="869"/>
      <c r="G94" s="869"/>
      <c r="H94" s="869"/>
    </row>
    <row r="95" spans="1:8" ht="18" x14ac:dyDescent="0.3">
      <c r="A95" s="1226"/>
      <c r="B95" s="1475"/>
      <c r="C95" s="1476"/>
      <c r="D95" s="1476"/>
      <c r="E95" s="1476"/>
      <c r="F95" s="1476"/>
      <c r="G95" s="1476"/>
      <c r="H95" s="1476"/>
    </row>
    <row r="96" spans="1:8" ht="17.75" customHeight="1" x14ac:dyDescent="0.3">
      <c r="A96" s="1226"/>
      <c r="B96" s="1475"/>
      <c r="C96" s="1476"/>
      <c r="D96" s="1476"/>
      <c r="E96" s="1476"/>
      <c r="F96" s="1476"/>
      <c r="G96" s="1476"/>
      <c r="H96" s="1476"/>
    </row>
    <row r="97" spans="1:8" ht="43.5" customHeight="1" x14ac:dyDescent="0.25">
      <c r="A97" s="1231"/>
      <c r="B97" s="1241"/>
      <c r="C97" s="1242"/>
      <c r="D97" s="1241"/>
      <c r="E97" s="1243"/>
      <c r="F97" s="1243"/>
      <c r="G97" s="1241"/>
      <c r="H97" s="1243"/>
    </row>
    <row r="98" spans="1:8" ht="14" x14ac:dyDescent="0.25">
      <c r="A98" s="869"/>
      <c r="B98" s="1244"/>
      <c r="C98" s="1244"/>
      <c r="D98" s="1244"/>
      <c r="E98" s="1245"/>
      <c r="F98" s="1246"/>
      <c r="G98" s="1247"/>
      <c r="H98" s="1248"/>
    </row>
    <row r="99" spans="1:8" ht="14" x14ac:dyDescent="0.25">
      <c r="A99" s="869"/>
      <c r="B99" s="1244"/>
      <c r="C99" s="1244"/>
      <c r="D99" s="1244"/>
      <c r="E99" s="1245"/>
      <c r="F99" s="1246"/>
      <c r="G99" s="1247"/>
      <c r="H99" s="1248"/>
    </row>
    <row r="100" spans="1:8" ht="14.25" customHeight="1" x14ac:dyDescent="0.25">
      <c r="A100" s="869"/>
      <c r="B100" s="1244"/>
      <c r="C100" s="1244"/>
      <c r="D100" s="1244"/>
      <c r="E100" s="1245"/>
      <c r="F100" s="1246"/>
      <c r="G100" s="1247"/>
      <c r="H100" s="1248"/>
    </row>
    <row r="101" spans="1:8" ht="14.25" customHeight="1" x14ac:dyDescent="0.25">
      <c r="A101" s="869"/>
      <c r="B101" s="1244"/>
      <c r="C101" s="1244"/>
      <c r="D101" s="1244"/>
      <c r="E101" s="1245"/>
      <c r="F101" s="1246"/>
      <c r="G101" s="1247"/>
      <c r="H101" s="1248"/>
    </row>
    <row r="102" spans="1:8" ht="14.25" customHeight="1" x14ac:dyDescent="0.25">
      <c r="A102" s="869"/>
      <c r="B102" s="1244"/>
      <c r="C102" s="1244"/>
      <c r="D102" s="1244"/>
      <c r="E102" s="1245"/>
      <c r="F102" s="1246"/>
      <c r="G102" s="1247"/>
      <c r="H102" s="1248"/>
    </row>
    <row r="103" spans="1:8" ht="14.25" customHeight="1" x14ac:dyDescent="0.25">
      <c r="A103" s="869"/>
      <c r="B103" s="1244"/>
      <c r="C103" s="1244"/>
      <c r="D103" s="1244"/>
      <c r="E103" s="1245"/>
      <c r="F103" s="1246"/>
      <c r="G103" s="1247"/>
      <c r="H103" s="1248"/>
    </row>
    <row r="104" spans="1:8" ht="14.25" customHeight="1" x14ac:dyDescent="0.25">
      <c r="A104" s="869"/>
      <c r="B104" s="1244"/>
      <c r="C104" s="1244"/>
      <c r="D104" s="1244"/>
      <c r="E104" s="1245"/>
      <c r="F104" s="1246"/>
      <c r="G104" s="1247"/>
      <c r="H104" s="1248"/>
    </row>
    <row r="105" spans="1:8" ht="14.25" customHeight="1" x14ac:dyDescent="0.25">
      <c r="A105" s="869"/>
      <c r="B105" s="1244"/>
      <c r="C105" s="1244"/>
      <c r="D105" s="1244"/>
      <c r="E105" s="1245"/>
      <c r="F105" s="1246"/>
      <c r="G105" s="1247"/>
      <c r="H105" s="1248"/>
    </row>
    <row r="106" spans="1:8" ht="14.25" customHeight="1" x14ac:dyDescent="0.25">
      <c r="A106" s="869"/>
      <c r="B106" s="1244"/>
      <c r="C106" s="1244"/>
      <c r="D106" s="1244"/>
      <c r="E106" s="1245"/>
      <c r="F106" s="1246"/>
      <c r="G106" s="1247"/>
      <c r="H106" s="1248"/>
    </row>
    <row r="107" spans="1:8" ht="14.25" customHeight="1" x14ac:dyDescent="0.25">
      <c r="A107" s="869"/>
      <c r="B107" s="888"/>
      <c r="C107" s="869"/>
      <c r="D107" s="869"/>
      <c r="E107" s="863"/>
      <c r="F107" s="863"/>
      <c r="G107" s="869"/>
      <c r="H107" s="869"/>
    </row>
    <row r="108" spans="1:8" ht="21.5" customHeight="1" x14ac:dyDescent="0.4">
      <c r="A108" s="869"/>
      <c r="B108" s="889"/>
      <c r="C108" s="893"/>
      <c r="D108" s="1252"/>
      <c r="E108" s="863"/>
      <c r="F108" s="1253"/>
      <c r="G108" s="869"/>
      <c r="H108" s="869"/>
    </row>
    <row r="109" spans="1:8" ht="14.25" customHeight="1" x14ac:dyDescent="0.25">
      <c r="A109" s="869"/>
      <c r="B109" s="869"/>
      <c r="C109" s="869"/>
      <c r="D109" s="869"/>
      <c r="E109" s="869"/>
      <c r="F109" s="869"/>
      <c r="G109" s="869"/>
      <c r="H109" s="869"/>
    </row>
  </sheetData>
  <mergeCells count="10">
    <mergeCell ref="AE2:AG3"/>
    <mergeCell ref="B95:H95"/>
    <mergeCell ref="B96:H96"/>
    <mergeCell ref="B79:H79"/>
    <mergeCell ref="R26:T26"/>
    <mergeCell ref="B63:H63"/>
    <mergeCell ref="B2:H3"/>
    <mergeCell ref="R25:T25"/>
    <mergeCell ref="B80:H80"/>
    <mergeCell ref="B62:H62"/>
  </mergeCells>
  <printOptions horizontalCentered="1"/>
  <pageMargins left="0.5" right="0.5" top="1" bottom="0.5" header="0.3" footer="0.511811023622047"/>
  <pageSetup paperSize="9" scale="33" orientation="portrait" r:id="rId1"/>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rgb="FF7C7C7C"/>
    <pageSetUpPr fitToPage="1"/>
  </sheetPr>
  <dimension ref="A1:AT93"/>
  <sheetViews>
    <sheetView topLeftCell="A29" zoomScale="70" zoomScaleNormal="70" workbookViewId="0">
      <selection activeCell="T95" sqref="T95"/>
    </sheetView>
  </sheetViews>
  <sheetFormatPr defaultColWidth="12.5" defaultRowHeight="14" x14ac:dyDescent="0.3"/>
  <cols>
    <col min="1" max="1" width="12.5" style="1" customWidth="1"/>
    <col min="2" max="2" width="26.75" customWidth="1"/>
    <col min="3" max="3" width="23.9140625" customWidth="1"/>
    <col min="4" max="4" width="19" customWidth="1"/>
    <col min="5" max="5" width="16.1640625" customWidth="1"/>
    <col min="6" max="6" width="23.08203125" customWidth="1"/>
    <col min="7" max="7" width="25.1640625" customWidth="1"/>
    <col min="8" max="8" width="36.1640625" customWidth="1"/>
    <col min="9" max="9" width="14.9140625" customWidth="1"/>
    <col min="12" max="12" width="8.33203125" customWidth="1"/>
    <col min="13" max="14" width="4.33203125" customWidth="1"/>
    <col min="18" max="18" width="30.5" customWidth="1"/>
    <col min="19" max="19" width="21.08203125" customWidth="1"/>
    <col min="28" max="28" width="11.58203125" bestFit="1" customWidth="1"/>
    <col min="29" max="29" width="13.1640625" bestFit="1" customWidth="1"/>
    <col min="30" max="30" width="9.83203125" bestFit="1" customWidth="1"/>
    <col min="31" max="31" width="11.58203125" bestFit="1" customWidth="1"/>
    <col min="32" max="35" width="5.5" customWidth="1"/>
    <col min="36" max="36" width="35.6640625" customWidth="1"/>
  </cols>
  <sheetData>
    <row r="1" spans="1:46" ht="53.75" customHeight="1" x14ac:dyDescent="0.3">
      <c r="B1" s="79" t="s">
        <v>235</v>
      </c>
      <c r="C1" s="80">
        <v>1000</v>
      </c>
      <c r="D1" s="81" t="s">
        <v>236</v>
      </c>
      <c r="E1" s="116">
        <f>T32</f>
        <v>4681.3599999999997</v>
      </c>
      <c r="F1" s="79" t="s">
        <v>237</v>
      </c>
      <c r="G1" s="248">
        <f>E1/C1</f>
        <v>4.6813599999999997</v>
      </c>
      <c r="H1" s="79" t="s">
        <v>238</v>
      </c>
      <c r="I1" s="248">
        <f>(G1/K1)</f>
        <v>4.6813599999999997</v>
      </c>
      <c r="J1" s="85" t="s">
        <v>239</v>
      </c>
      <c r="K1" s="248">
        <v>1</v>
      </c>
      <c r="L1" s="99"/>
      <c r="M1" s="88"/>
      <c r="N1" s="89"/>
      <c r="O1" s="90" t="s">
        <v>240</v>
      </c>
      <c r="P1" s="91" t="s">
        <v>241</v>
      </c>
      <c r="Q1" s="92" t="s">
        <v>242</v>
      </c>
      <c r="R1" s="91">
        <v>0.59</v>
      </c>
      <c r="Y1" s="90" t="s">
        <v>463</v>
      </c>
      <c r="Z1" s="835">
        <v>35400</v>
      </c>
      <c r="AA1" s="90" t="s">
        <v>578</v>
      </c>
      <c r="AB1" s="835">
        <v>500</v>
      </c>
      <c r="AC1" s="90" t="s">
        <v>567</v>
      </c>
      <c r="AD1" s="835">
        <v>242</v>
      </c>
      <c r="AE1" s="249"/>
      <c r="AF1" s="251"/>
      <c r="AG1" s="91"/>
      <c r="AJ1" s="93" t="s">
        <v>254</v>
      </c>
      <c r="AK1" s="93">
        <v>10000</v>
      </c>
      <c r="AL1" s="623" t="s">
        <v>503</v>
      </c>
      <c r="AM1" s="624">
        <f>$S$32</f>
        <v>31218.639999999999</v>
      </c>
      <c r="AN1" s="93" t="s">
        <v>243</v>
      </c>
      <c r="AO1" s="95">
        <f>($S$32/$R$1)/$AK$1</f>
        <v>5.2912949152542375</v>
      </c>
      <c r="AP1" s="94"/>
    </row>
    <row r="2" spans="1:46" ht="12.75" customHeight="1" x14ac:dyDescent="0.3">
      <c r="A2" s="264"/>
      <c r="B2" s="1517" t="s">
        <v>405</v>
      </c>
      <c r="C2" s="1458"/>
      <c r="D2" s="1458"/>
      <c r="E2" s="1458"/>
      <c r="F2" s="1458"/>
      <c r="G2" s="1458"/>
      <c r="H2" s="1458"/>
      <c r="I2" s="1458"/>
      <c r="J2" s="1458"/>
      <c r="K2" s="1450"/>
      <c r="L2" s="292"/>
      <c r="M2" s="99"/>
      <c r="N2" s="99"/>
      <c r="O2" s="99"/>
      <c r="P2" s="99"/>
      <c r="Q2" s="99"/>
      <c r="R2" s="99"/>
      <c r="AC2" s="98"/>
      <c r="AD2" s="98"/>
      <c r="AE2" s="1457"/>
      <c r="AF2" s="1458"/>
      <c r="AG2" s="1458"/>
      <c r="AJ2" s="100"/>
      <c r="AK2" s="1442" t="s">
        <v>407</v>
      </c>
      <c r="AL2" s="1442"/>
      <c r="AM2" s="1442"/>
      <c r="AN2" s="101"/>
      <c r="AO2" s="100"/>
      <c r="AP2" s="100"/>
    </row>
    <row r="3" spans="1:46" ht="12.75" customHeight="1" x14ac:dyDescent="0.3">
      <c r="A3" s="264"/>
      <c r="B3" s="1444"/>
      <c r="C3" s="1444"/>
      <c r="D3" s="1444"/>
      <c r="E3" s="1444"/>
      <c r="F3" s="1444"/>
      <c r="G3" s="1444"/>
      <c r="H3" s="1444"/>
      <c r="I3" s="1444"/>
      <c r="J3" s="1444"/>
      <c r="K3" s="1444"/>
      <c r="L3" s="292"/>
      <c r="M3" s="99"/>
      <c r="N3" s="99"/>
      <c r="O3" s="99"/>
      <c r="P3" s="99"/>
      <c r="Q3" s="99"/>
      <c r="R3" s="99"/>
      <c r="AC3" s="98"/>
      <c r="AD3" s="98"/>
      <c r="AE3" s="1458"/>
      <c r="AF3" s="1458"/>
      <c r="AG3" s="1458"/>
      <c r="AJ3" s="372"/>
      <c r="AK3" s="103"/>
      <c r="AL3" s="104"/>
      <c r="AM3" s="104"/>
      <c r="AN3" s="104"/>
      <c r="AO3" s="103"/>
      <c r="AP3" s="103"/>
    </row>
    <row r="4" spans="1:46" ht="69" customHeight="1" x14ac:dyDescent="0.3">
      <c r="A4" s="90" t="s">
        <v>1</v>
      </c>
      <c r="B4" s="90" t="s">
        <v>245</v>
      </c>
      <c r="C4" s="106" t="s">
        <v>246</v>
      </c>
      <c r="D4" s="90" t="s">
        <v>235</v>
      </c>
      <c r="E4" s="107" t="s">
        <v>238</v>
      </c>
      <c r="F4" s="107" t="s">
        <v>247</v>
      </c>
      <c r="G4" s="90" t="s">
        <v>248</v>
      </c>
      <c r="H4" s="330" t="s">
        <v>339</v>
      </c>
      <c r="I4" s="90" t="s">
        <v>250</v>
      </c>
      <c r="J4" s="90" t="s">
        <v>251</v>
      </c>
      <c r="K4" s="90" t="s">
        <v>252</v>
      </c>
      <c r="L4" s="90" t="s">
        <v>253</v>
      </c>
      <c r="M4" s="99"/>
      <c r="N4" s="99"/>
      <c r="O4" s="99"/>
      <c r="P4" s="99"/>
      <c r="AA4" s="250"/>
      <c r="AB4" s="252"/>
      <c r="AC4" s="250"/>
      <c r="AD4" s="250"/>
      <c r="AE4" s="250"/>
      <c r="AJ4" s="109" t="s">
        <v>245</v>
      </c>
      <c r="AK4" s="110" t="s">
        <v>246</v>
      </c>
      <c r="AL4" s="109" t="s">
        <v>254</v>
      </c>
      <c r="AM4" s="109" t="s">
        <v>238</v>
      </c>
      <c r="AN4" s="109" t="s">
        <v>247</v>
      </c>
      <c r="AO4" s="109" t="s">
        <v>248</v>
      </c>
      <c r="AP4" s="111" t="s">
        <v>249</v>
      </c>
      <c r="AQ4" s="90" t="s">
        <v>250</v>
      </c>
      <c r="AR4" s="90" t="s">
        <v>251</v>
      </c>
      <c r="AS4" s="90" t="s">
        <v>252</v>
      </c>
      <c r="AT4" s="90" t="s">
        <v>253</v>
      </c>
    </row>
    <row r="5" spans="1:46" ht="14.25" customHeight="1" x14ac:dyDescent="0.3">
      <c r="A5" s="490" t="s">
        <v>225</v>
      </c>
      <c r="B5" s="491" t="s">
        <v>224</v>
      </c>
      <c r="C5" s="492" t="s">
        <v>14</v>
      </c>
      <c r="D5" s="120">
        <f>I51/10</f>
        <v>11303.389830508475</v>
      </c>
      <c r="E5" s="116">
        <f>H52</f>
        <v>4.6811575948418049</v>
      </c>
      <c r="F5" s="126">
        <v>1</v>
      </c>
      <c r="G5" s="118">
        <f t="shared" ref="G5:G14" si="0">D5*E5</f>
        <v>52912.949152542373</v>
      </c>
      <c r="H5" s="119">
        <f t="shared" ref="H5:H14" si="1">G5*F5</f>
        <v>52912.949152542373</v>
      </c>
      <c r="I5" s="80">
        <f>VLOOKUP(B5,All_Ingredients!$A$1:$F$149,6,FALSE())</f>
        <v>0.86</v>
      </c>
      <c r="J5" s="120">
        <f>VLOOKUP(B5,All_Ingredients!$A$1:$J$149,10,FALSE())</f>
        <v>17.100000000000001</v>
      </c>
      <c r="K5" s="121">
        <f t="shared" ref="K5" si="2">(H5/I5)/1000</f>
        <v>61.526685061095783</v>
      </c>
      <c r="L5" s="121">
        <f t="shared" ref="L5" si="3">K5*J5</f>
        <v>1052.1063145447379</v>
      </c>
      <c r="M5" s="99"/>
      <c r="N5" s="99"/>
      <c r="O5" s="99"/>
      <c r="P5" s="99"/>
      <c r="AA5" s="91"/>
      <c r="AB5" s="132"/>
      <c r="AC5" s="253"/>
      <c r="AD5" s="134"/>
      <c r="AE5" s="135"/>
      <c r="AJ5" s="373" t="s">
        <v>224</v>
      </c>
      <c r="AK5" s="123" t="s">
        <v>231</v>
      </c>
      <c r="AL5" s="374">
        <v>10</v>
      </c>
      <c r="AM5" s="375">
        <f>$AO$1</f>
        <v>5.2912949152542375</v>
      </c>
      <c r="AN5" s="376">
        <v>1</v>
      </c>
      <c r="AO5" s="377">
        <f t="shared" ref="AO5:AO12" si="4">AL5*AM5</f>
        <v>52.912949152542375</v>
      </c>
      <c r="AP5" s="378">
        <f t="shared" ref="AP5:AP12" si="5">AO5*AN5</f>
        <v>52.912949152542375</v>
      </c>
      <c r="AQ5" s="294"/>
      <c r="AR5" s="1152"/>
      <c r="AS5" s="174"/>
      <c r="AT5" s="1153"/>
    </row>
    <row r="6" spans="1:46" ht="14.25" customHeight="1" x14ac:dyDescent="0.3">
      <c r="A6" s="493" t="s">
        <v>154</v>
      </c>
      <c r="B6" s="326" t="s">
        <v>153</v>
      </c>
      <c r="C6" s="492" t="s">
        <v>14</v>
      </c>
      <c r="D6" s="124">
        <v>40</v>
      </c>
      <c r="E6" s="222">
        <f t="shared" ref="E6:E14" si="6">$I$1</f>
        <v>4.6813599999999997</v>
      </c>
      <c r="F6" s="126">
        <v>1</v>
      </c>
      <c r="G6" s="118">
        <f t="shared" si="0"/>
        <v>187.25439999999998</v>
      </c>
      <c r="H6" s="119">
        <f t="shared" si="1"/>
        <v>187.25439999999998</v>
      </c>
      <c r="I6" s="80">
        <f>VLOOKUP(B6,All_Ingredients!$A$1:$F$149,6,FALSE())</f>
        <v>1</v>
      </c>
      <c r="J6" s="120">
        <f>VLOOKUP(B6,All_Ingredients!$A$1:$J$149,10,FALSE())</f>
        <v>30</v>
      </c>
      <c r="K6" s="121">
        <f t="shared" ref="K6:K14" si="7">(H6/I6)/1000</f>
        <v>0.18725439999999999</v>
      </c>
      <c r="L6" s="121">
        <f t="shared" ref="L6:L14" si="8">K6*J6</f>
        <v>5.6176319999999995</v>
      </c>
      <c r="AJ6" s="373" t="s">
        <v>55</v>
      </c>
      <c r="AK6" s="333" t="s">
        <v>14</v>
      </c>
      <c r="AL6" s="115">
        <v>100</v>
      </c>
      <c r="AM6" s="375">
        <f t="shared" ref="AM6:AM12" si="9">$AO$1</f>
        <v>5.2912949152542375</v>
      </c>
      <c r="AN6" s="376">
        <v>1</v>
      </c>
      <c r="AO6" s="377">
        <f t="shared" si="4"/>
        <v>529.12949152542376</v>
      </c>
      <c r="AP6" s="378">
        <f t="shared" si="5"/>
        <v>529.12949152542376</v>
      </c>
      <c r="AQ6" s="1153">
        <f>VLOOKUP(AJ6,Marination_Ordering!$A:$J,6,FALSE)</f>
        <v>0.87</v>
      </c>
      <c r="AR6" s="1153">
        <f>VLOOKUP(AJ6,Marination_Ordering!$A:$J,10,FALSE)</f>
        <v>3.2</v>
      </c>
      <c r="AS6" s="174">
        <f>AP6/AQ6</f>
        <v>608.19481784531467</v>
      </c>
      <c r="AT6" s="1153">
        <f>AR6*(AS6/1000)</f>
        <v>1.9462234171050072</v>
      </c>
    </row>
    <row r="7" spans="1:46" ht="14.25" customHeight="1" x14ac:dyDescent="0.3">
      <c r="A7" s="493" t="s">
        <v>13</v>
      </c>
      <c r="B7" s="326" t="s">
        <v>762</v>
      </c>
      <c r="C7" s="492" t="s">
        <v>14</v>
      </c>
      <c r="D7" s="124">
        <v>40</v>
      </c>
      <c r="E7" s="222">
        <f t="shared" si="6"/>
        <v>4.6813599999999997</v>
      </c>
      <c r="F7" s="126">
        <v>1</v>
      </c>
      <c r="G7" s="118">
        <f t="shared" si="0"/>
        <v>187.25439999999998</v>
      </c>
      <c r="H7" s="119">
        <f t="shared" si="1"/>
        <v>187.25439999999998</v>
      </c>
      <c r="I7" s="80">
        <f>VLOOKUP(B7,All_Ingredients!$A$1:$F$149,6,FALSE())</f>
        <v>1</v>
      </c>
      <c r="J7" s="120">
        <f>VLOOKUP(B7,All_Ingredients!$A$1:$J$149,10,FALSE())</f>
        <v>10.5</v>
      </c>
      <c r="K7" s="121">
        <f t="shared" si="7"/>
        <v>0.18725439999999999</v>
      </c>
      <c r="L7" s="121">
        <f t="shared" si="8"/>
        <v>1.9661711999999998</v>
      </c>
      <c r="AJ7" s="373" t="s">
        <v>762</v>
      </c>
      <c r="AK7" s="333" t="s">
        <v>14</v>
      </c>
      <c r="AL7" s="115">
        <v>150</v>
      </c>
      <c r="AM7" s="375">
        <f t="shared" si="9"/>
        <v>5.2912949152542375</v>
      </c>
      <c r="AN7" s="376">
        <v>1</v>
      </c>
      <c r="AO7" s="377">
        <f t="shared" si="4"/>
        <v>793.69423728813558</v>
      </c>
      <c r="AP7" s="378">
        <f t="shared" si="5"/>
        <v>793.69423728813558</v>
      </c>
      <c r="AQ7" s="1153">
        <f>VLOOKUP(AJ7,Marination_Ordering!$A:$J,6,FALSE)</f>
        <v>1</v>
      </c>
      <c r="AR7" s="1153">
        <f>VLOOKUP(AJ7,Marination_Ordering!$A:$J,10,FALSE)</f>
        <v>10.5</v>
      </c>
      <c r="AS7" s="174">
        <f t="shared" ref="AS7:AS8" si="10">AP7/AQ7</f>
        <v>793.69423728813558</v>
      </c>
      <c r="AT7" s="1153">
        <f t="shared" ref="AT7:AT8" si="11">AR7*(AS7/1000)</f>
        <v>8.3337894915254243</v>
      </c>
    </row>
    <row r="8" spans="1:46" ht="14.25" customHeight="1" x14ac:dyDescent="0.35">
      <c r="A8" s="269" t="s">
        <v>192</v>
      </c>
      <c r="B8" s="326" t="s">
        <v>200</v>
      </c>
      <c r="C8" s="992" t="s">
        <v>161</v>
      </c>
      <c r="D8" s="124">
        <v>300</v>
      </c>
      <c r="E8" s="222">
        <f t="shared" si="6"/>
        <v>4.6813599999999997</v>
      </c>
      <c r="F8" s="126">
        <v>1</v>
      </c>
      <c r="G8" s="118">
        <f t="shared" si="0"/>
        <v>1404.4079999999999</v>
      </c>
      <c r="H8" s="119">
        <f t="shared" si="1"/>
        <v>1404.4079999999999</v>
      </c>
      <c r="I8" s="80">
        <f>VLOOKUP(B8,All_Ingredients!$A$1:$F$149,6,FALSE())</f>
        <v>1</v>
      </c>
      <c r="J8" s="120">
        <f>VLOOKUP(B8,All_Ingredients!$A$1:$J$149,10,FALSE())</f>
        <v>3.25</v>
      </c>
      <c r="K8" s="121">
        <f t="shared" si="7"/>
        <v>1.4044079999999999</v>
      </c>
      <c r="L8" s="121">
        <f t="shared" si="8"/>
        <v>4.5643259999999994</v>
      </c>
      <c r="AJ8" s="373" t="s">
        <v>214</v>
      </c>
      <c r="AK8" s="333" t="s">
        <v>161</v>
      </c>
      <c r="AL8" s="115">
        <v>150</v>
      </c>
      <c r="AM8" s="375">
        <f t="shared" si="9"/>
        <v>5.2912949152542375</v>
      </c>
      <c r="AN8" s="376">
        <v>1</v>
      </c>
      <c r="AO8" s="377">
        <f t="shared" si="4"/>
        <v>793.69423728813558</v>
      </c>
      <c r="AP8" s="378">
        <f t="shared" si="5"/>
        <v>793.69423728813558</v>
      </c>
      <c r="AQ8" s="1153">
        <f>VLOOKUP(AJ8,Marination_Ordering!$A:$J,6,FALSE)</f>
        <v>1</v>
      </c>
      <c r="AR8" s="1153">
        <f>VLOOKUP(AJ8,Marination_Ordering!$A:$J,10,FALSE)</f>
        <v>5</v>
      </c>
      <c r="AS8" s="174">
        <f t="shared" si="10"/>
        <v>793.69423728813558</v>
      </c>
      <c r="AT8" s="1153">
        <f t="shared" si="11"/>
        <v>3.9684711864406781</v>
      </c>
    </row>
    <row r="9" spans="1:46" ht="14.25" customHeight="1" x14ac:dyDescent="0.3">
      <c r="A9" s="269" t="s">
        <v>192</v>
      </c>
      <c r="B9" s="326" t="s">
        <v>204</v>
      </c>
      <c r="C9" s="114" t="s">
        <v>14</v>
      </c>
      <c r="D9" s="124">
        <v>90</v>
      </c>
      <c r="E9" s="222">
        <f t="shared" si="6"/>
        <v>4.6813599999999997</v>
      </c>
      <c r="F9" s="126">
        <v>1</v>
      </c>
      <c r="G9" s="118">
        <f t="shared" si="0"/>
        <v>421.32239999999996</v>
      </c>
      <c r="H9" s="119">
        <f t="shared" si="1"/>
        <v>421.32239999999996</v>
      </c>
      <c r="I9" s="80">
        <f>VLOOKUP(B9,All_Ingredients!$A$1:$F$149,6,FALSE())</f>
        <v>1</v>
      </c>
      <c r="J9" s="120">
        <f>VLOOKUP(B9,All_Ingredients!$A$1:$J$149,10,FALSE())</f>
        <v>11.243386243386244</v>
      </c>
      <c r="K9" s="121">
        <f t="shared" si="7"/>
        <v>0.42132239999999999</v>
      </c>
      <c r="L9" s="121">
        <f t="shared" si="8"/>
        <v>4.7370904761904757</v>
      </c>
      <c r="AJ9" s="373" t="s">
        <v>210</v>
      </c>
      <c r="AK9" s="123" t="s">
        <v>161</v>
      </c>
      <c r="AL9" s="115">
        <v>100</v>
      </c>
      <c r="AM9" s="375">
        <f t="shared" si="9"/>
        <v>5.2912949152542375</v>
      </c>
      <c r="AN9" s="376">
        <v>1</v>
      </c>
      <c r="AO9" s="377">
        <f t="shared" si="4"/>
        <v>529.12949152542376</v>
      </c>
      <c r="AP9" s="378">
        <f t="shared" si="5"/>
        <v>529.12949152542376</v>
      </c>
      <c r="AQ9" s="1153">
        <f>VLOOKUP(AJ9,Marination_Ordering!$A:$J,6,FALSE)</f>
        <v>1</v>
      </c>
      <c r="AR9" s="1153">
        <f>VLOOKUP(AJ9,Marination_Ordering!$A:$J,10,FALSE)</f>
        <v>2.1621621621621623</v>
      </c>
      <c r="AS9" s="174">
        <f t="shared" ref="AS9:AS12" si="12">AP9/AQ9</f>
        <v>529.12949152542376</v>
      </c>
      <c r="AT9" s="1153">
        <f t="shared" ref="AT9:AT12" si="13">AR9*(AS9/1000)</f>
        <v>1.1440637654603758</v>
      </c>
    </row>
    <row r="10" spans="1:46" ht="14.25" customHeight="1" x14ac:dyDescent="0.3">
      <c r="A10" s="269" t="s">
        <v>192</v>
      </c>
      <c r="B10" s="326" t="s">
        <v>731</v>
      </c>
      <c r="C10" s="114" t="s">
        <v>14</v>
      </c>
      <c r="D10" s="124">
        <v>90</v>
      </c>
      <c r="E10" s="222">
        <f t="shared" si="6"/>
        <v>4.6813599999999997</v>
      </c>
      <c r="F10" s="126">
        <v>1</v>
      </c>
      <c r="G10" s="118">
        <f t="shared" si="0"/>
        <v>421.32239999999996</v>
      </c>
      <c r="H10" s="119">
        <f t="shared" si="1"/>
        <v>421.32239999999996</v>
      </c>
      <c r="I10" s="80">
        <f>VLOOKUP(B10,All_Ingredients!$A$1:$F$149,6,FALSE())</f>
        <v>1</v>
      </c>
      <c r="J10" s="120">
        <f>VLOOKUP(B10,All_Ingredients!$A$1:$J$149,10,FALSE())</f>
        <v>8.1520833333333336</v>
      </c>
      <c r="K10" s="121">
        <f t="shared" si="7"/>
        <v>0.42132239999999999</v>
      </c>
      <c r="L10" s="121">
        <f t="shared" si="8"/>
        <v>3.4346553150000001</v>
      </c>
      <c r="AJ10" s="373" t="s">
        <v>94</v>
      </c>
      <c r="AK10" s="333" t="s">
        <v>14</v>
      </c>
      <c r="AL10" s="115">
        <v>5</v>
      </c>
      <c r="AM10" s="375">
        <f t="shared" si="9"/>
        <v>5.2912949152542375</v>
      </c>
      <c r="AN10" s="376">
        <v>1</v>
      </c>
      <c r="AO10" s="377">
        <f t="shared" si="4"/>
        <v>26.456474576271187</v>
      </c>
      <c r="AP10" s="378">
        <f t="shared" si="5"/>
        <v>26.456474576271187</v>
      </c>
      <c r="AQ10" s="1153">
        <f>VLOOKUP(AJ10,Marination_Ordering!$A:$J,6,FALSE)</f>
        <v>1</v>
      </c>
      <c r="AR10" s="1153">
        <f>VLOOKUP(AJ10,Marination_Ordering!$A:$J,10,FALSE)</f>
        <v>0.74</v>
      </c>
      <c r="AS10" s="174">
        <f t="shared" si="12"/>
        <v>26.456474576271187</v>
      </c>
      <c r="AT10" s="1153">
        <f t="shared" si="13"/>
        <v>1.957779118644068E-2</v>
      </c>
    </row>
    <row r="11" spans="1:46" ht="13.5" customHeight="1" x14ac:dyDescent="0.3">
      <c r="A11" s="269" t="s">
        <v>192</v>
      </c>
      <c r="B11" s="326" t="s">
        <v>194</v>
      </c>
      <c r="C11" s="114" t="s">
        <v>161</v>
      </c>
      <c r="D11" s="124">
        <v>40</v>
      </c>
      <c r="E11" s="222">
        <f t="shared" si="6"/>
        <v>4.6813599999999997</v>
      </c>
      <c r="F11" s="126">
        <v>1</v>
      </c>
      <c r="G11" s="118">
        <f t="shared" si="0"/>
        <v>187.25439999999998</v>
      </c>
      <c r="H11" s="119">
        <f t="shared" si="1"/>
        <v>187.25439999999998</v>
      </c>
      <c r="I11" s="80">
        <f>VLOOKUP(B11,All_Ingredients!$A$1:$F$149,6,FALSE())</f>
        <v>1</v>
      </c>
      <c r="J11" s="120">
        <f>VLOOKUP(B11,All_Ingredients!$A$1:$J$149,10,FALSE())</f>
        <v>58.685446009389672</v>
      </c>
      <c r="K11" s="121">
        <f t="shared" si="7"/>
        <v>0.18725439999999999</v>
      </c>
      <c r="L11" s="121">
        <f t="shared" si="8"/>
        <v>10.989107981220657</v>
      </c>
      <c r="AJ11" s="373" t="s">
        <v>100</v>
      </c>
      <c r="AK11" s="333" t="s">
        <v>14</v>
      </c>
      <c r="AL11" s="115">
        <v>5</v>
      </c>
      <c r="AM11" s="375">
        <f t="shared" si="9"/>
        <v>5.2912949152542375</v>
      </c>
      <c r="AN11" s="376">
        <v>1</v>
      </c>
      <c r="AO11" s="377">
        <f t="shared" si="4"/>
        <v>26.456474576271187</v>
      </c>
      <c r="AP11" s="378">
        <f t="shared" si="5"/>
        <v>26.456474576271187</v>
      </c>
      <c r="AQ11" s="1153">
        <f>VLOOKUP(AJ11,Marination_Ordering!$A:$J,6,FALSE)</f>
        <v>1</v>
      </c>
      <c r="AR11" s="1153">
        <f>VLOOKUP(AJ11,Marination_Ordering!$A:$J,10,FALSE)</f>
        <v>31</v>
      </c>
      <c r="AS11" s="174">
        <f t="shared" si="12"/>
        <v>26.456474576271187</v>
      </c>
      <c r="AT11" s="1153">
        <f t="shared" si="13"/>
        <v>0.8201507118644068</v>
      </c>
    </row>
    <row r="12" spans="1:46" ht="14.25" customHeight="1" x14ac:dyDescent="0.3">
      <c r="A12" s="269" t="s">
        <v>81</v>
      </c>
      <c r="B12" s="326" t="s">
        <v>83</v>
      </c>
      <c r="C12" s="114" t="s">
        <v>14</v>
      </c>
      <c r="D12" s="124">
        <v>1</v>
      </c>
      <c r="E12" s="222">
        <f t="shared" si="6"/>
        <v>4.6813599999999997</v>
      </c>
      <c r="F12" s="126">
        <v>1</v>
      </c>
      <c r="G12" s="118">
        <f t="shared" si="0"/>
        <v>4.6813599999999997</v>
      </c>
      <c r="H12" s="119">
        <f t="shared" si="1"/>
        <v>4.6813599999999997</v>
      </c>
      <c r="I12" s="80">
        <f>VLOOKUP(B12,All_Ingredients!$A$1:$F$149,6,FALSE())</f>
        <v>1</v>
      </c>
      <c r="J12" s="120">
        <f>VLOOKUP(B12,All_Ingredients!$A$1:$J$149,10,FALSE())</f>
        <v>147.88732394366198</v>
      </c>
      <c r="K12" s="121">
        <f t="shared" si="7"/>
        <v>4.6813599999999999E-3</v>
      </c>
      <c r="L12" s="121">
        <f t="shared" si="8"/>
        <v>0.69231380281690147</v>
      </c>
      <c r="AJ12" s="373" t="s">
        <v>877</v>
      </c>
      <c r="AK12" s="333" t="s">
        <v>14</v>
      </c>
      <c r="AL12" s="124">
        <v>5</v>
      </c>
      <c r="AM12" s="375">
        <f t="shared" si="9"/>
        <v>5.2912949152542375</v>
      </c>
      <c r="AN12" s="376">
        <v>1</v>
      </c>
      <c r="AO12" s="377">
        <f t="shared" si="4"/>
        <v>26.456474576271187</v>
      </c>
      <c r="AP12" s="378">
        <f t="shared" si="5"/>
        <v>26.456474576271187</v>
      </c>
      <c r="AQ12" s="1153">
        <f>VLOOKUP(AJ12,Marination_Ordering!$A:$J,6,FALSE)</f>
        <v>1</v>
      </c>
      <c r="AR12" s="1153">
        <f>VLOOKUP(AJ12,Marination_Ordering!$A:$J,10,FALSE)</f>
        <v>22.5</v>
      </c>
      <c r="AS12" s="174">
        <f t="shared" si="12"/>
        <v>26.456474576271187</v>
      </c>
      <c r="AT12" s="1153">
        <f t="shared" si="13"/>
        <v>0.59527067796610167</v>
      </c>
    </row>
    <row r="13" spans="1:46" ht="14.25" customHeight="1" x14ac:dyDescent="0.3">
      <c r="A13" s="269" t="s">
        <v>188</v>
      </c>
      <c r="B13" s="326" t="s">
        <v>189</v>
      </c>
      <c r="C13" s="114" t="s">
        <v>14</v>
      </c>
      <c r="D13" s="124">
        <v>20</v>
      </c>
      <c r="E13" s="222">
        <f t="shared" si="6"/>
        <v>4.6813599999999997</v>
      </c>
      <c r="F13" s="126">
        <v>1</v>
      </c>
      <c r="G13" s="118">
        <f t="shared" si="0"/>
        <v>93.627199999999988</v>
      </c>
      <c r="H13" s="119">
        <f t="shared" si="1"/>
        <v>93.627199999999988</v>
      </c>
      <c r="I13" s="80">
        <f>VLOOKUP(B13,All_Ingredients!$A$1:$F$149,6,FALSE())</f>
        <v>0.9</v>
      </c>
      <c r="J13" s="120">
        <f>VLOOKUP(B13,All_Ingredients!$A$1:$J$149,10,FALSE())</f>
        <v>2.3199999999999998</v>
      </c>
      <c r="K13" s="121">
        <f t="shared" si="7"/>
        <v>0.1040302222222222</v>
      </c>
      <c r="L13" s="121">
        <f t="shared" si="8"/>
        <v>0.24135011555555549</v>
      </c>
    </row>
    <row r="14" spans="1:46" ht="14.25" customHeight="1" x14ac:dyDescent="0.3">
      <c r="A14" s="269" t="s">
        <v>154</v>
      </c>
      <c r="B14" s="326" t="s">
        <v>167</v>
      </c>
      <c r="C14" s="114" t="s">
        <v>161</v>
      </c>
      <c r="D14" s="124">
        <v>400</v>
      </c>
      <c r="E14" s="222">
        <f t="shared" si="6"/>
        <v>4.6813599999999997</v>
      </c>
      <c r="F14" s="126">
        <v>1</v>
      </c>
      <c r="G14" s="118">
        <f t="shared" si="0"/>
        <v>1872.5439999999999</v>
      </c>
      <c r="H14" s="119">
        <f t="shared" si="1"/>
        <v>1872.5439999999999</v>
      </c>
      <c r="I14" s="80">
        <f>VLOOKUP(B14,All_Ingredients!$A$1:$F$149,6,FALSE())</f>
        <v>1</v>
      </c>
      <c r="J14" s="120">
        <f>VLOOKUP(B14,All_Ingredients!$A$1:$J$149,10,FALSE())</f>
        <v>12.666666666666666</v>
      </c>
      <c r="K14" s="121">
        <f t="shared" si="7"/>
        <v>1.8725439999999998</v>
      </c>
      <c r="L14" s="121">
        <f t="shared" si="8"/>
        <v>23.718890666666663</v>
      </c>
    </row>
    <row r="17" spans="2:31" ht="14.25" customHeight="1" x14ac:dyDescent="0.3">
      <c r="L17" s="208"/>
    </row>
    <row r="18" spans="2:31" ht="14.25" customHeight="1" x14ac:dyDescent="0.3">
      <c r="L18" s="208"/>
      <c r="S18" s="128" t="s">
        <v>406</v>
      </c>
    </row>
    <row r="19" spans="2:31" ht="14.25" customHeight="1" x14ac:dyDescent="0.3">
      <c r="L19" s="208"/>
      <c r="R19" s="5"/>
      <c r="S19" s="274" t="s">
        <v>313</v>
      </c>
    </row>
    <row r="20" spans="2:31" ht="14.25" customHeight="1" x14ac:dyDescent="0.3">
      <c r="L20" s="208"/>
    </row>
    <row r="21" spans="2:31" ht="14.25" customHeight="1" x14ac:dyDescent="0.3">
      <c r="L21" s="208"/>
    </row>
    <row r="22" spans="2:31" ht="14.25" customHeight="1" x14ac:dyDescent="0.3">
      <c r="L22" s="208"/>
    </row>
    <row r="23" spans="2:31" ht="14.25" customHeight="1" x14ac:dyDescent="0.3">
      <c r="B23" s="99"/>
      <c r="E23" s="99"/>
      <c r="F23" s="99"/>
      <c r="L23" s="208"/>
    </row>
    <row r="24" spans="2:31" ht="14.25" customHeight="1" x14ac:dyDescent="0.3">
      <c r="B24" s="99"/>
      <c r="E24" s="99"/>
      <c r="F24" s="99"/>
      <c r="L24" s="208"/>
      <c r="Z24" s="1265"/>
    </row>
    <row r="25" spans="2:31" ht="14.75" customHeight="1" x14ac:dyDescent="0.35">
      <c r="B25" s="99"/>
      <c r="E25" s="99"/>
      <c r="F25" s="99"/>
      <c r="L25" s="208"/>
      <c r="R25" s="1440" t="s">
        <v>407</v>
      </c>
      <c r="S25" s="1444"/>
      <c r="T25" s="1444"/>
      <c r="U25" s="1444"/>
      <c r="V25" s="1132"/>
      <c r="Z25" s="140" t="s">
        <v>256</v>
      </c>
      <c r="AA25" s="141">
        <v>1</v>
      </c>
      <c r="AB25" s="140" t="s">
        <v>253</v>
      </c>
      <c r="AC25" s="142">
        <f>(AA25*AE30)+(AA30*(AB28/R1))</f>
        <v>3.1366801347479267E-2</v>
      </c>
      <c r="AD25" s="14"/>
    </row>
    <row r="26" spans="2:31" ht="19.5" customHeight="1" x14ac:dyDescent="0.3">
      <c r="B26" s="99"/>
      <c r="E26" s="99"/>
      <c r="F26" s="99"/>
      <c r="L26" s="208"/>
      <c r="R26" s="1518" t="s">
        <v>365</v>
      </c>
      <c r="S26" s="1446"/>
      <c r="T26" s="1446"/>
      <c r="U26" s="1446"/>
      <c r="V26" s="1132"/>
      <c r="Z26" s="14"/>
      <c r="AA26" s="14"/>
      <c r="AB26" s="14"/>
      <c r="AC26" s="14"/>
      <c r="AD26" s="14"/>
    </row>
    <row r="27" spans="2:31" ht="20.75" customHeight="1" thickBot="1" x14ac:dyDescent="0.35">
      <c r="B27" s="99"/>
      <c r="E27" s="99"/>
      <c r="F27" s="99"/>
      <c r="R27" s="144" t="s">
        <v>258</v>
      </c>
      <c r="S27" s="145" t="s">
        <v>408</v>
      </c>
      <c r="T27" s="145" t="s">
        <v>260</v>
      </c>
      <c r="U27" s="145" t="s">
        <v>261</v>
      </c>
      <c r="V27" s="145" t="s">
        <v>808</v>
      </c>
      <c r="W27" s="145" t="s">
        <v>817</v>
      </c>
      <c r="Z27" s="140" t="s">
        <v>262</v>
      </c>
      <c r="AA27" s="1166" t="s">
        <v>316</v>
      </c>
      <c r="AB27" s="146" t="s">
        <v>263</v>
      </c>
      <c r="AC27" s="146" t="s">
        <v>264</v>
      </c>
      <c r="AD27" s="1167" t="s">
        <v>817</v>
      </c>
      <c r="AE27" s="146" t="s">
        <v>266</v>
      </c>
    </row>
    <row r="28" spans="2:31" ht="14.25" customHeight="1" thickBot="1" x14ac:dyDescent="0.35">
      <c r="B28" s="99"/>
      <c r="E28" s="99"/>
      <c r="F28" s="99"/>
      <c r="R28" s="147" t="s">
        <v>267</v>
      </c>
      <c r="S28" s="754">
        <f>U28*S40</f>
        <v>30783.84</v>
      </c>
      <c r="T28" s="754">
        <f>U28*U40</f>
        <v>4616.16</v>
      </c>
      <c r="U28" s="760">
        <f>$Z$1</f>
        <v>35400</v>
      </c>
      <c r="V28" s="148">
        <f>SUM(AP5:AP12)</f>
        <v>2777.9298305084753</v>
      </c>
      <c r="W28" s="148">
        <f>H37</f>
        <v>16.940000000000001</v>
      </c>
      <c r="Z28" s="150"/>
      <c r="AA28" s="1169"/>
      <c r="AB28" s="151">
        <f>AA25*$S$40</f>
        <v>0.86960000000000004</v>
      </c>
      <c r="AC28" s="151">
        <f>AA25*$U$40</f>
        <v>0.13039999999999999</v>
      </c>
      <c r="AD28" s="1169"/>
      <c r="AE28" s="153">
        <f>SUM(AB28:AD28)</f>
        <v>1</v>
      </c>
    </row>
    <row r="29" spans="2:31" ht="14.25" customHeight="1" thickBot="1" x14ac:dyDescent="0.35">
      <c r="B29" s="99"/>
      <c r="E29" s="99"/>
      <c r="F29" s="99"/>
      <c r="R29" s="147" t="s">
        <v>268</v>
      </c>
      <c r="S29" s="756"/>
      <c r="T29" s="1330"/>
      <c r="U29" s="148">
        <f>T29</f>
        <v>0</v>
      </c>
      <c r="V29" s="148"/>
      <c r="W29" s="148"/>
      <c r="Z29" s="150"/>
      <c r="AA29" s="1173"/>
      <c r="AB29" s="155">
        <f>AB28/$AE$28</f>
        <v>0.86960000000000004</v>
      </c>
      <c r="AC29" s="155">
        <f>AC28/$AE$28</f>
        <v>0.13039999999999999</v>
      </c>
      <c r="AD29" s="1173"/>
      <c r="AE29" s="155">
        <f>AE28/$AE$28</f>
        <v>1</v>
      </c>
    </row>
    <row r="30" spans="2:31" ht="14.25" customHeight="1" thickBot="1" x14ac:dyDescent="0.35">
      <c r="R30" s="147" t="s">
        <v>269</v>
      </c>
      <c r="S30" s="756">
        <f>U30*S40</f>
        <v>434.8</v>
      </c>
      <c r="T30" s="756">
        <f>U30*U40</f>
        <v>65.199999999999989</v>
      </c>
      <c r="U30" s="1329">
        <f>$AB$1</f>
        <v>500</v>
      </c>
      <c r="V30" s="1124"/>
      <c r="W30" s="1124"/>
      <c r="Z30" s="140" t="s">
        <v>270</v>
      </c>
      <c r="AA30" s="1177">
        <f>V35/(S32/R1)</f>
        <v>3.1802323081702393E-4</v>
      </c>
      <c r="AB30" s="156">
        <f>S35/(S32)</f>
        <v>3.3701221915648401E-2</v>
      </c>
      <c r="AC30" s="157">
        <f>T35/T32</f>
        <v>1.1954119648446233E-2</v>
      </c>
      <c r="AD30" s="1180">
        <f>W35/U32</f>
        <v>3.2667666595243194E-5</v>
      </c>
      <c r="AE30" s="1182">
        <f>SUMPRODUCT(AB30:AC30,AB29:AC29)+AD30</f>
        <v>3.0898067446600484E-2</v>
      </c>
    </row>
    <row r="31" spans="2:31" ht="14.25" customHeight="1" thickBot="1" x14ac:dyDescent="0.35">
      <c r="R31" s="147" t="s">
        <v>271</v>
      </c>
      <c r="S31" s="154"/>
      <c r="T31" s="148"/>
      <c r="U31" s="148"/>
      <c r="V31" s="148"/>
      <c r="W31" s="148"/>
    </row>
    <row r="32" spans="2:31" ht="14.25" customHeight="1" thickBot="1" x14ac:dyDescent="0.35">
      <c r="R32" s="159" t="s">
        <v>261</v>
      </c>
      <c r="S32" s="148">
        <f>SUM(S28:S30)</f>
        <v>31218.639999999999</v>
      </c>
      <c r="T32" s="148">
        <f>SUM(T28:T30)</f>
        <v>4681.3599999999997</v>
      </c>
      <c r="U32" s="148">
        <f>SUM(U28:U30)</f>
        <v>35900</v>
      </c>
      <c r="V32" s="148"/>
      <c r="W32" s="148">
        <f>SUM(W28:W30)</f>
        <v>16.940000000000001</v>
      </c>
    </row>
    <row r="33" spans="2:23" ht="14.25" customHeight="1" thickBot="1" x14ac:dyDescent="0.35">
      <c r="B33" s="99"/>
      <c r="E33" s="99"/>
      <c r="F33" s="99"/>
      <c r="R33" s="160" t="s">
        <v>272</v>
      </c>
      <c r="S33" s="154"/>
      <c r="T33" s="154"/>
      <c r="U33" s="154"/>
      <c r="V33" s="154"/>
      <c r="W33" s="154"/>
    </row>
    <row r="34" spans="2:23" ht="14.25" customHeight="1" thickBot="1" x14ac:dyDescent="0.35">
      <c r="R34" s="161" t="s">
        <v>273</v>
      </c>
      <c r="S34" s="154"/>
      <c r="T34" s="148"/>
      <c r="U34" s="154"/>
      <c r="V34" s="154"/>
      <c r="W34" s="154"/>
    </row>
    <row r="35" spans="2:23" ht="14.25" customHeight="1" thickBot="1" x14ac:dyDescent="0.35">
      <c r="B35" s="1484" t="s">
        <v>685</v>
      </c>
      <c r="C35" s="1484"/>
      <c r="D35" s="1484"/>
      <c r="E35" s="1484"/>
      <c r="F35" s="1484"/>
      <c r="G35" s="870"/>
      <c r="H35" s="870"/>
      <c r="I35" s="877"/>
      <c r="J35" s="877"/>
      <c r="K35" s="877"/>
      <c r="L35" s="877"/>
      <c r="R35" s="162" t="s">
        <v>253</v>
      </c>
      <c r="S35" s="1125">
        <f>$L$5</f>
        <v>1052.1063145447379</v>
      </c>
      <c r="T35" s="1125">
        <f>SUM(L6:L14)</f>
        <v>55.961537557450256</v>
      </c>
      <c r="U35" s="1125">
        <f>S35+T35+V35+W35</f>
        <v>1126.0681683745061</v>
      </c>
      <c r="V35" s="1125">
        <f>SUM(AT6:AT12)</f>
        <v>16.827547041548435</v>
      </c>
      <c r="W35" s="1125">
        <f>L37</f>
        <v>1.1727692307692308</v>
      </c>
    </row>
    <row r="36" spans="2:23" ht="46.5" x14ac:dyDescent="0.3">
      <c r="B36" s="848" t="s">
        <v>245</v>
      </c>
      <c r="C36" s="848" t="s">
        <v>321</v>
      </c>
      <c r="D36" s="850" t="s">
        <v>645</v>
      </c>
      <c r="E36" s="847" t="s">
        <v>646</v>
      </c>
      <c r="F36" s="850" t="s">
        <v>647</v>
      </c>
      <c r="G36" s="870"/>
      <c r="H36" s="850" t="s">
        <v>647</v>
      </c>
      <c r="I36" s="850" t="s">
        <v>250</v>
      </c>
      <c r="J36" s="850" t="s">
        <v>251</v>
      </c>
      <c r="K36" s="850" t="s">
        <v>252</v>
      </c>
      <c r="L36" s="850" t="s">
        <v>253</v>
      </c>
    </row>
    <row r="37" spans="2:23" x14ac:dyDescent="0.3">
      <c r="B37" s="843" t="s">
        <v>716</v>
      </c>
      <c r="C37" s="844" t="s">
        <v>14</v>
      </c>
      <c r="D37" s="845">
        <v>7.0000000000000007E-2</v>
      </c>
      <c r="E37" s="843">
        <f>$AD$1</f>
        <v>242</v>
      </c>
      <c r="F37" s="843">
        <f>D37*E37</f>
        <v>16.940000000000001</v>
      </c>
      <c r="G37" s="869"/>
      <c r="H37" s="843">
        <f>F37</f>
        <v>16.940000000000001</v>
      </c>
      <c r="I37" s="843">
        <f>VLOOKUP(B37,All_Ingredients!$A$1:$F$149,6,FALSE())</f>
        <v>0.65</v>
      </c>
      <c r="J37" s="843">
        <f>VLOOKUP(B37,All_Ingredients!$A$1:$J$149,10,FALSE())</f>
        <v>45</v>
      </c>
      <c r="K37" s="843">
        <f>(H37/I37)/1000</f>
        <v>2.6061538461538462E-2</v>
      </c>
      <c r="L37" s="843">
        <f>K37*J37</f>
        <v>1.1727692307692308</v>
      </c>
    </row>
    <row r="38" spans="2:23" ht="14.25" customHeight="1" x14ac:dyDescent="0.3">
      <c r="S38" s="436"/>
    </row>
    <row r="40" spans="2:23" ht="15.75" customHeight="1" x14ac:dyDescent="0.3">
      <c r="Q40" s="14"/>
      <c r="R40" s="164" t="s">
        <v>274</v>
      </c>
      <c r="S40" s="238">
        <v>0.86960000000000004</v>
      </c>
      <c r="T40" s="164" t="s">
        <v>275</v>
      </c>
      <c r="U40" s="238">
        <v>0.13039999999999999</v>
      </c>
      <c r="V40" s="167">
        <f>S40+U40</f>
        <v>1</v>
      </c>
      <c r="W40" s="14"/>
    </row>
    <row r="41" spans="2:23" ht="14.25" customHeight="1" x14ac:dyDescent="0.3">
      <c r="Q41" s="14"/>
      <c r="R41" s="14"/>
      <c r="S41" s="14"/>
      <c r="T41" s="14"/>
      <c r="U41" s="168"/>
      <c r="V41" s="14"/>
      <c r="W41" s="14"/>
    </row>
    <row r="42" spans="2:23" ht="14.25" customHeight="1" x14ac:dyDescent="0.3">
      <c r="Q42" s="14"/>
      <c r="R42" s="14"/>
      <c r="S42" s="14"/>
      <c r="T42" s="14"/>
      <c r="U42" s="14"/>
      <c r="V42" s="14"/>
      <c r="W42" s="14"/>
    </row>
    <row r="43" spans="2:23" ht="14.25" customHeight="1" x14ac:dyDescent="0.3">
      <c r="Q43" s="169" t="s">
        <v>276</v>
      </c>
      <c r="R43" s="169" t="s">
        <v>277</v>
      </c>
      <c r="S43" s="169" t="s">
        <v>278</v>
      </c>
      <c r="T43" s="169" t="s">
        <v>279</v>
      </c>
      <c r="U43" s="169" t="s">
        <v>280</v>
      </c>
      <c r="V43" s="169" t="s">
        <v>281</v>
      </c>
      <c r="W43" s="257" t="s">
        <v>282</v>
      </c>
    </row>
    <row r="44" spans="2:23" ht="14.25" customHeight="1" x14ac:dyDescent="0.3">
      <c r="Q44" s="171">
        <v>76690</v>
      </c>
      <c r="R44" s="172">
        <f>D51</f>
        <v>10000</v>
      </c>
      <c r="S44" s="494">
        <v>1</v>
      </c>
      <c r="T44" s="240">
        <v>0</v>
      </c>
      <c r="U44" s="241">
        <f>R44*S44</f>
        <v>10000</v>
      </c>
      <c r="V44" s="175">
        <f>R44*T44</f>
        <v>0</v>
      </c>
      <c r="W44" s="259">
        <f>Q44-U44</f>
        <v>66690</v>
      </c>
    </row>
    <row r="50" spans="1:10" x14ac:dyDescent="0.3">
      <c r="B50" s="275"/>
      <c r="C50" s="144" t="s">
        <v>237</v>
      </c>
      <c r="D50" s="144" t="s">
        <v>283</v>
      </c>
      <c r="E50" s="99"/>
      <c r="F50" s="99"/>
      <c r="G50" s="144" t="s">
        <v>284</v>
      </c>
      <c r="H50" s="144" t="s">
        <v>237</v>
      </c>
      <c r="I50" s="144" t="s">
        <v>285</v>
      </c>
      <c r="J50" s="144" t="s">
        <v>286</v>
      </c>
    </row>
    <row r="51" spans="1:10" x14ac:dyDescent="0.3">
      <c r="B51" s="179" t="s">
        <v>287</v>
      </c>
      <c r="C51" s="180">
        <f>10/$K$1</f>
        <v>10</v>
      </c>
      <c r="D51" s="181">
        <f>$C$1*10</f>
        <v>10000</v>
      </c>
      <c r="E51" s="182"/>
      <c r="F51" s="99"/>
      <c r="G51" s="179" t="s">
        <v>287</v>
      </c>
      <c r="H51" s="276">
        <f>I51/$D$5</f>
        <v>10</v>
      </c>
      <c r="I51" s="180">
        <f>J51/$R$1</f>
        <v>113033.89830508475</v>
      </c>
      <c r="J51" s="180">
        <f>$W$44</f>
        <v>66690</v>
      </c>
    </row>
    <row r="52" spans="1:10" x14ac:dyDescent="0.3">
      <c r="B52" s="230" t="s">
        <v>266</v>
      </c>
      <c r="C52" s="231">
        <f>$I$1</f>
        <v>4.6813599999999997</v>
      </c>
      <c r="D52" s="232">
        <f>$E$1</f>
        <v>4681.3599999999997</v>
      </c>
      <c r="E52" s="99"/>
      <c r="F52" s="99"/>
      <c r="G52" s="147" t="s">
        <v>266</v>
      </c>
      <c r="H52" s="209">
        <f>I52/$D$5</f>
        <v>4.6811575948418049</v>
      </c>
      <c r="I52" s="175">
        <f>J52/$R$1</f>
        <v>52912.949152542373</v>
      </c>
      <c r="J52" s="183">
        <f>$S$32</f>
        <v>31218.639999999999</v>
      </c>
    </row>
    <row r="53" spans="1:10" x14ac:dyDescent="0.3">
      <c r="B53" s="230" t="s">
        <v>288</v>
      </c>
      <c r="C53" s="233">
        <f>MIN(C52, C51)</f>
        <v>4.6813599999999997</v>
      </c>
      <c r="D53" s="232">
        <f>(C53*$K$1)*$C$1</f>
        <v>4681.3599999999997</v>
      </c>
      <c r="E53" s="99"/>
      <c r="F53" s="99"/>
      <c r="G53" s="147" t="s">
        <v>288</v>
      </c>
      <c r="H53" s="186">
        <f>MIN(H52,H51)</f>
        <v>4.6811575948418049</v>
      </c>
      <c r="I53" s="175">
        <f>J53/$R$1</f>
        <v>52912.949152542373</v>
      </c>
      <c r="J53" s="175">
        <f>MIN(J52,J51)</f>
        <v>31218.639999999999</v>
      </c>
    </row>
    <row r="54" spans="1:10" x14ac:dyDescent="0.3">
      <c r="B54" s="230" t="s">
        <v>289</v>
      </c>
      <c r="C54" s="233">
        <f>MIN(MAX(C52-C53,0),C51)</f>
        <v>0</v>
      </c>
      <c r="D54" s="232">
        <f>(C54*$K$1)*$C$1</f>
        <v>0</v>
      </c>
      <c r="E54" s="99"/>
      <c r="F54" s="99"/>
      <c r="G54" s="147" t="s">
        <v>289</v>
      </c>
      <c r="H54" s="186">
        <f>MIN(MAX(H52-H53),H51)</f>
        <v>0</v>
      </c>
      <c r="I54" s="175">
        <f>J54/$R$1</f>
        <v>0</v>
      </c>
      <c r="J54" s="175">
        <f>MIN(MAX(J52-J53),J51)</f>
        <v>0</v>
      </c>
    </row>
    <row r="55" spans="1:10" x14ac:dyDescent="0.3">
      <c r="B55" s="230" t="s">
        <v>290</v>
      </c>
      <c r="C55" s="233">
        <f>MIN(MAX(C52-C53-C54,0),C51)</f>
        <v>0</v>
      </c>
      <c r="D55" s="232">
        <f>(C55*$K$1)*$C$1</f>
        <v>0</v>
      </c>
      <c r="E55" s="99"/>
      <c r="F55" s="99"/>
      <c r="G55" s="144" t="s">
        <v>290</v>
      </c>
      <c r="H55" s="186">
        <f>MIN(MAX(H52-H53-H54),H51)</f>
        <v>0</v>
      </c>
      <c r="I55" s="175">
        <f>J55/$R$1</f>
        <v>0</v>
      </c>
      <c r="J55" s="175">
        <f>MIN(MAX(J52-J53-J54),J51)</f>
        <v>0</v>
      </c>
    </row>
    <row r="62" spans="1:10" ht="18" customHeight="1" x14ac:dyDescent="0.3">
      <c r="A62" s="923"/>
      <c r="B62" s="1438" t="str">
        <f>"ستيك دجاج صوص ميكس  1 / " &amp; COUNTIF($C$53:$C$55, "&gt;0")</f>
        <v>ستيك دجاج صوص ميكس  1 / 1</v>
      </c>
      <c r="C62" s="1439"/>
      <c r="D62" s="1439"/>
      <c r="E62" s="1439"/>
      <c r="F62" s="1439"/>
      <c r="G62" s="1439"/>
      <c r="H62" s="1439"/>
    </row>
    <row r="63" spans="1:10" ht="18" customHeight="1" x14ac:dyDescent="0.3">
      <c r="A63" s="923"/>
      <c r="B63" s="1436" t="str">
        <f>"Chicken Steak Mix 1 / " &amp; COUNTIF($C$53:$C$55, "&gt;0")</f>
        <v>Chicken Steak Mix 1 / 1</v>
      </c>
      <c r="C63" s="1437"/>
      <c r="D63" s="1437"/>
      <c r="E63" s="1437"/>
      <c r="F63" s="1437"/>
      <c r="G63" s="1437"/>
      <c r="H63" s="1437"/>
    </row>
    <row r="64" spans="1:10" ht="25.5" customHeight="1" x14ac:dyDescent="0.3">
      <c r="A64" s="90"/>
      <c r="B64" s="242" t="s">
        <v>245</v>
      </c>
      <c r="C64" s="243" t="s">
        <v>246</v>
      </c>
      <c r="D64" s="244" t="s">
        <v>235</v>
      </c>
      <c r="E64" s="217" t="s">
        <v>238</v>
      </c>
      <c r="F64" s="217" t="s">
        <v>247</v>
      </c>
      <c r="G64" s="244" t="s">
        <v>248</v>
      </c>
      <c r="H64" s="217" t="s">
        <v>249</v>
      </c>
    </row>
    <row r="65" spans="1:8" ht="14.25" customHeight="1" x14ac:dyDescent="0.3">
      <c r="A65" s="269" t="s">
        <v>225</v>
      </c>
      <c r="B65" s="293" t="str">
        <f t="shared" ref="B65:D74" si="14">B5</f>
        <v>Chicken - دجاج</v>
      </c>
      <c r="C65" s="293" t="str">
        <f t="shared" si="14"/>
        <v>gm</v>
      </c>
      <c r="D65" s="495">
        <f t="shared" si="14"/>
        <v>11303.389830508475</v>
      </c>
      <c r="E65" s="280">
        <f>H53</f>
        <v>4.6811575948418049</v>
      </c>
      <c r="F65" s="126">
        <f t="shared" ref="F65:F74" si="15">F5</f>
        <v>1</v>
      </c>
      <c r="G65" s="118">
        <f t="shared" ref="G65:G74" si="16">D65*E65</f>
        <v>52912.949152542373</v>
      </c>
      <c r="H65" s="119">
        <f t="shared" ref="H65:H74" si="17">G65*F65</f>
        <v>52912.949152542373</v>
      </c>
    </row>
    <row r="66" spans="1:8" ht="14.25" customHeight="1" x14ac:dyDescent="0.3">
      <c r="A66" s="269" t="s">
        <v>154</v>
      </c>
      <c r="B66" s="293" t="str">
        <f t="shared" si="14"/>
        <v>Butter - زبدة</v>
      </c>
      <c r="C66" s="293" t="str">
        <f t="shared" si="14"/>
        <v>gm</v>
      </c>
      <c r="D66" s="293">
        <f t="shared" si="14"/>
        <v>40</v>
      </c>
      <c r="E66" s="280">
        <f>$C$53</f>
        <v>4.6813599999999997</v>
      </c>
      <c r="F66" s="126">
        <f t="shared" si="15"/>
        <v>1</v>
      </c>
      <c r="G66" s="118">
        <f t="shared" si="16"/>
        <v>187.25439999999998</v>
      </c>
      <c r="H66" s="119">
        <f t="shared" si="17"/>
        <v>187.25439999999998</v>
      </c>
    </row>
    <row r="67" spans="1:8" ht="14.25" customHeight="1" x14ac:dyDescent="0.3">
      <c r="A67" s="269" t="s">
        <v>13</v>
      </c>
      <c r="B67" s="293" t="str">
        <f t="shared" si="14"/>
        <v>Garlic - ثوم مقشر</v>
      </c>
      <c r="C67" s="293" t="str">
        <f t="shared" si="14"/>
        <v>gm</v>
      </c>
      <c r="D67" s="293">
        <f t="shared" si="14"/>
        <v>40</v>
      </c>
      <c r="E67" s="280">
        <f t="shared" ref="E67:E74" si="18">$C$53</f>
        <v>4.6813599999999997</v>
      </c>
      <c r="F67" s="126">
        <f t="shared" si="15"/>
        <v>1</v>
      </c>
      <c r="G67" s="118">
        <f t="shared" si="16"/>
        <v>187.25439999999998</v>
      </c>
      <c r="H67" s="119">
        <f t="shared" si="17"/>
        <v>187.25439999999998</v>
      </c>
    </row>
    <row r="68" spans="1:8" ht="14.25" customHeight="1" x14ac:dyDescent="0.3">
      <c r="A68" s="269" t="s">
        <v>192</v>
      </c>
      <c r="B68" s="293" t="str">
        <f t="shared" si="14"/>
        <v>Tomato Ketchup - كاتشب طماطم</v>
      </c>
      <c r="C68" s="293" t="str">
        <f t="shared" si="14"/>
        <v>ml</v>
      </c>
      <c r="D68" s="293">
        <f t="shared" si="14"/>
        <v>300</v>
      </c>
      <c r="E68" s="280">
        <f>$C$53</f>
        <v>4.6813599999999997</v>
      </c>
      <c r="F68" s="126">
        <f t="shared" si="15"/>
        <v>1</v>
      </c>
      <c r="G68" s="118">
        <f t="shared" si="16"/>
        <v>1404.4079999999999</v>
      </c>
      <c r="H68" s="119">
        <f t="shared" si="17"/>
        <v>1404.4079999999999</v>
      </c>
    </row>
    <row r="69" spans="1:8" ht="14.25" customHeight="1" x14ac:dyDescent="0.3">
      <c r="A69" s="269" t="s">
        <v>192</v>
      </c>
      <c r="B69" s="293" t="str">
        <f t="shared" si="14"/>
        <v>Mustard - خردل</v>
      </c>
      <c r="C69" s="293" t="str">
        <f t="shared" si="14"/>
        <v>gm</v>
      </c>
      <c r="D69" s="293">
        <f t="shared" si="14"/>
        <v>90</v>
      </c>
      <c r="E69" s="280">
        <f t="shared" si="18"/>
        <v>4.6813599999999997</v>
      </c>
      <c r="F69" s="126">
        <f t="shared" si="15"/>
        <v>1</v>
      </c>
      <c r="G69" s="118">
        <f t="shared" si="16"/>
        <v>421.32239999999996</v>
      </c>
      <c r="H69" s="119">
        <f t="shared" si="17"/>
        <v>421.32239999999996</v>
      </c>
    </row>
    <row r="70" spans="1:8" ht="14.25" customHeight="1" x14ac:dyDescent="0.3">
      <c r="A70" s="269" t="s">
        <v>192</v>
      </c>
      <c r="B70" s="293" t="str">
        <f t="shared" si="14"/>
        <v>Tomato Paste - صلصة طماطم</v>
      </c>
      <c r="C70" s="293" t="str">
        <f t="shared" si="14"/>
        <v>gm</v>
      </c>
      <c r="D70" s="293">
        <f t="shared" si="14"/>
        <v>90</v>
      </c>
      <c r="E70" s="280">
        <f t="shared" si="18"/>
        <v>4.6813599999999997</v>
      </c>
      <c r="F70" s="126">
        <f t="shared" si="15"/>
        <v>1</v>
      </c>
      <c r="G70" s="118">
        <f t="shared" si="16"/>
        <v>421.32239999999996</v>
      </c>
      <c r="H70" s="119">
        <f t="shared" si="17"/>
        <v>421.32239999999996</v>
      </c>
    </row>
    <row r="71" spans="1:8" ht="14.25" customHeight="1" x14ac:dyDescent="0.3">
      <c r="A71" s="269" t="s">
        <v>192</v>
      </c>
      <c r="B71" s="293" t="str">
        <f t="shared" si="14"/>
        <v>Sriracha Sauce - صوص سريراتشا</v>
      </c>
      <c r="C71" s="293" t="str">
        <f t="shared" si="14"/>
        <v>ml</v>
      </c>
      <c r="D71" s="293">
        <f t="shared" si="14"/>
        <v>40</v>
      </c>
      <c r="E71" s="280">
        <f t="shared" si="18"/>
        <v>4.6813599999999997</v>
      </c>
      <c r="F71" s="126">
        <f t="shared" si="15"/>
        <v>1</v>
      </c>
      <c r="G71" s="118">
        <f t="shared" si="16"/>
        <v>187.25439999999998</v>
      </c>
      <c r="H71" s="119">
        <f t="shared" si="17"/>
        <v>187.25439999999998</v>
      </c>
    </row>
    <row r="72" spans="1:8" ht="14.25" customHeight="1" x14ac:dyDescent="0.3">
      <c r="A72" s="269" t="s">
        <v>81</v>
      </c>
      <c r="B72" s="293" t="str">
        <f t="shared" si="14"/>
        <v>Dry Oregano - أوريجانو مجفف</v>
      </c>
      <c r="C72" s="293" t="str">
        <f t="shared" si="14"/>
        <v>gm</v>
      </c>
      <c r="D72" s="293">
        <f t="shared" si="14"/>
        <v>1</v>
      </c>
      <c r="E72" s="280">
        <f t="shared" si="18"/>
        <v>4.6813599999999997</v>
      </c>
      <c r="F72" s="126">
        <f t="shared" si="15"/>
        <v>1</v>
      </c>
      <c r="G72" s="118">
        <f t="shared" si="16"/>
        <v>4.6813599999999997</v>
      </c>
      <c r="H72" s="119">
        <f t="shared" si="17"/>
        <v>4.6813599999999997</v>
      </c>
    </row>
    <row r="73" spans="1:8" ht="14.25" customHeight="1" x14ac:dyDescent="0.3">
      <c r="A73" s="269" t="s">
        <v>188</v>
      </c>
      <c r="B73" s="293" t="str">
        <f t="shared" si="14"/>
        <v>Corn Starch - نشا ذرة</v>
      </c>
      <c r="C73" s="293" t="str">
        <f t="shared" si="14"/>
        <v>gm</v>
      </c>
      <c r="D73" s="293">
        <f t="shared" si="14"/>
        <v>20</v>
      </c>
      <c r="E73" s="280">
        <f t="shared" si="18"/>
        <v>4.6813599999999997</v>
      </c>
      <c r="F73" s="126">
        <f t="shared" si="15"/>
        <v>1</v>
      </c>
      <c r="G73" s="118">
        <f t="shared" si="16"/>
        <v>93.627199999999988</v>
      </c>
      <c r="H73" s="119">
        <f t="shared" si="17"/>
        <v>93.627199999999988</v>
      </c>
    </row>
    <row r="74" spans="1:8" ht="14.25" customHeight="1" x14ac:dyDescent="0.3">
      <c r="A74" s="269" t="s">
        <v>154</v>
      </c>
      <c r="B74" s="293" t="str">
        <f t="shared" si="14"/>
        <v>Cooking Cream - كريمة طبخ</v>
      </c>
      <c r="C74" s="293" t="str">
        <f t="shared" si="14"/>
        <v>ml</v>
      </c>
      <c r="D74" s="293">
        <f t="shared" si="14"/>
        <v>400</v>
      </c>
      <c r="E74" s="280">
        <f t="shared" si="18"/>
        <v>4.6813599999999997</v>
      </c>
      <c r="F74" s="126">
        <f t="shared" si="15"/>
        <v>1</v>
      </c>
      <c r="G74" s="118">
        <f t="shared" si="16"/>
        <v>1872.5439999999999</v>
      </c>
      <c r="H74" s="119">
        <f t="shared" si="17"/>
        <v>1872.5439999999999</v>
      </c>
    </row>
    <row r="75" spans="1:8" ht="20.25" customHeight="1" x14ac:dyDescent="0.3">
      <c r="A75" s="210"/>
      <c r="B75" s="197" t="s">
        <v>291</v>
      </c>
      <c r="C75" s="199" t="s">
        <v>277</v>
      </c>
      <c r="D75" s="14"/>
      <c r="E75" s="199" t="s">
        <v>292</v>
      </c>
      <c r="F75" s="14"/>
      <c r="G75" s="878" t="s">
        <v>268</v>
      </c>
      <c r="H75" s="878" t="s">
        <v>703</v>
      </c>
    </row>
    <row r="76" spans="1:8" ht="28.25" customHeight="1" x14ac:dyDescent="0.4">
      <c r="A76" s="210"/>
      <c r="B76" s="198">
        <f>$J$53</f>
        <v>31218.639999999999</v>
      </c>
      <c r="C76" s="198">
        <f>E76+G76</f>
        <v>4681.3599999999997</v>
      </c>
      <c r="D76" s="915"/>
      <c r="E76" s="198">
        <f>$D$53*$S$44</f>
        <v>4681.3599999999997</v>
      </c>
      <c r="F76" s="919"/>
      <c r="G76" s="198">
        <f>$D$53*$T$44</f>
        <v>0</v>
      </c>
      <c r="H76" s="198">
        <f>B76+E76</f>
        <v>35900</v>
      </c>
    </row>
    <row r="77" spans="1:8" x14ac:dyDescent="0.3">
      <c r="C77" s="915"/>
      <c r="D77" s="915"/>
      <c r="E77" s="915"/>
      <c r="F77" s="915"/>
      <c r="G77" s="915"/>
      <c r="H77" s="915"/>
    </row>
    <row r="78" spans="1:8" ht="17.75" customHeight="1" x14ac:dyDescent="0.3">
      <c r="A78" s="264"/>
      <c r="B78" s="1438" t="str">
        <f>"ستيك دجاج ميكس 2 / " &amp; COUNTIF($C$53:$C$55, "&gt;0")</f>
        <v>ستيك دجاج ميكس 2 / 1</v>
      </c>
      <c r="C78" s="1444"/>
      <c r="D78" s="1444"/>
      <c r="E78" s="1444"/>
      <c r="F78" s="1444"/>
      <c r="G78" s="1444"/>
      <c r="H78" s="1444"/>
    </row>
    <row r="79" spans="1:8" ht="17.75" customHeight="1" x14ac:dyDescent="0.3">
      <c r="A79" s="264"/>
      <c r="B79" s="1436" t="str">
        <f>"Chicken Steak 2 / " &amp; COUNTIF($C$53:$C$55, "&gt;0")</f>
        <v>Chicken Steak 2 / 1</v>
      </c>
      <c r="C79" s="1446"/>
      <c r="D79" s="1446"/>
      <c r="E79" s="1446"/>
      <c r="F79" s="1446"/>
      <c r="G79" s="1446"/>
      <c r="H79" s="1446"/>
    </row>
    <row r="80" spans="1:8" ht="25.5" customHeight="1" x14ac:dyDescent="0.3">
      <c r="A80" s="90"/>
      <c r="B80" s="242" t="s">
        <v>245</v>
      </c>
      <c r="C80" s="243" t="s">
        <v>246</v>
      </c>
      <c r="D80" s="244" t="s">
        <v>235</v>
      </c>
      <c r="E80" s="217" t="s">
        <v>238</v>
      </c>
      <c r="F80" s="217" t="s">
        <v>247</v>
      </c>
      <c r="G80" s="244" t="s">
        <v>248</v>
      </c>
      <c r="H80" s="217" t="s">
        <v>249</v>
      </c>
    </row>
    <row r="81" spans="1:9" ht="14.25" customHeight="1" x14ac:dyDescent="0.3">
      <c r="A81" s="269" t="s">
        <v>225</v>
      </c>
      <c r="B81" s="293" t="str">
        <f t="shared" ref="B81:D90" si="19">B5</f>
        <v>Chicken - دجاج</v>
      </c>
      <c r="C81" s="293" t="str">
        <f t="shared" si="19"/>
        <v>gm</v>
      </c>
      <c r="D81" s="416">
        <f t="shared" si="19"/>
        <v>11303.389830508475</v>
      </c>
      <c r="E81" s="196">
        <f>H54</f>
        <v>0</v>
      </c>
      <c r="F81" s="126">
        <f t="shared" ref="F81:F90" si="20">F5</f>
        <v>1</v>
      </c>
      <c r="G81" s="118">
        <f t="shared" ref="G81:G90" si="21">D81*E81</f>
        <v>0</v>
      </c>
      <c r="H81" s="119">
        <f t="shared" ref="H81:H90" si="22">G81*F81</f>
        <v>0</v>
      </c>
    </row>
    <row r="82" spans="1:9" ht="14.25" customHeight="1" x14ac:dyDescent="0.3">
      <c r="A82" s="269" t="s">
        <v>154</v>
      </c>
      <c r="B82" s="293" t="str">
        <f t="shared" si="19"/>
        <v>Butter - زبدة</v>
      </c>
      <c r="C82" s="293" t="str">
        <f t="shared" si="19"/>
        <v>gm</v>
      </c>
      <c r="D82" s="293">
        <f t="shared" si="19"/>
        <v>40</v>
      </c>
      <c r="E82" s="196">
        <f t="shared" ref="E82:E90" si="23">$C$54</f>
        <v>0</v>
      </c>
      <c r="F82" s="126">
        <f t="shared" si="20"/>
        <v>1</v>
      </c>
      <c r="G82" s="118">
        <f t="shared" si="21"/>
        <v>0</v>
      </c>
      <c r="H82" s="119">
        <f t="shared" si="22"/>
        <v>0</v>
      </c>
    </row>
    <row r="83" spans="1:9" ht="14.25" customHeight="1" x14ac:dyDescent="0.3">
      <c r="A83" s="269" t="s">
        <v>13</v>
      </c>
      <c r="B83" s="293" t="str">
        <f t="shared" si="19"/>
        <v>Garlic - ثوم مقشر</v>
      </c>
      <c r="C83" s="293" t="str">
        <f t="shared" si="19"/>
        <v>gm</v>
      </c>
      <c r="D83" s="293">
        <f t="shared" si="19"/>
        <v>40</v>
      </c>
      <c r="E83" s="196">
        <f t="shared" si="23"/>
        <v>0</v>
      </c>
      <c r="F83" s="126">
        <f t="shared" si="20"/>
        <v>1</v>
      </c>
      <c r="G83" s="118">
        <f t="shared" si="21"/>
        <v>0</v>
      </c>
      <c r="H83" s="119">
        <f t="shared" si="22"/>
        <v>0</v>
      </c>
    </row>
    <row r="84" spans="1:9" ht="14.25" customHeight="1" x14ac:dyDescent="0.3">
      <c r="A84" s="269" t="s">
        <v>192</v>
      </c>
      <c r="B84" s="293" t="str">
        <f t="shared" si="19"/>
        <v>Tomato Ketchup - كاتشب طماطم</v>
      </c>
      <c r="C84" s="293" t="str">
        <f t="shared" si="19"/>
        <v>ml</v>
      </c>
      <c r="D84" s="293">
        <f t="shared" si="19"/>
        <v>300</v>
      </c>
      <c r="E84" s="196">
        <f t="shared" si="23"/>
        <v>0</v>
      </c>
      <c r="F84" s="126">
        <f t="shared" si="20"/>
        <v>1</v>
      </c>
      <c r="G84" s="118">
        <f t="shared" si="21"/>
        <v>0</v>
      </c>
      <c r="H84" s="119">
        <f t="shared" si="22"/>
        <v>0</v>
      </c>
    </row>
    <row r="85" spans="1:9" ht="14.25" customHeight="1" x14ac:dyDescent="0.3">
      <c r="A85" s="269" t="s">
        <v>192</v>
      </c>
      <c r="B85" s="293" t="str">
        <f t="shared" si="19"/>
        <v>Mustard - خردل</v>
      </c>
      <c r="C85" s="293" t="str">
        <f t="shared" si="19"/>
        <v>gm</v>
      </c>
      <c r="D85" s="293">
        <f t="shared" si="19"/>
        <v>90</v>
      </c>
      <c r="E85" s="196">
        <f t="shared" si="23"/>
        <v>0</v>
      </c>
      <c r="F85" s="126">
        <f t="shared" si="20"/>
        <v>1</v>
      </c>
      <c r="G85" s="118">
        <f t="shared" si="21"/>
        <v>0</v>
      </c>
      <c r="H85" s="119">
        <f t="shared" si="22"/>
        <v>0</v>
      </c>
    </row>
    <row r="86" spans="1:9" ht="14.25" customHeight="1" x14ac:dyDescent="0.3">
      <c r="A86" s="269" t="s">
        <v>192</v>
      </c>
      <c r="B86" s="293" t="str">
        <f t="shared" si="19"/>
        <v>Tomato Paste - صلصة طماطم</v>
      </c>
      <c r="C86" s="293" t="str">
        <f t="shared" si="19"/>
        <v>gm</v>
      </c>
      <c r="D86" s="293">
        <f t="shared" si="19"/>
        <v>90</v>
      </c>
      <c r="E86" s="196">
        <f t="shared" si="23"/>
        <v>0</v>
      </c>
      <c r="F86" s="126">
        <f t="shared" si="20"/>
        <v>1</v>
      </c>
      <c r="G86" s="118">
        <f t="shared" si="21"/>
        <v>0</v>
      </c>
      <c r="H86" s="119">
        <f t="shared" si="22"/>
        <v>0</v>
      </c>
    </row>
    <row r="87" spans="1:9" ht="14.25" customHeight="1" x14ac:dyDescent="0.3">
      <c r="A87" s="269" t="s">
        <v>192</v>
      </c>
      <c r="B87" s="293" t="str">
        <f t="shared" si="19"/>
        <v>Sriracha Sauce - صوص سريراتشا</v>
      </c>
      <c r="C87" s="293" t="str">
        <f t="shared" si="19"/>
        <v>ml</v>
      </c>
      <c r="D87" s="293">
        <f t="shared" si="19"/>
        <v>40</v>
      </c>
      <c r="E87" s="196">
        <f t="shared" si="23"/>
        <v>0</v>
      </c>
      <c r="F87" s="126">
        <f t="shared" si="20"/>
        <v>1</v>
      </c>
      <c r="G87" s="118">
        <f t="shared" si="21"/>
        <v>0</v>
      </c>
      <c r="H87" s="119">
        <f t="shared" si="22"/>
        <v>0</v>
      </c>
    </row>
    <row r="88" spans="1:9" ht="14.25" customHeight="1" x14ac:dyDescent="0.3">
      <c r="A88" s="269" t="s">
        <v>81</v>
      </c>
      <c r="B88" s="293" t="str">
        <f t="shared" si="19"/>
        <v>Dry Oregano - أوريجانو مجفف</v>
      </c>
      <c r="C88" s="293" t="str">
        <f t="shared" si="19"/>
        <v>gm</v>
      </c>
      <c r="D88" s="293">
        <f t="shared" si="19"/>
        <v>1</v>
      </c>
      <c r="E88" s="196">
        <f t="shared" si="23"/>
        <v>0</v>
      </c>
      <c r="F88" s="126">
        <f t="shared" si="20"/>
        <v>1</v>
      </c>
      <c r="G88" s="118">
        <f t="shared" si="21"/>
        <v>0</v>
      </c>
      <c r="H88" s="119">
        <f t="shared" si="22"/>
        <v>0</v>
      </c>
    </row>
    <row r="89" spans="1:9" ht="14.25" customHeight="1" x14ac:dyDescent="0.3">
      <c r="A89" s="269" t="s">
        <v>188</v>
      </c>
      <c r="B89" s="293" t="str">
        <f t="shared" si="19"/>
        <v>Corn Starch - نشا ذرة</v>
      </c>
      <c r="C89" s="293" t="str">
        <f t="shared" si="19"/>
        <v>gm</v>
      </c>
      <c r="D89" s="293">
        <f t="shared" si="19"/>
        <v>20</v>
      </c>
      <c r="E89" s="196">
        <f t="shared" si="23"/>
        <v>0</v>
      </c>
      <c r="F89" s="126">
        <f t="shared" si="20"/>
        <v>1</v>
      </c>
      <c r="G89" s="118">
        <f t="shared" si="21"/>
        <v>0</v>
      </c>
      <c r="H89" s="119">
        <f t="shared" si="22"/>
        <v>0</v>
      </c>
    </row>
    <row r="90" spans="1:9" ht="14.25" customHeight="1" x14ac:dyDescent="0.3">
      <c r="A90" s="269" t="s">
        <v>154</v>
      </c>
      <c r="B90" s="293" t="str">
        <f t="shared" si="19"/>
        <v>Cooking Cream - كريمة طبخ</v>
      </c>
      <c r="C90" s="293" t="str">
        <f t="shared" si="19"/>
        <v>ml</v>
      </c>
      <c r="D90" s="293">
        <f t="shared" si="19"/>
        <v>400</v>
      </c>
      <c r="E90" s="196">
        <f t="shared" si="23"/>
        <v>0</v>
      </c>
      <c r="F90" s="126">
        <f t="shared" si="20"/>
        <v>1</v>
      </c>
      <c r="G90" s="118">
        <f t="shared" si="21"/>
        <v>0</v>
      </c>
      <c r="H90" s="119">
        <f t="shared" si="22"/>
        <v>0</v>
      </c>
    </row>
    <row r="91" spans="1:9" ht="20.25" customHeight="1" x14ac:dyDescent="0.3">
      <c r="A91" s="210"/>
      <c r="B91" s="197" t="s">
        <v>291</v>
      </c>
      <c r="C91" s="199" t="s">
        <v>277</v>
      </c>
      <c r="D91" s="14"/>
      <c r="E91" s="199" t="s">
        <v>292</v>
      </c>
      <c r="F91" s="14"/>
      <c r="G91" s="878" t="s">
        <v>268</v>
      </c>
      <c r="H91" s="878" t="s">
        <v>703</v>
      </c>
      <c r="I91" s="203"/>
    </row>
    <row r="92" spans="1:9" ht="20" x14ac:dyDescent="0.4">
      <c r="A92" s="210"/>
      <c r="B92" s="198">
        <f>$J$54</f>
        <v>0</v>
      </c>
      <c r="C92" s="198">
        <f>E92+G92</f>
        <v>0</v>
      </c>
      <c r="D92" s="915"/>
      <c r="E92" s="198">
        <f>$D$54*$S$44</f>
        <v>0</v>
      </c>
      <c r="F92" s="919"/>
      <c r="G92" s="198">
        <f>$D$54*$T$44</f>
        <v>0</v>
      </c>
      <c r="H92" s="198">
        <f>B92+E92</f>
        <v>0</v>
      </c>
    </row>
    <row r="93" spans="1:9" x14ac:dyDescent="0.3">
      <c r="C93" s="915"/>
      <c r="D93" s="915"/>
      <c r="E93" s="915"/>
      <c r="F93" s="915"/>
      <c r="G93" s="915"/>
      <c r="H93" s="915"/>
    </row>
  </sheetData>
  <mergeCells count="11">
    <mergeCell ref="AK2:AM2"/>
    <mergeCell ref="B2:J3"/>
    <mergeCell ref="AE2:AG3"/>
    <mergeCell ref="B79:H79"/>
    <mergeCell ref="R26:U26"/>
    <mergeCell ref="R25:U25"/>
    <mergeCell ref="B62:H62"/>
    <mergeCell ref="B78:H78"/>
    <mergeCell ref="K2:K3"/>
    <mergeCell ref="B63:H63"/>
    <mergeCell ref="B35:F35"/>
  </mergeCells>
  <printOptions horizontalCentered="1"/>
  <pageMargins left="0.5" right="0.5" top="1" bottom="0.5" header="0.3" footer="0.511811023622047"/>
  <pageSetup paperSize="9" scale="32" orientation="portrait" r:id="rId1"/>
  <legacyDrawing r:id="rId2"/>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rgb="FF7C7C7C"/>
    <pageSetUpPr fitToPage="1"/>
  </sheetPr>
  <dimension ref="A1:AG103"/>
  <sheetViews>
    <sheetView topLeftCell="A5" zoomScale="55" zoomScaleNormal="55" workbookViewId="0">
      <selection activeCell="T95" sqref="T95"/>
    </sheetView>
  </sheetViews>
  <sheetFormatPr defaultColWidth="12.5" defaultRowHeight="14" x14ac:dyDescent="0.3"/>
  <cols>
    <col min="1" max="1" width="12.5" style="1" customWidth="1"/>
    <col min="2" max="2" width="22.58203125" customWidth="1"/>
    <col min="3" max="3" width="23.9140625" customWidth="1"/>
    <col min="4" max="4" width="19" customWidth="1"/>
    <col min="5" max="5" width="16.1640625" customWidth="1"/>
    <col min="6" max="6" width="23.08203125" customWidth="1"/>
    <col min="7" max="7" width="25.1640625" customWidth="1"/>
    <col min="8" max="8" width="36.1640625" customWidth="1"/>
    <col min="9" max="9" width="14.9140625" customWidth="1"/>
    <col min="12" max="12" width="8.33203125" customWidth="1"/>
    <col min="13" max="14" width="5.75" customWidth="1"/>
    <col min="18" max="18" width="30.5" customWidth="1"/>
    <col min="19" max="19" width="21.08203125" customWidth="1"/>
  </cols>
  <sheetData>
    <row r="1" spans="1:33" ht="53.75" customHeight="1" x14ac:dyDescent="0.3">
      <c r="B1" s="79" t="s">
        <v>235</v>
      </c>
      <c r="C1" s="80">
        <v>1000</v>
      </c>
      <c r="D1" s="81" t="s">
        <v>236</v>
      </c>
      <c r="E1" s="116">
        <f>S31</f>
        <v>12300</v>
      </c>
      <c r="F1" s="79" t="s">
        <v>237</v>
      </c>
      <c r="G1" s="248">
        <f>E1/C1</f>
        <v>12.3</v>
      </c>
      <c r="H1" s="79" t="s">
        <v>238</v>
      </c>
      <c r="I1" s="248">
        <f>(G1/K1)</f>
        <v>12.3</v>
      </c>
      <c r="J1" s="85" t="s">
        <v>239</v>
      </c>
      <c r="K1" s="248">
        <v>1</v>
      </c>
      <c r="L1" s="99"/>
      <c r="M1" s="88"/>
      <c r="N1" s="89"/>
      <c r="O1" s="90" t="s">
        <v>240</v>
      </c>
      <c r="P1" s="91" t="s">
        <v>241</v>
      </c>
      <c r="Q1" s="92" t="s">
        <v>242</v>
      </c>
      <c r="R1" s="91">
        <v>0.59</v>
      </c>
      <c r="Y1" s="90" t="s">
        <v>463</v>
      </c>
      <c r="Z1" s="835">
        <v>35400</v>
      </c>
      <c r="AA1" s="90" t="s">
        <v>578</v>
      </c>
      <c r="AB1" s="835">
        <v>500</v>
      </c>
      <c r="AC1" s="90" t="s">
        <v>567</v>
      </c>
      <c r="AD1" s="835">
        <v>242</v>
      </c>
    </row>
    <row r="2" spans="1:33" ht="12.75" customHeight="1" x14ac:dyDescent="0.3">
      <c r="A2" s="264"/>
      <c r="B2" s="1517" t="s">
        <v>93</v>
      </c>
      <c r="C2" s="1458"/>
      <c r="D2" s="1458"/>
      <c r="E2" s="1458"/>
      <c r="F2" s="1458"/>
      <c r="G2" s="1458"/>
      <c r="H2" s="1458"/>
      <c r="I2" s="1458"/>
      <c r="J2" s="1458"/>
      <c r="K2" s="1450"/>
      <c r="L2" s="292"/>
      <c r="M2" s="99"/>
      <c r="N2" s="99"/>
      <c r="O2" s="99"/>
      <c r="P2" s="99"/>
      <c r="Q2" s="99"/>
      <c r="R2" s="99"/>
      <c r="AE2" s="1433"/>
      <c r="AF2" s="1458"/>
      <c r="AG2" s="1458"/>
    </row>
    <row r="3" spans="1:33" ht="12.75" customHeight="1" x14ac:dyDescent="0.3">
      <c r="A3" s="264"/>
      <c r="B3" s="1444"/>
      <c r="C3" s="1444"/>
      <c r="D3" s="1444"/>
      <c r="E3" s="1444"/>
      <c r="F3" s="1444"/>
      <c r="G3" s="1444"/>
      <c r="H3" s="1444"/>
      <c r="I3" s="1444"/>
      <c r="J3" s="1444"/>
      <c r="K3" s="1444"/>
      <c r="L3" s="292"/>
      <c r="M3" s="99"/>
      <c r="N3" s="99"/>
      <c r="O3" s="99"/>
      <c r="P3" s="99"/>
      <c r="Q3" s="99"/>
      <c r="R3" s="99"/>
      <c r="AE3" s="1458"/>
      <c r="AF3" s="1458"/>
      <c r="AG3" s="1458"/>
    </row>
    <row r="4" spans="1:33" ht="35.25" customHeight="1" x14ac:dyDescent="0.3">
      <c r="A4" s="90" t="s">
        <v>1</v>
      </c>
      <c r="B4" s="90" t="s">
        <v>245</v>
      </c>
      <c r="C4" s="106" t="s">
        <v>246</v>
      </c>
      <c r="D4" s="90" t="s">
        <v>235</v>
      </c>
      <c r="E4" s="107" t="s">
        <v>238</v>
      </c>
      <c r="F4" s="107" t="s">
        <v>247</v>
      </c>
      <c r="G4" s="90" t="s">
        <v>248</v>
      </c>
      <c r="H4" s="330" t="s">
        <v>339</v>
      </c>
      <c r="I4" s="90" t="s">
        <v>250</v>
      </c>
      <c r="J4" s="90" t="s">
        <v>251</v>
      </c>
      <c r="K4" s="90" t="s">
        <v>252</v>
      </c>
      <c r="L4" s="90" t="s">
        <v>253</v>
      </c>
      <c r="M4" s="99"/>
      <c r="N4" s="99"/>
      <c r="O4" s="99"/>
      <c r="P4" s="99"/>
    </row>
    <row r="5" spans="1:33" ht="14.25" customHeight="1" x14ac:dyDescent="0.3">
      <c r="A5" s="269" t="s">
        <v>154</v>
      </c>
      <c r="B5" s="221" t="s">
        <v>160</v>
      </c>
      <c r="C5" s="123" t="s">
        <v>161</v>
      </c>
      <c r="D5" s="124">
        <v>550</v>
      </c>
      <c r="E5" s="222">
        <f t="shared" ref="E5:E12" si="0">$I$1</f>
        <v>12.3</v>
      </c>
      <c r="F5" s="126">
        <v>1</v>
      </c>
      <c r="G5" s="118">
        <f t="shared" ref="G5:G12" si="1">D5*E5</f>
        <v>6765</v>
      </c>
      <c r="H5" s="119">
        <f t="shared" ref="H5:H12" si="2">G5*F5</f>
        <v>6765</v>
      </c>
      <c r="I5" s="80">
        <f>VLOOKUP(B5,All_Ingredients!$A$1:$F$149,6,FALSE())</f>
        <v>1</v>
      </c>
      <c r="J5" s="118">
        <f>VLOOKUP(B5,All_Ingredients!$A$1:$J$149,10,FALSE())</f>
        <v>4.2033333333333331</v>
      </c>
      <c r="K5" s="121">
        <f t="shared" ref="K5" si="3">(H5/I5)/1000</f>
        <v>6.7649999999999997</v>
      </c>
      <c r="L5" s="121">
        <f t="shared" ref="L5" si="4">K5*J5</f>
        <v>28.435549999999996</v>
      </c>
      <c r="M5" s="99"/>
      <c r="N5" s="99"/>
      <c r="O5" s="99"/>
      <c r="P5" s="99"/>
    </row>
    <row r="6" spans="1:33" ht="14.25" customHeight="1" x14ac:dyDescent="0.3">
      <c r="A6" s="269" t="s">
        <v>154</v>
      </c>
      <c r="B6" s="221" t="s">
        <v>167</v>
      </c>
      <c r="C6" s="123" t="s">
        <v>161</v>
      </c>
      <c r="D6" s="124">
        <v>550</v>
      </c>
      <c r="E6" s="222">
        <f t="shared" si="0"/>
        <v>12.3</v>
      </c>
      <c r="F6" s="126">
        <v>1</v>
      </c>
      <c r="G6" s="118">
        <f t="shared" si="1"/>
        <v>6765</v>
      </c>
      <c r="H6" s="119">
        <f t="shared" si="2"/>
        <v>6765</v>
      </c>
      <c r="I6" s="80">
        <f>VLOOKUP(B6,All_Ingredients!$A$1:$F$149,6,FALSE())</f>
        <v>1</v>
      </c>
      <c r="J6" s="118">
        <f>VLOOKUP(B6,All_Ingredients!$A$1:$J$149,10,FALSE())</f>
        <v>12.666666666666666</v>
      </c>
      <c r="K6" s="121">
        <f t="shared" ref="K6:K12" si="5">(H6/I6)/1000</f>
        <v>6.7649999999999997</v>
      </c>
      <c r="L6" s="121">
        <f t="shared" ref="L6:L12" si="6">K6*J6</f>
        <v>85.69</v>
      </c>
    </row>
    <row r="7" spans="1:33" ht="14.25" customHeight="1" x14ac:dyDescent="0.3">
      <c r="A7" s="269" t="s">
        <v>154</v>
      </c>
      <c r="B7" s="221" t="s">
        <v>153</v>
      </c>
      <c r="C7" s="123" t="s">
        <v>14</v>
      </c>
      <c r="D7" s="124">
        <v>30</v>
      </c>
      <c r="E7" s="222">
        <f t="shared" si="0"/>
        <v>12.3</v>
      </c>
      <c r="F7" s="126">
        <v>1</v>
      </c>
      <c r="G7" s="118">
        <f t="shared" si="1"/>
        <v>369</v>
      </c>
      <c r="H7" s="119">
        <f t="shared" si="2"/>
        <v>369</v>
      </c>
      <c r="I7" s="80">
        <f>VLOOKUP(B7,All_Ingredients!$A$1:$F$149,6,FALSE())</f>
        <v>1</v>
      </c>
      <c r="J7" s="118">
        <f>VLOOKUP(B7,All_Ingredients!$A$1:$J$149,10,FALSE())</f>
        <v>30</v>
      </c>
      <c r="K7" s="121">
        <f t="shared" si="5"/>
        <v>0.36899999999999999</v>
      </c>
      <c r="L7" s="121">
        <f t="shared" si="6"/>
        <v>11.07</v>
      </c>
    </row>
    <row r="8" spans="1:33" ht="14.25" customHeight="1" x14ac:dyDescent="0.3">
      <c r="A8" s="269" t="s">
        <v>188</v>
      </c>
      <c r="B8" s="221" t="s">
        <v>187</v>
      </c>
      <c r="C8" s="123" t="s">
        <v>14</v>
      </c>
      <c r="D8" s="124">
        <v>20</v>
      </c>
      <c r="E8" s="222">
        <f t="shared" si="0"/>
        <v>12.3</v>
      </c>
      <c r="F8" s="126">
        <v>1</v>
      </c>
      <c r="G8" s="118">
        <f t="shared" si="1"/>
        <v>246</v>
      </c>
      <c r="H8" s="119">
        <f t="shared" si="2"/>
        <v>246</v>
      </c>
      <c r="I8" s="80">
        <f>VLOOKUP(B8,All_Ingredients!$A$1:$F$149,6,FALSE())</f>
        <v>1</v>
      </c>
      <c r="J8" s="118">
        <f>VLOOKUP(B8,All_Ingredients!$A$1:$J$149,10,FALSE())</f>
        <v>1.7</v>
      </c>
      <c r="K8" s="121">
        <f t="shared" si="5"/>
        <v>0.246</v>
      </c>
      <c r="L8" s="121">
        <f t="shared" si="6"/>
        <v>0.41819999999999996</v>
      </c>
    </row>
    <row r="9" spans="1:33" ht="14.25" customHeight="1" x14ac:dyDescent="0.3">
      <c r="A9" s="269" t="s">
        <v>95</v>
      </c>
      <c r="B9" s="221" t="s">
        <v>140</v>
      </c>
      <c r="C9" s="123" t="s">
        <v>14</v>
      </c>
      <c r="D9" s="124">
        <v>18</v>
      </c>
      <c r="E9" s="222">
        <f t="shared" si="0"/>
        <v>12.3</v>
      </c>
      <c r="F9" s="126">
        <v>0.75</v>
      </c>
      <c r="G9" s="118">
        <f t="shared" si="1"/>
        <v>221.4</v>
      </c>
      <c r="H9" s="119">
        <f t="shared" si="2"/>
        <v>166.05</v>
      </c>
      <c r="I9" s="80">
        <f>VLOOKUP(B9,All_Ingredients!$A$1:$F$149,6,FALSE())</f>
        <v>1</v>
      </c>
      <c r="J9" s="118">
        <f>VLOOKUP(B9,All_Ingredients!$A$1:$J$149,10,FALSE())</f>
        <v>15.277777777777779</v>
      </c>
      <c r="K9" s="121">
        <f t="shared" si="5"/>
        <v>0.16605</v>
      </c>
      <c r="L9" s="121">
        <f t="shared" si="6"/>
        <v>2.5368750000000002</v>
      </c>
    </row>
    <row r="10" spans="1:33" ht="14.25" customHeight="1" x14ac:dyDescent="0.3">
      <c r="A10" s="269" t="s">
        <v>95</v>
      </c>
      <c r="B10" s="221" t="s">
        <v>102</v>
      </c>
      <c r="C10" s="123" t="s">
        <v>14</v>
      </c>
      <c r="D10" s="124">
        <v>5</v>
      </c>
      <c r="E10" s="222">
        <f t="shared" si="0"/>
        <v>12.3</v>
      </c>
      <c r="F10" s="126">
        <v>0.75</v>
      </c>
      <c r="G10" s="118">
        <f t="shared" si="1"/>
        <v>61.5</v>
      </c>
      <c r="H10" s="119">
        <f t="shared" si="2"/>
        <v>46.125</v>
      </c>
      <c r="I10" s="80">
        <f>VLOOKUP(B10,All_Ingredients!$A$1:$F$149,6,FALSE())</f>
        <v>1</v>
      </c>
      <c r="J10" s="118">
        <f>VLOOKUP(B10,All_Ingredients!$A$1:$J$149,10,FALSE())</f>
        <v>47</v>
      </c>
      <c r="K10" s="121">
        <f t="shared" si="5"/>
        <v>4.6124999999999999E-2</v>
      </c>
      <c r="L10" s="121">
        <f t="shared" si="6"/>
        <v>2.167875</v>
      </c>
    </row>
    <row r="11" spans="1:33" ht="14.25" customHeight="1" x14ac:dyDescent="0.3">
      <c r="A11" s="269" t="s">
        <v>95</v>
      </c>
      <c r="B11" s="221" t="s">
        <v>94</v>
      </c>
      <c r="C11" s="123" t="s">
        <v>14</v>
      </c>
      <c r="D11" s="124">
        <v>4</v>
      </c>
      <c r="E11" s="222">
        <f t="shared" si="0"/>
        <v>12.3</v>
      </c>
      <c r="F11" s="126">
        <v>0.75</v>
      </c>
      <c r="G11" s="118">
        <f t="shared" si="1"/>
        <v>49.2</v>
      </c>
      <c r="H11" s="119">
        <f t="shared" si="2"/>
        <v>36.900000000000006</v>
      </c>
      <c r="I11" s="80">
        <f>VLOOKUP(B11,All_Ingredients!$A$1:$F$149,6,FALSE())</f>
        <v>1</v>
      </c>
      <c r="J11" s="118">
        <f>VLOOKUP(B11,All_Ingredients!$A$1:$J$149,10,FALSE())</f>
        <v>0.74</v>
      </c>
      <c r="K11" s="121">
        <f t="shared" si="5"/>
        <v>3.6900000000000002E-2</v>
      </c>
      <c r="L11" s="121">
        <f t="shared" si="6"/>
        <v>2.7306E-2</v>
      </c>
    </row>
    <row r="12" spans="1:33" ht="14.25" customHeight="1" x14ac:dyDescent="0.3">
      <c r="A12" s="269" t="s">
        <v>13</v>
      </c>
      <c r="B12" s="266" t="s">
        <v>12</v>
      </c>
      <c r="C12" s="123" t="s">
        <v>14</v>
      </c>
      <c r="D12" s="124">
        <v>30</v>
      </c>
      <c r="E12" s="222">
        <f t="shared" si="0"/>
        <v>12.3</v>
      </c>
      <c r="F12" s="126">
        <v>0.95</v>
      </c>
      <c r="G12" s="118">
        <f t="shared" si="1"/>
        <v>369</v>
      </c>
      <c r="H12" s="119">
        <f t="shared" si="2"/>
        <v>350.55</v>
      </c>
      <c r="I12" s="80">
        <f>VLOOKUP(B12,All_Ingredients!$A$1:$F$149,6,FALSE())</f>
        <v>0.9</v>
      </c>
      <c r="J12" s="118">
        <f>VLOOKUP(B12,All_Ingredients!$A$1:$J$149,10,FALSE())</f>
        <v>3</v>
      </c>
      <c r="K12" s="121">
        <f t="shared" si="5"/>
        <v>0.38950000000000001</v>
      </c>
      <c r="L12" s="121">
        <f t="shared" si="6"/>
        <v>1.1685000000000001</v>
      </c>
    </row>
    <row r="16" spans="1:33" ht="14.25" customHeight="1" x14ac:dyDescent="0.3">
      <c r="E16" s="99"/>
      <c r="F16" s="99"/>
      <c r="G16" s="178"/>
      <c r="H16" s="178"/>
      <c r="I16" s="178"/>
      <c r="J16" s="178"/>
      <c r="L16" s="208"/>
    </row>
    <row r="17" spans="2:30" ht="14.25" customHeight="1" x14ac:dyDescent="0.3">
      <c r="E17" s="99"/>
      <c r="F17" s="99"/>
      <c r="G17" s="178"/>
      <c r="H17" s="297"/>
      <c r="I17" s="297"/>
      <c r="J17" s="318"/>
      <c r="L17" s="208"/>
    </row>
    <row r="18" spans="2:30" ht="14.25" customHeight="1" x14ac:dyDescent="0.3">
      <c r="E18" s="99"/>
      <c r="F18" s="99"/>
      <c r="G18" s="178"/>
      <c r="H18" s="297"/>
      <c r="I18" s="297"/>
      <c r="J18" s="318"/>
      <c r="L18" s="208"/>
    </row>
    <row r="19" spans="2:30" ht="14.25" customHeight="1" x14ac:dyDescent="0.3">
      <c r="E19" s="99"/>
      <c r="F19" s="99"/>
      <c r="G19" s="178"/>
      <c r="H19" s="297"/>
      <c r="I19" s="297"/>
      <c r="J19" s="318"/>
      <c r="L19" s="208"/>
      <c r="R19" s="5"/>
      <c r="S19" s="274" t="s">
        <v>313</v>
      </c>
    </row>
    <row r="20" spans="2:30" ht="14.25" customHeight="1" x14ac:dyDescent="0.3">
      <c r="E20" s="99"/>
      <c r="F20" s="99"/>
      <c r="G20" s="178"/>
      <c r="H20" s="297"/>
      <c r="I20" s="297"/>
      <c r="J20" s="318"/>
      <c r="L20" s="208"/>
    </row>
    <row r="21" spans="2:30" ht="14.25" customHeight="1" x14ac:dyDescent="0.3">
      <c r="B21" s="99"/>
      <c r="E21" s="99"/>
      <c r="F21" s="99"/>
      <c r="L21" s="208"/>
    </row>
    <row r="22" spans="2:30" ht="14.25" customHeight="1" x14ac:dyDescent="0.3">
      <c r="B22" s="99"/>
      <c r="E22" s="99"/>
      <c r="F22" s="99"/>
      <c r="L22" s="208"/>
    </row>
    <row r="23" spans="2:30" ht="14.25" customHeight="1" x14ac:dyDescent="0.3">
      <c r="B23" s="99"/>
      <c r="E23" s="99"/>
      <c r="F23" s="99"/>
      <c r="L23" s="208"/>
    </row>
    <row r="24" spans="2:30" ht="14.25" customHeight="1" x14ac:dyDescent="0.3">
      <c r="B24" s="99"/>
      <c r="E24" s="99"/>
      <c r="F24" s="99"/>
      <c r="L24" s="208"/>
      <c r="Z24" s="1265"/>
    </row>
    <row r="25" spans="2:30" ht="14.75" customHeight="1" x14ac:dyDescent="0.35">
      <c r="B25" s="99"/>
      <c r="E25" s="99"/>
      <c r="F25" s="99"/>
      <c r="R25" s="1440" t="s">
        <v>683</v>
      </c>
      <c r="S25" s="1444"/>
      <c r="T25" s="1444"/>
      <c r="Z25" s="140" t="s">
        <v>256</v>
      </c>
      <c r="AA25" s="141">
        <v>1</v>
      </c>
      <c r="AB25" s="140" t="s">
        <v>253</v>
      </c>
      <c r="AC25" s="142">
        <f>(T34/T31)*AA25</f>
        <v>1.0692220000000001E-2</v>
      </c>
    </row>
    <row r="26" spans="2:30" ht="19.5" customHeight="1" x14ac:dyDescent="0.3">
      <c r="B26" s="99"/>
      <c r="E26" s="99"/>
      <c r="F26" s="99"/>
      <c r="R26" s="496" t="s">
        <v>257</v>
      </c>
      <c r="S26" s="497"/>
      <c r="T26" s="497"/>
      <c r="AA26" s="14"/>
      <c r="AB26" s="14"/>
      <c r="AC26" s="14"/>
      <c r="AD26" s="14"/>
    </row>
    <row r="27" spans="2:30" ht="20.75" customHeight="1" thickBot="1" x14ac:dyDescent="0.35">
      <c r="B27" s="99"/>
      <c r="E27" s="99"/>
      <c r="F27" s="99"/>
      <c r="R27" s="144" t="s">
        <v>258</v>
      </c>
      <c r="S27" s="145" t="s">
        <v>260</v>
      </c>
      <c r="T27" s="145" t="s">
        <v>261</v>
      </c>
    </row>
    <row r="28" spans="2:30" ht="14.25" customHeight="1" thickBot="1" x14ac:dyDescent="0.35">
      <c r="B28" s="99"/>
      <c r="E28" s="99"/>
      <c r="F28" s="99"/>
      <c r="R28" s="147" t="s">
        <v>267</v>
      </c>
      <c r="S28" s="148"/>
      <c r="T28" s="760">
        <f>$Z$1</f>
        <v>35400</v>
      </c>
    </row>
    <row r="29" spans="2:30" ht="14.25" customHeight="1" thickBot="1" x14ac:dyDescent="0.35">
      <c r="B29" s="99"/>
      <c r="E29" s="99"/>
      <c r="F29" s="99"/>
      <c r="R29" s="147" t="s">
        <v>268</v>
      </c>
      <c r="S29" s="1406">
        <f>T28*(1/3)</f>
        <v>11800</v>
      </c>
      <c r="T29" s="754">
        <f>S29</f>
        <v>11800</v>
      </c>
    </row>
    <row r="30" spans="2:30" ht="14.25" customHeight="1" thickBot="1" x14ac:dyDescent="0.35">
      <c r="B30" s="99"/>
      <c r="E30" s="99"/>
      <c r="F30" s="99"/>
      <c r="R30" s="147" t="s">
        <v>269</v>
      </c>
      <c r="S30" s="1329">
        <f>$AB$1</f>
        <v>500</v>
      </c>
      <c r="T30" s="756">
        <f>S30</f>
        <v>500</v>
      </c>
    </row>
    <row r="31" spans="2:30" ht="14.25" customHeight="1" thickBot="1" x14ac:dyDescent="0.35">
      <c r="B31" s="99"/>
      <c r="E31" s="99"/>
      <c r="F31" s="99"/>
      <c r="R31" s="159" t="s">
        <v>261</v>
      </c>
      <c r="S31" s="148">
        <f>SUM(S28:S30)</f>
        <v>12300</v>
      </c>
      <c r="T31" s="148">
        <f>S31</f>
        <v>12300</v>
      </c>
    </row>
    <row r="32" spans="2:30" ht="14.25" customHeight="1" thickBot="1" x14ac:dyDescent="0.35">
      <c r="R32" s="160" t="s">
        <v>272</v>
      </c>
      <c r="S32" s="154"/>
      <c r="T32" s="154"/>
    </row>
    <row r="33" spans="17:20" ht="14.25" customHeight="1" thickBot="1" x14ac:dyDescent="0.35">
      <c r="R33" s="161" t="s">
        <v>273</v>
      </c>
      <c r="S33" s="148"/>
      <c r="T33" s="154"/>
    </row>
    <row r="34" spans="17:20" ht="14.25" customHeight="1" thickBot="1" x14ac:dyDescent="0.35">
      <c r="R34" s="162" t="s">
        <v>253</v>
      </c>
      <c r="S34" s="1125">
        <f>SUM(L5:L12)</f>
        <v>131.514306</v>
      </c>
      <c r="T34" s="1213">
        <f>S34</f>
        <v>131.514306</v>
      </c>
    </row>
    <row r="35" spans="17:20" ht="14.25" customHeight="1" x14ac:dyDescent="0.3"/>
    <row r="39" spans="17:20" x14ac:dyDescent="0.3">
      <c r="R39" s="389"/>
      <c r="S39" s="498"/>
      <c r="T39" s="389"/>
    </row>
    <row r="40" spans="17:20" ht="26.75" customHeight="1" x14ac:dyDescent="0.3">
      <c r="Q40" s="14"/>
      <c r="R40" s="14"/>
      <c r="S40" s="14"/>
      <c r="T40" s="14"/>
    </row>
    <row r="41" spans="17:20" ht="14.25" customHeight="1" x14ac:dyDescent="0.3">
      <c r="Q41" s="14"/>
      <c r="R41" s="14"/>
      <c r="S41" s="14"/>
      <c r="T41" s="14"/>
    </row>
    <row r="42" spans="17:20" ht="14.25" customHeight="1" x14ac:dyDescent="0.3">
      <c r="Q42" s="14"/>
      <c r="R42" s="320"/>
      <c r="S42" s="320"/>
      <c r="T42" s="320"/>
    </row>
    <row r="43" spans="17:20" ht="14.25" customHeight="1" x14ac:dyDescent="0.3">
      <c r="Q43" s="320"/>
      <c r="R43" s="388"/>
      <c r="S43" s="391"/>
      <c r="T43" s="499"/>
    </row>
    <row r="44" spans="17:20" ht="14.25" customHeight="1" x14ac:dyDescent="0.3">
      <c r="Q44" s="14"/>
    </row>
    <row r="50" spans="1:8" x14ac:dyDescent="0.3">
      <c r="B50" s="275"/>
      <c r="C50" s="144" t="s">
        <v>237</v>
      </c>
      <c r="D50" s="144" t="s">
        <v>283</v>
      </c>
    </row>
    <row r="51" spans="1:8" x14ac:dyDescent="0.3">
      <c r="B51" s="179" t="s">
        <v>287</v>
      </c>
      <c r="C51" s="180">
        <f>10/$K$1</f>
        <v>10</v>
      </c>
      <c r="D51" s="181">
        <f>$C$1*10</f>
        <v>10000</v>
      </c>
    </row>
    <row r="52" spans="1:8" x14ac:dyDescent="0.3">
      <c r="B52" s="230" t="s">
        <v>266</v>
      </c>
      <c r="C52" s="231">
        <f>$I$1</f>
        <v>12.3</v>
      </c>
      <c r="D52" s="232">
        <f>$E$1</f>
        <v>12300</v>
      </c>
    </row>
    <row r="53" spans="1:8" x14ac:dyDescent="0.3">
      <c r="B53" s="230" t="s">
        <v>288</v>
      </c>
      <c r="C53" s="233">
        <f>MIN(C52, C51)</f>
        <v>10</v>
      </c>
      <c r="D53" s="232">
        <f>(C53*$K$1)*$C$1</f>
        <v>10000</v>
      </c>
    </row>
    <row r="54" spans="1:8" x14ac:dyDescent="0.3">
      <c r="B54" s="230" t="s">
        <v>289</v>
      </c>
      <c r="C54" s="233">
        <f>MIN(MAX(C52-C53,0),C51)</f>
        <v>2.3000000000000007</v>
      </c>
      <c r="D54" s="232">
        <f>(C54*$K$1)*$C$1</f>
        <v>2300.0000000000009</v>
      </c>
    </row>
    <row r="55" spans="1:8" x14ac:dyDescent="0.3">
      <c r="B55" s="230" t="s">
        <v>290</v>
      </c>
      <c r="C55" s="233">
        <f>MIN(MAX(C52-C53-C54,0),C51)</f>
        <v>0</v>
      </c>
      <c r="D55" s="232">
        <f>(C55*$K$1)*$C$1</f>
        <v>0</v>
      </c>
    </row>
    <row r="62" spans="1:8" ht="17.75" customHeight="1" x14ac:dyDescent="0.3">
      <c r="A62" s="923"/>
      <c r="B62" s="1438" t="str">
        <f>"ستيك دجاج صوص إضافى 1 / " &amp; COUNTIF($C$53:$C$55, "&gt;0")</f>
        <v>ستيك دجاج صوص إضافى 1 / 2</v>
      </c>
      <c r="C62" s="1439"/>
      <c r="D62" s="1439"/>
      <c r="E62" s="1439"/>
      <c r="F62" s="1439"/>
      <c r="G62" s="1439"/>
      <c r="H62" s="1439"/>
    </row>
    <row r="63" spans="1:8" ht="18" customHeight="1" x14ac:dyDescent="0.3">
      <c r="A63" s="923"/>
      <c r="B63" s="1436" t="str">
        <f>"Chicken Steak Topping 1 / " &amp; COUNTIF($C$53:$C$55, "&gt;0")</f>
        <v>Chicken Steak Topping 1 / 2</v>
      </c>
      <c r="C63" s="1437"/>
      <c r="D63" s="1437"/>
      <c r="E63" s="1437"/>
      <c r="F63" s="1437"/>
      <c r="G63" s="1437"/>
      <c r="H63" s="1437"/>
    </row>
    <row r="64" spans="1:8" ht="25.5" customHeight="1" x14ac:dyDescent="0.3">
      <c r="A64" s="90"/>
      <c r="B64" s="242" t="s">
        <v>245</v>
      </c>
      <c r="C64" s="243" t="s">
        <v>246</v>
      </c>
      <c r="D64" s="244" t="s">
        <v>235</v>
      </c>
      <c r="E64" s="217" t="s">
        <v>238</v>
      </c>
      <c r="F64" s="217" t="s">
        <v>247</v>
      </c>
      <c r="G64" s="244" t="s">
        <v>248</v>
      </c>
      <c r="H64" s="217" t="s">
        <v>249</v>
      </c>
    </row>
    <row r="65" spans="1:8" ht="14.25" customHeight="1" x14ac:dyDescent="0.3">
      <c r="A65" s="269" t="s">
        <v>154</v>
      </c>
      <c r="B65" s="293" t="str">
        <f t="shared" ref="B65:D72" si="7">B5</f>
        <v>Milk - حليب</v>
      </c>
      <c r="C65" s="293" t="str">
        <f t="shared" si="7"/>
        <v>ml</v>
      </c>
      <c r="D65" s="293">
        <f t="shared" si="7"/>
        <v>550</v>
      </c>
      <c r="E65" s="280">
        <f>$C$53</f>
        <v>10</v>
      </c>
      <c r="F65" s="126">
        <f t="shared" ref="F65:F72" si="8">F5</f>
        <v>1</v>
      </c>
      <c r="G65" s="80">
        <f t="shared" ref="G65:G72" si="9">D65*E65</f>
        <v>5500</v>
      </c>
      <c r="H65" s="119">
        <f t="shared" ref="H65:H72" si="10">G65*F65</f>
        <v>5500</v>
      </c>
    </row>
    <row r="66" spans="1:8" ht="14.25" customHeight="1" x14ac:dyDescent="0.3">
      <c r="A66" s="269" t="s">
        <v>154</v>
      </c>
      <c r="B66" s="293" t="str">
        <f t="shared" si="7"/>
        <v>Cooking Cream - كريمة طبخ</v>
      </c>
      <c r="C66" s="293" t="str">
        <f t="shared" si="7"/>
        <v>ml</v>
      </c>
      <c r="D66" s="293">
        <f t="shared" si="7"/>
        <v>550</v>
      </c>
      <c r="E66" s="280">
        <f t="shared" ref="E66:E72" si="11">$C$53</f>
        <v>10</v>
      </c>
      <c r="F66" s="126">
        <f t="shared" si="8"/>
        <v>1</v>
      </c>
      <c r="G66" s="80">
        <f t="shared" si="9"/>
        <v>5500</v>
      </c>
      <c r="H66" s="119">
        <f t="shared" si="10"/>
        <v>5500</v>
      </c>
    </row>
    <row r="67" spans="1:8" ht="14.25" customHeight="1" x14ac:dyDescent="0.3">
      <c r="A67" s="269" t="s">
        <v>154</v>
      </c>
      <c r="B67" s="293" t="str">
        <f t="shared" si="7"/>
        <v>Butter - زبدة</v>
      </c>
      <c r="C67" s="293" t="str">
        <f t="shared" si="7"/>
        <v>gm</v>
      </c>
      <c r="D67" s="293">
        <f t="shared" si="7"/>
        <v>30</v>
      </c>
      <c r="E67" s="280">
        <f t="shared" si="11"/>
        <v>10</v>
      </c>
      <c r="F67" s="126">
        <f t="shared" si="8"/>
        <v>1</v>
      </c>
      <c r="G67" s="80">
        <f t="shared" si="9"/>
        <v>300</v>
      </c>
      <c r="H67" s="119">
        <f t="shared" si="10"/>
        <v>300</v>
      </c>
    </row>
    <row r="68" spans="1:8" ht="14.25" customHeight="1" x14ac:dyDescent="0.3">
      <c r="A68" s="269" t="s">
        <v>188</v>
      </c>
      <c r="B68" s="293" t="str">
        <f t="shared" si="7"/>
        <v>Flour - دقيق</v>
      </c>
      <c r="C68" s="293" t="str">
        <f t="shared" si="7"/>
        <v>gm</v>
      </c>
      <c r="D68" s="293">
        <f t="shared" si="7"/>
        <v>20</v>
      </c>
      <c r="E68" s="280">
        <f t="shared" si="11"/>
        <v>10</v>
      </c>
      <c r="F68" s="126">
        <f t="shared" si="8"/>
        <v>1</v>
      </c>
      <c r="G68" s="80">
        <f t="shared" si="9"/>
        <v>200</v>
      </c>
      <c r="H68" s="119">
        <f t="shared" si="10"/>
        <v>200</v>
      </c>
    </row>
    <row r="69" spans="1:8" ht="14.25" customHeight="1" x14ac:dyDescent="0.3">
      <c r="A69" s="269" t="s">
        <v>95</v>
      </c>
      <c r="B69" s="293" t="str">
        <f t="shared" si="7"/>
        <v>Maggi Cubes - مكعبات ماجي</v>
      </c>
      <c r="C69" s="293" t="str">
        <f t="shared" si="7"/>
        <v>gm</v>
      </c>
      <c r="D69" s="293">
        <f t="shared" si="7"/>
        <v>18</v>
      </c>
      <c r="E69" s="280">
        <f t="shared" si="11"/>
        <v>10</v>
      </c>
      <c r="F69" s="126">
        <f t="shared" si="8"/>
        <v>0.75</v>
      </c>
      <c r="G69" s="80">
        <f t="shared" si="9"/>
        <v>180</v>
      </c>
      <c r="H69" s="119">
        <f t="shared" si="10"/>
        <v>135</v>
      </c>
    </row>
    <row r="70" spans="1:8" ht="14.25" customHeight="1" x14ac:dyDescent="0.3">
      <c r="A70" s="269" t="s">
        <v>95</v>
      </c>
      <c r="B70" s="293" t="str">
        <f t="shared" si="7"/>
        <v>White Pepper - فلفل أبيض</v>
      </c>
      <c r="C70" s="293" t="str">
        <f t="shared" si="7"/>
        <v>gm</v>
      </c>
      <c r="D70" s="293">
        <f t="shared" si="7"/>
        <v>5</v>
      </c>
      <c r="E70" s="280">
        <f t="shared" si="11"/>
        <v>10</v>
      </c>
      <c r="F70" s="126">
        <f t="shared" si="8"/>
        <v>0.75</v>
      </c>
      <c r="G70" s="80">
        <f t="shared" si="9"/>
        <v>50</v>
      </c>
      <c r="H70" s="119">
        <f t="shared" si="10"/>
        <v>37.5</v>
      </c>
    </row>
    <row r="71" spans="1:8" ht="14.25" customHeight="1" x14ac:dyDescent="0.3">
      <c r="A71" s="269" t="s">
        <v>95</v>
      </c>
      <c r="B71" s="293" t="str">
        <f t="shared" si="7"/>
        <v>Salt - ملح</v>
      </c>
      <c r="C71" s="293" t="str">
        <f t="shared" si="7"/>
        <v>gm</v>
      </c>
      <c r="D71" s="293">
        <f t="shared" si="7"/>
        <v>4</v>
      </c>
      <c r="E71" s="280">
        <f t="shared" si="11"/>
        <v>10</v>
      </c>
      <c r="F71" s="126">
        <f t="shared" si="8"/>
        <v>0.75</v>
      </c>
      <c r="G71" s="80">
        <f t="shared" si="9"/>
        <v>40</v>
      </c>
      <c r="H71" s="119">
        <f t="shared" si="10"/>
        <v>30</v>
      </c>
    </row>
    <row r="72" spans="1:8" ht="14.25" customHeight="1" x14ac:dyDescent="0.3">
      <c r="A72" s="269" t="s">
        <v>13</v>
      </c>
      <c r="B72" s="293" t="str">
        <f t="shared" si="7"/>
        <v>Onion - بصل</v>
      </c>
      <c r="C72" s="293" t="str">
        <f t="shared" si="7"/>
        <v>gm</v>
      </c>
      <c r="D72" s="293">
        <f t="shared" si="7"/>
        <v>30</v>
      </c>
      <c r="E72" s="280">
        <f t="shared" si="11"/>
        <v>10</v>
      </c>
      <c r="F72" s="126">
        <f t="shared" si="8"/>
        <v>0.95</v>
      </c>
      <c r="G72" s="80">
        <f t="shared" si="9"/>
        <v>300</v>
      </c>
      <c r="H72" s="119">
        <f t="shared" si="10"/>
        <v>285</v>
      </c>
    </row>
    <row r="73" spans="1:8" ht="20.25" customHeight="1" x14ac:dyDescent="0.3">
      <c r="A73" s="210"/>
      <c r="B73" s="197" t="s">
        <v>291</v>
      </c>
      <c r="C73" s="199" t="s">
        <v>277</v>
      </c>
      <c r="D73" s="14"/>
      <c r="E73" s="199" t="s">
        <v>292</v>
      </c>
      <c r="F73" s="14"/>
      <c r="G73" s="878" t="s">
        <v>268</v>
      </c>
      <c r="H73" s="878" t="s">
        <v>703</v>
      </c>
    </row>
    <row r="74" spans="1:8" ht="29.5" customHeight="1" x14ac:dyDescent="0.4">
      <c r="A74" s="210"/>
      <c r="B74" s="198">
        <f>$J$53</f>
        <v>0</v>
      </c>
      <c r="C74" s="198">
        <f>E74+G74</f>
        <v>10000</v>
      </c>
      <c r="D74" s="915"/>
      <c r="E74" s="198">
        <v>0</v>
      </c>
      <c r="F74" s="919"/>
      <c r="G74" s="198">
        <f>D53</f>
        <v>10000</v>
      </c>
      <c r="H74" s="198">
        <f>B74+E74</f>
        <v>0</v>
      </c>
    </row>
    <row r="75" spans="1:8" ht="14.25" customHeight="1" x14ac:dyDescent="0.3">
      <c r="A75" s="836"/>
      <c r="B75" s="863"/>
      <c r="C75" s="893"/>
      <c r="D75" s="894"/>
      <c r="E75" s="863"/>
      <c r="F75" s="863"/>
      <c r="G75" s="864"/>
      <c r="H75" s="864"/>
    </row>
    <row r="76" spans="1:8" ht="17.75" customHeight="1" x14ac:dyDescent="0.3">
      <c r="A76" s="923"/>
      <c r="B76" s="1438" t="str">
        <f>"ستيك دجاج صوص إضافى 2 / " &amp; COUNTIF($C$53:$C$55, "&gt;0")</f>
        <v>ستيك دجاج صوص إضافى 2 / 2</v>
      </c>
      <c r="C76" s="1438"/>
      <c r="D76" s="1438"/>
      <c r="E76" s="1438"/>
      <c r="F76" s="1438"/>
      <c r="G76" s="1438"/>
      <c r="H76" s="1438"/>
    </row>
    <row r="77" spans="1:8" ht="18" customHeight="1" x14ac:dyDescent="0.3">
      <c r="A77" s="923"/>
      <c r="B77" s="1436" t="str">
        <f>"Chicken Steak Topping 2 / " &amp; COUNTIF($C$53:$C$55, "&gt;0")</f>
        <v>Chicken Steak Topping 2 / 2</v>
      </c>
      <c r="C77" s="1436"/>
      <c r="D77" s="1436"/>
      <c r="E77" s="1436"/>
      <c r="F77" s="1436"/>
      <c r="G77" s="1436"/>
      <c r="H77" s="1436"/>
    </row>
    <row r="78" spans="1:8" ht="45" customHeight="1" x14ac:dyDescent="0.3">
      <c r="A78" s="90"/>
      <c r="B78" s="242" t="s">
        <v>245</v>
      </c>
      <c r="C78" s="243" t="s">
        <v>246</v>
      </c>
      <c r="D78" s="244" t="s">
        <v>235</v>
      </c>
      <c r="E78" s="217" t="s">
        <v>238</v>
      </c>
      <c r="F78" s="217" t="s">
        <v>247</v>
      </c>
      <c r="G78" s="244" t="s">
        <v>248</v>
      </c>
      <c r="H78" s="217" t="s">
        <v>249</v>
      </c>
    </row>
    <row r="79" spans="1:8" ht="14.25" customHeight="1" x14ac:dyDescent="0.3">
      <c r="A79" s="269" t="s">
        <v>154</v>
      </c>
      <c r="B79" s="293" t="str">
        <f t="shared" ref="B79:D86" si="12">B5</f>
        <v>Milk - حليب</v>
      </c>
      <c r="C79" s="293" t="str">
        <f t="shared" si="12"/>
        <v>ml</v>
      </c>
      <c r="D79" s="293">
        <f t="shared" si="12"/>
        <v>550</v>
      </c>
      <c r="E79" s="196">
        <f>$C$54</f>
        <v>2.3000000000000007</v>
      </c>
      <c r="F79" s="126">
        <f t="shared" ref="F79:F86" si="13">F5</f>
        <v>1</v>
      </c>
      <c r="G79" s="118">
        <f t="shared" ref="G79:G86" si="14">D79*E79</f>
        <v>1265.0000000000005</v>
      </c>
      <c r="H79" s="119">
        <f t="shared" ref="H79:H86" si="15">G79*F79</f>
        <v>1265.0000000000005</v>
      </c>
    </row>
    <row r="80" spans="1:8" ht="14.25" customHeight="1" x14ac:dyDescent="0.3">
      <c r="A80" s="269" t="s">
        <v>154</v>
      </c>
      <c r="B80" s="293" t="str">
        <f t="shared" si="12"/>
        <v>Cooking Cream - كريمة طبخ</v>
      </c>
      <c r="C80" s="293" t="str">
        <f t="shared" si="12"/>
        <v>ml</v>
      </c>
      <c r="D80" s="293">
        <f t="shared" si="12"/>
        <v>550</v>
      </c>
      <c r="E80" s="196">
        <f t="shared" ref="E80:E86" si="16">$C$54</f>
        <v>2.3000000000000007</v>
      </c>
      <c r="F80" s="126">
        <f t="shared" si="13"/>
        <v>1</v>
      </c>
      <c r="G80" s="118">
        <f t="shared" si="14"/>
        <v>1265.0000000000005</v>
      </c>
      <c r="H80" s="119">
        <f t="shared" si="15"/>
        <v>1265.0000000000005</v>
      </c>
    </row>
    <row r="81" spans="1:8" ht="14.25" customHeight="1" x14ac:dyDescent="0.3">
      <c r="A81" s="269" t="s">
        <v>154</v>
      </c>
      <c r="B81" s="293" t="str">
        <f t="shared" si="12"/>
        <v>Butter - زبدة</v>
      </c>
      <c r="C81" s="293" t="str">
        <f t="shared" si="12"/>
        <v>gm</v>
      </c>
      <c r="D81" s="293">
        <f t="shared" si="12"/>
        <v>30</v>
      </c>
      <c r="E81" s="196">
        <f t="shared" si="16"/>
        <v>2.3000000000000007</v>
      </c>
      <c r="F81" s="126">
        <f t="shared" si="13"/>
        <v>1</v>
      </c>
      <c r="G81" s="118">
        <f t="shared" si="14"/>
        <v>69.000000000000028</v>
      </c>
      <c r="H81" s="119">
        <f t="shared" si="15"/>
        <v>69.000000000000028</v>
      </c>
    </row>
    <row r="82" spans="1:8" ht="14.25" customHeight="1" x14ac:dyDescent="0.3">
      <c r="A82" s="269" t="s">
        <v>188</v>
      </c>
      <c r="B82" s="293" t="str">
        <f t="shared" si="12"/>
        <v>Flour - دقيق</v>
      </c>
      <c r="C82" s="293" t="str">
        <f t="shared" si="12"/>
        <v>gm</v>
      </c>
      <c r="D82" s="293">
        <f t="shared" si="12"/>
        <v>20</v>
      </c>
      <c r="E82" s="196">
        <f t="shared" si="16"/>
        <v>2.3000000000000007</v>
      </c>
      <c r="F82" s="126">
        <f t="shared" si="13"/>
        <v>1</v>
      </c>
      <c r="G82" s="118">
        <f t="shared" si="14"/>
        <v>46.000000000000014</v>
      </c>
      <c r="H82" s="119">
        <f t="shared" si="15"/>
        <v>46.000000000000014</v>
      </c>
    </row>
    <row r="83" spans="1:8" ht="14.25" customHeight="1" x14ac:dyDescent="0.3">
      <c r="A83" s="269" t="s">
        <v>95</v>
      </c>
      <c r="B83" s="293" t="str">
        <f t="shared" si="12"/>
        <v>Maggi Cubes - مكعبات ماجي</v>
      </c>
      <c r="C83" s="293" t="str">
        <f t="shared" si="12"/>
        <v>gm</v>
      </c>
      <c r="D83" s="293">
        <f t="shared" si="12"/>
        <v>18</v>
      </c>
      <c r="E83" s="196">
        <f t="shared" si="16"/>
        <v>2.3000000000000007</v>
      </c>
      <c r="F83" s="126">
        <f t="shared" si="13"/>
        <v>0.75</v>
      </c>
      <c r="G83" s="118">
        <f t="shared" si="14"/>
        <v>41.400000000000013</v>
      </c>
      <c r="H83" s="119">
        <f t="shared" si="15"/>
        <v>31.050000000000011</v>
      </c>
    </row>
    <row r="84" spans="1:8" ht="14.25" customHeight="1" x14ac:dyDescent="0.3">
      <c r="A84" s="269" t="s">
        <v>95</v>
      </c>
      <c r="B84" s="293" t="str">
        <f t="shared" si="12"/>
        <v>White Pepper - فلفل أبيض</v>
      </c>
      <c r="C84" s="293" t="str">
        <f t="shared" si="12"/>
        <v>gm</v>
      </c>
      <c r="D84" s="293">
        <f t="shared" si="12"/>
        <v>5</v>
      </c>
      <c r="E84" s="196">
        <f t="shared" si="16"/>
        <v>2.3000000000000007</v>
      </c>
      <c r="F84" s="126">
        <f t="shared" si="13"/>
        <v>0.75</v>
      </c>
      <c r="G84" s="118">
        <f t="shared" si="14"/>
        <v>11.500000000000004</v>
      </c>
      <c r="H84" s="119">
        <f t="shared" si="15"/>
        <v>8.6250000000000036</v>
      </c>
    </row>
    <row r="85" spans="1:8" ht="14.25" customHeight="1" x14ac:dyDescent="0.3">
      <c r="A85" s="269" t="s">
        <v>95</v>
      </c>
      <c r="B85" s="293" t="str">
        <f t="shared" si="12"/>
        <v>Salt - ملح</v>
      </c>
      <c r="C85" s="293" t="str">
        <f t="shared" si="12"/>
        <v>gm</v>
      </c>
      <c r="D85" s="293">
        <f t="shared" si="12"/>
        <v>4</v>
      </c>
      <c r="E85" s="196">
        <f t="shared" si="16"/>
        <v>2.3000000000000007</v>
      </c>
      <c r="F85" s="126">
        <f t="shared" si="13"/>
        <v>0.75</v>
      </c>
      <c r="G85" s="118">
        <f t="shared" si="14"/>
        <v>9.2000000000000028</v>
      </c>
      <c r="H85" s="119">
        <f t="shared" si="15"/>
        <v>6.9000000000000021</v>
      </c>
    </row>
    <row r="86" spans="1:8" ht="14.25" customHeight="1" x14ac:dyDescent="0.3">
      <c r="A86" s="269" t="s">
        <v>13</v>
      </c>
      <c r="B86" s="293" t="str">
        <f t="shared" si="12"/>
        <v>Onion - بصل</v>
      </c>
      <c r="C86" s="293" t="str">
        <f t="shared" si="12"/>
        <v>gm</v>
      </c>
      <c r="D86" s="293">
        <f t="shared" si="12"/>
        <v>30</v>
      </c>
      <c r="E86" s="196">
        <f t="shared" si="16"/>
        <v>2.3000000000000007</v>
      </c>
      <c r="F86" s="126">
        <f t="shared" si="13"/>
        <v>0.95</v>
      </c>
      <c r="G86" s="118">
        <f t="shared" si="14"/>
        <v>69.000000000000028</v>
      </c>
      <c r="H86" s="119">
        <f t="shared" si="15"/>
        <v>65.550000000000026</v>
      </c>
    </row>
    <row r="87" spans="1:8" ht="20.25" customHeight="1" x14ac:dyDescent="0.3">
      <c r="A87" s="210"/>
      <c r="B87" s="197" t="s">
        <v>291</v>
      </c>
      <c r="C87" s="199" t="s">
        <v>277</v>
      </c>
      <c r="D87" s="14"/>
      <c r="E87" s="199" t="s">
        <v>292</v>
      </c>
      <c r="F87" s="14"/>
      <c r="G87" s="878" t="s">
        <v>268</v>
      </c>
      <c r="H87" s="878" t="s">
        <v>703</v>
      </c>
    </row>
    <row r="88" spans="1:8" ht="20" x14ac:dyDescent="0.4">
      <c r="A88" s="210"/>
      <c r="B88" s="198">
        <f>$J$53</f>
        <v>0</v>
      </c>
      <c r="C88" s="198">
        <f>E88+G88</f>
        <v>2300.0000000000009</v>
      </c>
      <c r="D88" s="915"/>
      <c r="E88" s="198">
        <v>0</v>
      </c>
      <c r="F88" s="919"/>
      <c r="G88" s="198">
        <f>D54</f>
        <v>2300.0000000000009</v>
      </c>
      <c r="H88" s="198">
        <f>B88+E88</f>
        <v>0</v>
      </c>
    </row>
    <row r="91" spans="1:8" ht="18" x14ac:dyDescent="0.3">
      <c r="A91" s="923"/>
      <c r="B91" s="1438" t="str">
        <f>"ستيك دجاج صوص إضافى 3 / " &amp; COUNTIF($C$53:$C$55, "&gt;0")</f>
        <v>ستيك دجاج صوص إضافى 3 / 2</v>
      </c>
      <c r="C91" s="1438"/>
      <c r="D91" s="1438"/>
      <c r="E91" s="1438"/>
      <c r="F91" s="1438"/>
      <c r="G91" s="1438"/>
      <c r="H91" s="1438"/>
    </row>
    <row r="92" spans="1:8" ht="18" x14ac:dyDescent="0.3">
      <c r="A92" s="923"/>
      <c r="B92" s="1436" t="str">
        <f>"Chicken Steak Topping 3 / " &amp; COUNTIF($C$53:$C$55, "&gt;0")</f>
        <v>Chicken Steak Topping 3 / 2</v>
      </c>
      <c r="C92" s="1436"/>
      <c r="D92" s="1436"/>
      <c r="E92" s="1436"/>
      <c r="F92" s="1436"/>
      <c r="G92" s="1436"/>
      <c r="H92" s="1436"/>
    </row>
    <row r="93" spans="1:8" ht="26" x14ac:dyDescent="0.3">
      <c r="A93" s="90"/>
      <c r="B93" s="242" t="s">
        <v>245</v>
      </c>
      <c r="C93" s="243" t="s">
        <v>246</v>
      </c>
      <c r="D93" s="244" t="s">
        <v>235</v>
      </c>
      <c r="E93" s="217" t="s">
        <v>238</v>
      </c>
      <c r="F93" s="217" t="s">
        <v>247</v>
      </c>
      <c r="G93" s="244" t="s">
        <v>248</v>
      </c>
      <c r="H93" s="217" t="s">
        <v>249</v>
      </c>
    </row>
    <row r="94" spans="1:8" x14ac:dyDescent="0.3">
      <c r="A94" s="269" t="s">
        <v>154</v>
      </c>
      <c r="B94" s="293" t="str">
        <f>B5</f>
        <v>Milk - حليب</v>
      </c>
      <c r="C94" s="293" t="str">
        <f t="shared" ref="C94:D94" si="17">C5</f>
        <v>ml</v>
      </c>
      <c r="D94" s="293">
        <f t="shared" si="17"/>
        <v>550</v>
      </c>
      <c r="E94" s="196">
        <f>$C$55</f>
        <v>0</v>
      </c>
      <c r="F94" s="126">
        <f>F5</f>
        <v>1</v>
      </c>
      <c r="G94" s="118">
        <f t="shared" ref="G94:G101" si="18">D94*E94</f>
        <v>0</v>
      </c>
      <c r="H94" s="119">
        <f t="shared" ref="H94:H101" si="19">G94*F94</f>
        <v>0</v>
      </c>
    </row>
    <row r="95" spans="1:8" x14ac:dyDescent="0.3">
      <c r="A95" s="269" t="s">
        <v>154</v>
      </c>
      <c r="B95" s="293" t="str">
        <f t="shared" ref="B95:D95" si="20">B6</f>
        <v>Cooking Cream - كريمة طبخ</v>
      </c>
      <c r="C95" s="293" t="str">
        <f t="shared" si="20"/>
        <v>ml</v>
      </c>
      <c r="D95" s="293">
        <f t="shared" si="20"/>
        <v>550</v>
      </c>
      <c r="E95" s="196">
        <f t="shared" ref="E95:E101" si="21">$C$55</f>
        <v>0</v>
      </c>
      <c r="F95" s="126">
        <f t="shared" ref="F95:F101" si="22">F6</f>
        <v>1</v>
      </c>
      <c r="G95" s="118">
        <f t="shared" si="18"/>
        <v>0</v>
      </c>
      <c r="H95" s="119">
        <f t="shared" si="19"/>
        <v>0</v>
      </c>
    </row>
    <row r="96" spans="1:8" x14ac:dyDescent="0.3">
      <c r="A96" s="269" t="s">
        <v>154</v>
      </c>
      <c r="B96" s="293" t="str">
        <f t="shared" ref="B96:D96" si="23">B7</f>
        <v>Butter - زبدة</v>
      </c>
      <c r="C96" s="293" t="str">
        <f t="shared" si="23"/>
        <v>gm</v>
      </c>
      <c r="D96" s="293">
        <f t="shared" si="23"/>
        <v>30</v>
      </c>
      <c r="E96" s="196">
        <f t="shared" si="21"/>
        <v>0</v>
      </c>
      <c r="F96" s="126">
        <f t="shared" si="22"/>
        <v>1</v>
      </c>
      <c r="G96" s="118">
        <f t="shared" si="18"/>
        <v>0</v>
      </c>
      <c r="H96" s="119">
        <f t="shared" si="19"/>
        <v>0</v>
      </c>
    </row>
    <row r="97" spans="1:8" x14ac:dyDescent="0.3">
      <c r="A97" s="269" t="s">
        <v>188</v>
      </c>
      <c r="B97" s="293" t="str">
        <f t="shared" ref="B97:D97" si="24">B8</f>
        <v>Flour - دقيق</v>
      </c>
      <c r="C97" s="293" t="str">
        <f t="shared" si="24"/>
        <v>gm</v>
      </c>
      <c r="D97" s="293">
        <f t="shared" si="24"/>
        <v>20</v>
      </c>
      <c r="E97" s="196">
        <f t="shared" si="21"/>
        <v>0</v>
      </c>
      <c r="F97" s="126">
        <f t="shared" si="22"/>
        <v>1</v>
      </c>
      <c r="G97" s="118">
        <f t="shared" si="18"/>
        <v>0</v>
      </c>
      <c r="H97" s="119">
        <f t="shared" si="19"/>
        <v>0</v>
      </c>
    </row>
    <row r="98" spans="1:8" x14ac:dyDescent="0.3">
      <c r="A98" s="269" t="s">
        <v>95</v>
      </c>
      <c r="B98" s="293" t="str">
        <f t="shared" ref="B98:D98" si="25">B9</f>
        <v>Maggi Cubes - مكعبات ماجي</v>
      </c>
      <c r="C98" s="293" t="str">
        <f t="shared" si="25"/>
        <v>gm</v>
      </c>
      <c r="D98" s="293">
        <f t="shared" si="25"/>
        <v>18</v>
      </c>
      <c r="E98" s="196">
        <f t="shared" si="21"/>
        <v>0</v>
      </c>
      <c r="F98" s="126">
        <f t="shared" si="22"/>
        <v>0.75</v>
      </c>
      <c r="G98" s="118">
        <f t="shared" si="18"/>
        <v>0</v>
      </c>
      <c r="H98" s="119">
        <f t="shared" si="19"/>
        <v>0</v>
      </c>
    </row>
    <row r="99" spans="1:8" x14ac:dyDescent="0.3">
      <c r="A99" s="269" t="s">
        <v>95</v>
      </c>
      <c r="B99" s="293" t="str">
        <f t="shared" ref="B99:D99" si="26">B10</f>
        <v>White Pepper - فلفل أبيض</v>
      </c>
      <c r="C99" s="293" t="str">
        <f t="shared" si="26"/>
        <v>gm</v>
      </c>
      <c r="D99" s="293">
        <f t="shared" si="26"/>
        <v>5</v>
      </c>
      <c r="E99" s="196">
        <f t="shared" si="21"/>
        <v>0</v>
      </c>
      <c r="F99" s="126">
        <f t="shared" si="22"/>
        <v>0.75</v>
      </c>
      <c r="G99" s="118">
        <f t="shared" si="18"/>
        <v>0</v>
      </c>
      <c r="H99" s="119">
        <f t="shared" si="19"/>
        <v>0</v>
      </c>
    </row>
    <row r="100" spans="1:8" x14ac:dyDescent="0.3">
      <c r="A100" s="269" t="s">
        <v>95</v>
      </c>
      <c r="B100" s="293" t="str">
        <f t="shared" ref="B100:D100" si="27">B11</f>
        <v>Salt - ملح</v>
      </c>
      <c r="C100" s="293" t="str">
        <f t="shared" si="27"/>
        <v>gm</v>
      </c>
      <c r="D100" s="293">
        <f t="shared" si="27"/>
        <v>4</v>
      </c>
      <c r="E100" s="196">
        <f t="shared" si="21"/>
        <v>0</v>
      </c>
      <c r="F100" s="126">
        <f t="shared" si="22"/>
        <v>0.75</v>
      </c>
      <c r="G100" s="118">
        <f t="shared" si="18"/>
        <v>0</v>
      </c>
      <c r="H100" s="119">
        <f t="shared" si="19"/>
        <v>0</v>
      </c>
    </row>
    <row r="101" spans="1:8" x14ac:dyDescent="0.3">
      <c r="A101" s="269" t="s">
        <v>13</v>
      </c>
      <c r="B101" s="293" t="str">
        <f t="shared" ref="B101:D101" si="28">B12</f>
        <v>Onion - بصل</v>
      </c>
      <c r="C101" s="293" t="str">
        <f t="shared" si="28"/>
        <v>gm</v>
      </c>
      <c r="D101" s="293">
        <f t="shared" si="28"/>
        <v>30</v>
      </c>
      <c r="E101" s="196">
        <f t="shared" si="21"/>
        <v>0</v>
      </c>
      <c r="F101" s="126">
        <f t="shared" si="22"/>
        <v>0.95</v>
      </c>
      <c r="G101" s="118">
        <f t="shared" si="18"/>
        <v>0</v>
      </c>
      <c r="H101" s="119">
        <f t="shared" si="19"/>
        <v>0</v>
      </c>
    </row>
    <row r="102" spans="1:8" ht="18" x14ac:dyDescent="0.3">
      <c r="A102" s="210"/>
      <c r="B102" s="197" t="s">
        <v>291</v>
      </c>
      <c r="C102" s="199" t="s">
        <v>277</v>
      </c>
      <c r="D102" s="14"/>
      <c r="E102" s="199" t="s">
        <v>292</v>
      </c>
      <c r="F102" s="14"/>
      <c r="G102" s="878" t="s">
        <v>268</v>
      </c>
      <c r="H102" s="878" t="s">
        <v>703</v>
      </c>
    </row>
    <row r="103" spans="1:8" ht="20" x14ac:dyDescent="0.4">
      <c r="A103" s="210"/>
      <c r="B103" s="198">
        <f>$J$53</f>
        <v>0</v>
      </c>
      <c r="C103" s="198">
        <f>E103+G103</f>
        <v>0</v>
      </c>
      <c r="D103" s="915"/>
      <c r="E103" s="198">
        <v>0</v>
      </c>
      <c r="F103" s="919"/>
      <c r="G103" s="198">
        <f>D55</f>
        <v>0</v>
      </c>
      <c r="H103" s="198">
        <f>B103+E103</f>
        <v>0</v>
      </c>
    </row>
  </sheetData>
  <mergeCells count="10">
    <mergeCell ref="B91:H91"/>
    <mergeCell ref="B92:H92"/>
    <mergeCell ref="B2:J3"/>
    <mergeCell ref="AE2:AG3"/>
    <mergeCell ref="B77:H77"/>
    <mergeCell ref="K2:K3"/>
    <mergeCell ref="B62:H62"/>
    <mergeCell ref="R25:T25"/>
    <mergeCell ref="B76:H76"/>
    <mergeCell ref="B63:H63"/>
  </mergeCells>
  <printOptions horizontalCentered="1"/>
  <pageMargins left="0.5" right="0.5" top="1" bottom="0.5" header="0.3" footer="0.511811023622047"/>
  <pageSetup paperSize="9" scale="32" orientation="portrait" r:id="rId1"/>
  <legacyDrawing r:id="rId2"/>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rgb="FF7C7C7C"/>
    <pageSetUpPr fitToPage="1"/>
  </sheetPr>
  <dimension ref="A1:AT99"/>
  <sheetViews>
    <sheetView topLeftCell="Z1" zoomScale="85" zoomScaleNormal="85" workbookViewId="0">
      <selection activeCell="AJ6" sqref="AJ6"/>
    </sheetView>
  </sheetViews>
  <sheetFormatPr defaultColWidth="12.5" defaultRowHeight="14" x14ac:dyDescent="0.3"/>
  <cols>
    <col min="1" max="1" width="12.5" style="1" customWidth="1"/>
    <col min="2" max="2" width="37.9140625" customWidth="1"/>
    <col min="3" max="3" width="23.9140625" customWidth="1"/>
    <col min="4" max="4" width="19" customWidth="1"/>
    <col min="5" max="5" width="16.1640625" customWidth="1"/>
    <col min="6" max="6" width="23.08203125" customWidth="1"/>
    <col min="7" max="7" width="25.1640625" customWidth="1"/>
    <col min="8" max="8" width="36.1640625" customWidth="1"/>
    <col min="9" max="9" width="17.5" customWidth="1"/>
    <col min="11" max="11" width="15.58203125" bestFit="1" customWidth="1"/>
    <col min="12" max="12" width="8.33203125" customWidth="1"/>
    <col min="13" max="13" width="9.58203125" customWidth="1"/>
    <col min="18" max="18" width="33.75" customWidth="1"/>
    <col min="26" max="26" width="14.5" customWidth="1"/>
    <col min="28" max="28" width="11.75" bestFit="1" customWidth="1"/>
    <col min="29" max="30" width="13.25" bestFit="1" customWidth="1"/>
    <col min="31" max="31" width="11.33203125" bestFit="1" customWidth="1"/>
    <col min="32" max="32" width="10.08203125" bestFit="1" customWidth="1"/>
    <col min="33" max="33" width="11.33203125" bestFit="1" customWidth="1"/>
    <col min="34" max="35" width="3.25" customWidth="1"/>
    <col min="36" max="36" width="38" customWidth="1"/>
    <col min="42" max="42" width="19.5" customWidth="1"/>
  </cols>
  <sheetData>
    <row r="1" spans="1:46" ht="35.25" customHeight="1" x14ac:dyDescent="0.3">
      <c r="B1" s="79" t="s">
        <v>235</v>
      </c>
      <c r="C1" s="80">
        <v>1000</v>
      </c>
      <c r="D1" s="81" t="s">
        <v>236</v>
      </c>
      <c r="E1" s="116">
        <f>T32</f>
        <v>6516.6666666666661</v>
      </c>
      <c r="F1" s="79" t="s">
        <v>237</v>
      </c>
      <c r="G1" s="116">
        <f>E1/C1</f>
        <v>6.5166666666666657</v>
      </c>
      <c r="H1" s="79" t="s">
        <v>238</v>
      </c>
      <c r="I1" s="248">
        <f>(G1/K1)</f>
        <v>6.6496598639455771</v>
      </c>
      <c r="J1" s="85" t="s">
        <v>239</v>
      </c>
      <c r="K1" s="80">
        <v>0.98</v>
      </c>
      <c r="L1" s="99"/>
      <c r="M1" s="88"/>
      <c r="N1" s="89"/>
      <c r="O1" s="90" t="s">
        <v>240</v>
      </c>
      <c r="P1" s="91" t="s">
        <v>293</v>
      </c>
      <c r="Q1" s="92" t="s">
        <v>242</v>
      </c>
      <c r="R1" s="91">
        <v>0.51</v>
      </c>
      <c r="Y1" s="90" t="s">
        <v>463</v>
      </c>
      <c r="Z1" s="835">
        <v>19550</v>
      </c>
      <c r="AA1" s="90" t="s">
        <v>578</v>
      </c>
      <c r="AB1" s="835">
        <v>0</v>
      </c>
      <c r="AC1" s="90" t="s">
        <v>567</v>
      </c>
      <c r="AD1" s="835">
        <v>131</v>
      </c>
      <c r="AE1" s="249"/>
      <c r="AF1" s="251"/>
      <c r="AG1" s="91"/>
      <c r="AJ1" s="93" t="s">
        <v>565</v>
      </c>
      <c r="AK1" s="93">
        <v>15000</v>
      </c>
      <c r="AL1" s="623" t="s">
        <v>503</v>
      </c>
      <c r="AM1" s="624">
        <f>$S$32</f>
        <v>17595</v>
      </c>
      <c r="AN1" s="93" t="s">
        <v>243</v>
      </c>
      <c r="AO1" s="95">
        <f>($S$32/$R$1)/$AK$1</f>
        <v>2.2999999999999998</v>
      </c>
      <c r="AP1" s="94"/>
    </row>
    <row r="2" spans="1:46" ht="12.75" customHeight="1" x14ac:dyDescent="0.3">
      <c r="A2" s="264"/>
      <c r="B2" s="97"/>
      <c r="C2" s="97"/>
      <c r="D2" s="97"/>
      <c r="E2" s="97"/>
      <c r="F2" s="1443" t="s">
        <v>409</v>
      </c>
      <c r="G2" s="97"/>
      <c r="H2" s="97"/>
      <c r="I2" s="97"/>
      <c r="J2" s="97"/>
      <c r="K2" s="97"/>
      <c r="L2" s="292"/>
      <c r="M2" s="99"/>
      <c r="N2" s="99"/>
      <c r="O2" s="99"/>
      <c r="P2" s="99"/>
      <c r="Q2" s="99"/>
      <c r="R2" s="99"/>
      <c r="AC2" s="98"/>
      <c r="AD2" s="98"/>
      <c r="AE2" s="1457"/>
      <c r="AF2" s="1458"/>
      <c r="AG2" s="1458"/>
      <c r="AJ2" s="100"/>
      <c r="AK2" s="1442" t="s">
        <v>539</v>
      </c>
      <c r="AL2" s="1442"/>
      <c r="AM2" s="1442"/>
      <c r="AN2" s="101"/>
      <c r="AO2" s="100"/>
      <c r="AP2" s="100"/>
    </row>
    <row r="3" spans="1:46" ht="12.75" customHeight="1" x14ac:dyDescent="0.3">
      <c r="A3" s="264"/>
      <c r="B3" s="102"/>
      <c r="C3" s="102"/>
      <c r="D3" s="102"/>
      <c r="E3" s="102"/>
      <c r="F3" s="1444"/>
      <c r="G3" s="102"/>
      <c r="H3" s="102"/>
      <c r="I3" s="102"/>
      <c r="J3" s="102"/>
      <c r="K3" s="102"/>
      <c r="L3" s="292"/>
      <c r="M3" s="99"/>
      <c r="N3" s="99"/>
      <c r="O3" s="99"/>
      <c r="P3" s="99"/>
      <c r="Q3" s="99"/>
      <c r="R3" s="99"/>
      <c r="AC3" s="98"/>
      <c r="AD3" s="98"/>
      <c r="AE3" s="1458"/>
      <c r="AF3" s="1458"/>
      <c r="AG3" s="1458"/>
      <c r="AJ3" s="372"/>
      <c r="AK3" s="1492" t="s">
        <v>566</v>
      </c>
      <c r="AL3" s="1492"/>
      <c r="AM3" s="104"/>
      <c r="AN3" s="104"/>
      <c r="AO3" s="103"/>
      <c r="AP3" s="103"/>
    </row>
    <row r="4" spans="1:46" ht="39" customHeight="1" x14ac:dyDescent="0.3">
      <c r="A4" s="90" t="s">
        <v>1</v>
      </c>
      <c r="B4" s="90" t="s">
        <v>245</v>
      </c>
      <c r="C4" s="106" t="s">
        <v>246</v>
      </c>
      <c r="D4" s="90" t="s">
        <v>235</v>
      </c>
      <c r="E4" s="107" t="s">
        <v>238</v>
      </c>
      <c r="F4" s="107" t="s">
        <v>247</v>
      </c>
      <c r="G4" s="90" t="s">
        <v>248</v>
      </c>
      <c r="H4" s="330" t="s">
        <v>339</v>
      </c>
      <c r="I4" s="90" t="s">
        <v>250</v>
      </c>
      <c r="J4" s="90" t="s">
        <v>251</v>
      </c>
      <c r="K4" s="90" t="s">
        <v>252</v>
      </c>
      <c r="L4" s="90" t="s">
        <v>253</v>
      </c>
      <c r="M4" s="99"/>
      <c r="N4" s="99"/>
      <c r="O4" s="99"/>
      <c r="P4" s="99"/>
      <c r="AA4" s="250"/>
      <c r="AB4" s="252"/>
      <c r="AC4" s="250"/>
      <c r="AD4" s="250"/>
      <c r="AE4" s="250"/>
      <c r="AJ4" s="109" t="s">
        <v>245</v>
      </c>
      <c r="AK4" s="110" t="s">
        <v>246</v>
      </c>
      <c r="AL4" s="109" t="s">
        <v>565</v>
      </c>
      <c r="AM4" s="109" t="s">
        <v>238</v>
      </c>
      <c r="AN4" s="109" t="s">
        <v>247</v>
      </c>
      <c r="AO4" s="109" t="s">
        <v>248</v>
      </c>
      <c r="AP4" s="111" t="s">
        <v>249</v>
      </c>
      <c r="AQ4" s="90" t="s">
        <v>250</v>
      </c>
      <c r="AR4" s="90" t="s">
        <v>251</v>
      </c>
      <c r="AS4" s="90" t="s">
        <v>252</v>
      </c>
      <c r="AT4" s="90" t="s">
        <v>253</v>
      </c>
    </row>
    <row r="5" spans="1:46" ht="14.25" customHeight="1" x14ac:dyDescent="0.3">
      <c r="A5" s="112" t="s">
        <v>225</v>
      </c>
      <c r="B5" s="491" t="s">
        <v>224</v>
      </c>
      <c r="C5" s="114" t="s">
        <v>14</v>
      </c>
      <c r="D5" s="120">
        <f>I51/10</f>
        <v>6536.0784313725489</v>
      </c>
      <c r="E5" s="116">
        <f>H52</f>
        <v>5.2783944321113578</v>
      </c>
      <c r="F5" s="126">
        <v>1</v>
      </c>
      <c r="G5" s="118">
        <f t="shared" ref="G5:G17" si="0">D5*E5</f>
        <v>34500</v>
      </c>
      <c r="H5" s="119">
        <f t="shared" ref="H5:H17" si="1">G5*F5</f>
        <v>34500</v>
      </c>
      <c r="I5" s="80">
        <f>VLOOKUP(B5,All_Ingredients!$A$1:$F$149,6,FALSE())</f>
        <v>0.86</v>
      </c>
      <c r="J5" s="118">
        <f>VLOOKUP(B5,All_Ingredients!$A$1:$J$149,10,FALSE())</f>
        <v>17.100000000000001</v>
      </c>
      <c r="K5" s="121">
        <f t="shared" ref="K5" si="2">(H5/I5)/1000</f>
        <v>40.116279069767444</v>
      </c>
      <c r="L5" s="121">
        <f t="shared" ref="L5" si="3">K5*J5</f>
        <v>685.98837209302337</v>
      </c>
      <c r="M5" s="99"/>
      <c r="N5" s="99"/>
      <c r="O5" s="99"/>
      <c r="P5" s="99"/>
      <c r="AA5" s="91"/>
      <c r="AB5" s="132"/>
      <c r="AC5" s="253"/>
      <c r="AD5" s="134"/>
      <c r="AE5" s="135"/>
      <c r="AJ5" s="373" t="s">
        <v>224</v>
      </c>
      <c r="AK5" s="123" t="s">
        <v>231</v>
      </c>
      <c r="AL5" s="374">
        <v>15</v>
      </c>
      <c r="AM5" s="375">
        <f>$AO$1</f>
        <v>2.2999999999999998</v>
      </c>
      <c r="AN5" s="376">
        <v>1</v>
      </c>
      <c r="AO5" s="377">
        <f>AL5*AM5</f>
        <v>34.5</v>
      </c>
      <c r="AP5" s="378">
        <f>AO5*AN5</f>
        <v>34.5</v>
      </c>
      <c r="AQ5" s="294"/>
      <c r="AR5" s="1152"/>
      <c r="AS5" s="174"/>
      <c r="AT5" s="1153"/>
    </row>
    <row r="6" spans="1:46" ht="14.25" customHeight="1" x14ac:dyDescent="0.3">
      <c r="A6" s="269" t="s">
        <v>13</v>
      </c>
      <c r="B6" s="113" t="s">
        <v>12</v>
      </c>
      <c r="C6" s="123" t="s">
        <v>14</v>
      </c>
      <c r="D6" s="124">
        <v>100</v>
      </c>
      <c r="E6" s="222">
        <f t="shared" ref="E6:E17" si="4">$I$1</f>
        <v>6.6496598639455771</v>
      </c>
      <c r="F6" s="126">
        <v>0.95</v>
      </c>
      <c r="G6" s="118">
        <f t="shared" si="0"/>
        <v>664.96598639455772</v>
      </c>
      <c r="H6" s="119">
        <f t="shared" si="1"/>
        <v>631.71768707482977</v>
      </c>
      <c r="I6" s="80">
        <f>VLOOKUP(B6,All_Ingredients!$A$1:$F$149,6,FALSE())</f>
        <v>0.9</v>
      </c>
      <c r="J6" s="118">
        <f>VLOOKUP(B6,All_Ingredients!$A$1:$J$149,10,FALSE())</f>
        <v>3</v>
      </c>
      <c r="K6" s="121">
        <f t="shared" ref="K6:K17" si="5">(H6/I6)/1000</f>
        <v>0.70190854119425528</v>
      </c>
      <c r="L6" s="121">
        <f t="shared" ref="L6:L17" si="6">K6*J6</f>
        <v>2.1057256235827659</v>
      </c>
      <c r="AJ6" s="373" t="s">
        <v>789</v>
      </c>
      <c r="AK6" s="123" t="s">
        <v>14</v>
      </c>
      <c r="AL6" s="374">
        <v>3000</v>
      </c>
      <c r="AM6" s="375">
        <f>$AO$1</f>
        <v>2.2999999999999998</v>
      </c>
      <c r="AN6" s="376">
        <v>1</v>
      </c>
      <c r="AO6" s="377">
        <f>AL6*AM6</f>
        <v>6899.9999999999991</v>
      </c>
      <c r="AP6" s="378">
        <f>AO6*AN6</f>
        <v>6899.9999999999991</v>
      </c>
      <c r="AQ6" s="1153">
        <f>VLOOKUP(AJ6,Marination_Ordering!$A:$J,6,FALSE)</f>
        <v>1</v>
      </c>
      <c r="AR6" s="1153">
        <f>VLOOKUP(AJ6,Marination_Ordering!$A:$J,10,FALSE)</f>
        <v>22</v>
      </c>
      <c r="AS6" s="174">
        <f>AP6/AQ6</f>
        <v>6899.9999999999991</v>
      </c>
      <c r="AT6" s="1153">
        <f>AR6*(AS6/1000)</f>
        <v>151.79999999999998</v>
      </c>
    </row>
    <row r="7" spans="1:46" ht="14.25" customHeight="1" x14ac:dyDescent="0.3">
      <c r="A7" s="269" t="s">
        <v>13</v>
      </c>
      <c r="B7" s="113" t="s">
        <v>762</v>
      </c>
      <c r="C7" s="123" t="s">
        <v>14</v>
      </c>
      <c r="D7" s="124">
        <v>30</v>
      </c>
      <c r="E7" s="222">
        <f t="shared" si="4"/>
        <v>6.6496598639455771</v>
      </c>
      <c r="F7" s="126">
        <v>1</v>
      </c>
      <c r="G7" s="118">
        <f t="shared" si="0"/>
        <v>199.48979591836732</v>
      </c>
      <c r="H7" s="119">
        <f t="shared" si="1"/>
        <v>199.48979591836732</v>
      </c>
      <c r="I7" s="80">
        <f>VLOOKUP(B7,All_Ingredients!$A$1:$F$149,6,FALSE())</f>
        <v>1</v>
      </c>
      <c r="J7" s="118">
        <f>VLOOKUP(B7,All_Ingredients!$A$1:$J$149,10,FALSE())</f>
        <v>10.5</v>
      </c>
      <c r="K7" s="121">
        <f t="shared" si="5"/>
        <v>0.19948979591836732</v>
      </c>
      <c r="L7" s="121">
        <f t="shared" si="6"/>
        <v>2.094642857142857</v>
      </c>
      <c r="AJ7" s="373" t="s">
        <v>12</v>
      </c>
      <c r="AK7" s="123" t="s">
        <v>14</v>
      </c>
      <c r="AL7" s="374">
        <v>1000</v>
      </c>
      <c r="AM7" s="375">
        <f t="shared" ref="AM7:AM17" si="7">$AO$1</f>
        <v>2.2999999999999998</v>
      </c>
      <c r="AN7" s="376">
        <v>1</v>
      </c>
      <c r="AO7" s="377">
        <f t="shared" ref="AO7:AO17" si="8">AL7*AM7</f>
        <v>2300</v>
      </c>
      <c r="AP7" s="378">
        <f t="shared" ref="AP7:AP17" si="9">AO7*AN7</f>
        <v>2300</v>
      </c>
      <c r="AQ7" s="1153">
        <f>VLOOKUP(AJ7,Marination_Ordering!$A:$J,6,FALSE)</f>
        <v>0.9</v>
      </c>
      <c r="AR7" s="1153">
        <f>VLOOKUP(AJ7,Marination_Ordering!$A:$J,10,FALSE)</f>
        <v>3</v>
      </c>
      <c r="AS7" s="174">
        <f t="shared" ref="AS7:AS8" si="10">AP7/AQ7</f>
        <v>2555.5555555555557</v>
      </c>
      <c r="AT7" s="1153">
        <f t="shared" ref="AT7:AT8" si="11">AR7*(AS7/1000)</f>
        <v>7.6666666666666679</v>
      </c>
    </row>
    <row r="8" spans="1:46" ht="14.25" customHeight="1" x14ac:dyDescent="0.3">
      <c r="A8" s="269" t="s">
        <v>13</v>
      </c>
      <c r="B8" s="113" t="s">
        <v>789</v>
      </c>
      <c r="C8" s="123" t="s">
        <v>14</v>
      </c>
      <c r="D8" s="124">
        <v>350</v>
      </c>
      <c r="E8" s="222">
        <f t="shared" si="4"/>
        <v>6.6496598639455771</v>
      </c>
      <c r="F8" s="126">
        <v>1</v>
      </c>
      <c r="G8" s="118">
        <f t="shared" si="0"/>
        <v>2327.3809523809518</v>
      </c>
      <c r="H8" s="119">
        <f t="shared" si="1"/>
        <v>2327.3809523809518</v>
      </c>
      <c r="I8" s="80">
        <f>VLOOKUP(B8,All_Ingredients!$A$1:$F$149,6,FALSE())</f>
        <v>1</v>
      </c>
      <c r="J8" s="118">
        <f>VLOOKUP(B8,All_Ingredients!$A$1:$J$149,10,FALSE())</f>
        <v>22</v>
      </c>
      <c r="K8" s="121">
        <f t="shared" si="5"/>
        <v>2.3273809523809517</v>
      </c>
      <c r="L8" s="121">
        <f t="shared" si="6"/>
        <v>51.202380952380935</v>
      </c>
      <c r="AJ8" s="373" t="s">
        <v>762</v>
      </c>
      <c r="AK8" s="123" t="s">
        <v>14</v>
      </c>
      <c r="AL8" s="374">
        <v>250</v>
      </c>
      <c r="AM8" s="375">
        <f t="shared" si="7"/>
        <v>2.2999999999999998</v>
      </c>
      <c r="AN8" s="376">
        <v>1</v>
      </c>
      <c r="AO8" s="377">
        <f t="shared" si="8"/>
        <v>575</v>
      </c>
      <c r="AP8" s="378">
        <f t="shared" si="9"/>
        <v>575</v>
      </c>
      <c r="AQ8" s="1153">
        <f>VLOOKUP(AJ8,Marination_Ordering!$A:$J,6,FALSE)</f>
        <v>1</v>
      </c>
      <c r="AR8" s="1153">
        <f>VLOOKUP(AJ8,Marination_Ordering!$A:$J,10,FALSE)</f>
        <v>10.5</v>
      </c>
      <c r="AS8" s="174">
        <f t="shared" si="10"/>
        <v>575</v>
      </c>
      <c r="AT8" s="1153">
        <f t="shared" si="11"/>
        <v>6.0374999999999996</v>
      </c>
    </row>
    <row r="9" spans="1:46" ht="14.25" customHeight="1" x14ac:dyDescent="0.3">
      <c r="A9" s="269" t="s">
        <v>81</v>
      </c>
      <c r="B9" s="113" t="s">
        <v>80</v>
      </c>
      <c r="C9" s="123" t="s">
        <v>14</v>
      </c>
      <c r="D9" s="124">
        <v>1</v>
      </c>
      <c r="E9" s="222">
        <f t="shared" si="4"/>
        <v>6.6496598639455771</v>
      </c>
      <c r="F9" s="126">
        <v>0.75</v>
      </c>
      <c r="G9" s="118">
        <f t="shared" si="0"/>
        <v>6.6496598639455771</v>
      </c>
      <c r="H9" s="119">
        <f t="shared" si="1"/>
        <v>4.987244897959183</v>
      </c>
      <c r="I9" s="80">
        <f>VLOOKUP(B9,All_Ingredients!$A$1:$F$149,6,FALSE())</f>
        <v>1</v>
      </c>
      <c r="J9" s="118">
        <f>VLOOKUP(B9,All_Ingredients!$A$1:$J$149,10,FALSE())</f>
        <v>7</v>
      </c>
      <c r="K9" s="121">
        <f t="shared" si="5"/>
        <v>4.9872448979591828E-3</v>
      </c>
      <c r="L9" s="121">
        <f t="shared" si="6"/>
        <v>3.4910714285714281E-2</v>
      </c>
      <c r="AJ9" s="373" t="s">
        <v>153</v>
      </c>
      <c r="AK9" s="123" t="s">
        <v>14</v>
      </c>
      <c r="AL9" s="374">
        <v>300</v>
      </c>
      <c r="AM9" s="375">
        <f t="shared" si="7"/>
        <v>2.2999999999999998</v>
      </c>
      <c r="AN9" s="376">
        <v>1</v>
      </c>
      <c r="AO9" s="377">
        <f t="shared" si="8"/>
        <v>690</v>
      </c>
      <c r="AP9" s="378">
        <f t="shared" si="9"/>
        <v>690</v>
      </c>
      <c r="AQ9" s="1153">
        <f>VLOOKUP(AJ9,Marination_Ordering!$A:$J,6,FALSE)</f>
        <v>1</v>
      </c>
      <c r="AR9" s="1153">
        <f>VLOOKUP(AJ9,Marination_Ordering!$A:$J,10,FALSE)</f>
        <v>30</v>
      </c>
      <c r="AS9" s="174">
        <f t="shared" ref="AS9:AS17" si="12">AP9/AQ9</f>
        <v>690</v>
      </c>
      <c r="AT9" s="1153">
        <f t="shared" ref="AT9:AT17" si="13">AR9*(AS9/1000)</f>
        <v>20.7</v>
      </c>
    </row>
    <row r="10" spans="1:46" ht="14.25" customHeight="1" x14ac:dyDescent="0.3">
      <c r="A10" s="269" t="s">
        <v>95</v>
      </c>
      <c r="B10" s="113" t="s">
        <v>100</v>
      </c>
      <c r="C10" s="123" t="s">
        <v>14</v>
      </c>
      <c r="D10" s="124">
        <v>2</v>
      </c>
      <c r="E10" s="222">
        <f t="shared" si="4"/>
        <v>6.6496598639455771</v>
      </c>
      <c r="F10" s="126">
        <v>0.75</v>
      </c>
      <c r="G10" s="118">
        <f t="shared" si="0"/>
        <v>13.299319727891154</v>
      </c>
      <c r="H10" s="119">
        <f t="shared" si="1"/>
        <v>9.974489795918366</v>
      </c>
      <c r="I10" s="80">
        <f>VLOOKUP(B10,All_Ingredients!$A$1:$F$149,6,FALSE())</f>
        <v>1</v>
      </c>
      <c r="J10" s="118">
        <f>VLOOKUP(B10,All_Ingredients!$A$1:$J$149,10,FALSE())</f>
        <v>31</v>
      </c>
      <c r="K10" s="121">
        <f t="shared" si="5"/>
        <v>9.9744897959183655E-3</v>
      </c>
      <c r="L10" s="121">
        <f t="shared" si="6"/>
        <v>0.30920918367346933</v>
      </c>
      <c r="AJ10" s="373" t="s">
        <v>564</v>
      </c>
      <c r="AK10" s="123" t="s">
        <v>14</v>
      </c>
      <c r="AL10" s="374">
        <v>350</v>
      </c>
      <c r="AM10" s="375">
        <f t="shared" si="7"/>
        <v>2.2999999999999998</v>
      </c>
      <c r="AN10" s="376">
        <v>1</v>
      </c>
      <c r="AO10" s="377">
        <f t="shared" si="8"/>
        <v>804.99999999999989</v>
      </c>
      <c r="AP10" s="378">
        <f t="shared" si="9"/>
        <v>804.99999999999989</v>
      </c>
      <c r="AQ10" s="1153">
        <f>VLOOKUP(AJ10,Marination_Ordering!$A:$J,6,FALSE)</f>
        <v>1</v>
      </c>
      <c r="AR10" s="1153">
        <f>VLOOKUP(AJ10,Marination_Ordering!$A:$J,10,FALSE)</f>
        <v>11.304</v>
      </c>
      <c r="AS10" s="174">
        <f t="shared" si="12"/>
        <v>804.99999999999989</v>
      </c>
      <c r="AT10" s="1153">
        <f t="shared" si="13"/>
        <v>9.0997199999999996</v>
      </c>
    </row>
    <row r="11" spans="1:46" ht="14.25" customHeight="1" x14ac:dyDescent="0.3">
      <c r="A11" s="269" t="s">
        <v>95</v>
      </c>
      <c r="B11" s="113" t="s">
        <v>94</v>
      </c>
      <c r="C11" s="123" t="s">
        <v>14</v>
      </c>
      <c r="D11" s="124">
        <v>5</v>
      </c>
      <c r="E11" s="222">
        <f t="shared" si="4"/>
        <v>6.6496598639455771</v>
      </c>
      <c r="F11" s="126">
        <v>0.75</v>
      </c>
      <c r="G11" s="118">
        <f t="shared" si="0"/>
        <v>33.248299319727884</v>
      </c>
      <c r="H11" s="119">
        <f t="shared" si="1"/>
        <v>24.936224489795912</v>
      </c>
      <c r="I11" s="80">
        <f>VLOOKUP(B11,All_Ingredients!$A$1:$F$149,6,FALSE())</f>
        <v>1</v>
      </c>
      <c r="J11" s="118">
        <f>VLOOKUP(B11,All_Ingredients!$A$1:$J$149,10,FALSE())</f>
        <v>0.74</v>
      </c>
      <c r="K11" s="121">
        <f t="shared" si="5"/>
        <v>2.4936224489795912E-2</v>
      </c>
      <c r="L11" s="121">
        <f t="shared" si="6"/>
        <v>1.8452806122448973E-2</v>
      </c>
      <c r="AJ11" s="373" t="s">
        <v>761</v>
      </c>
      <c r="AK11" s="123" t="s">
        <v>14</v>
      </c>
      <c r="AL11" s="374">
        <v>100</v>
      </c>
      <c r="AM11" s="375">
        <f t="shared" si="7"/>
        <v>2.2999999999999998</v>
      </c>
      <c r="AN11" s="376">
        <v>1</v>
      </c>
      <c r="AO11" s="377">
        <f t="shared" si="8"/>
        <v>229.99999999999997</v>
      </c>
      <c r="AP11" s="378">
        <f t="shared" si="9"/>
        <v>229.99999999999997</v>
      </c>
      <c r="AQ11" s="1153">
        <f>VLOOKUP(AJ11,Marination_Ordering!$A:$J,6,FALSE)</f>
        <v>1</v>
      </c>
      <c r="AR11" s="1153">
        <f>VLOOKUP(AJ11,Marination_Ordering!$A:$J,10,FALSE)</f>
        <v>67.91483113069016</v>
      </c>
      <c r="AS11" s="174">
        <f t="shared" si="12"/>
        <v>229.99999999999997</v>
      </c>
      <c r="AT11" s="1153">
        <f t="shared" si="13"/>
        <v>15.620411160058735</v>
      </c>
    </row>
    <row r="12" spans="1:46" ht="14.25" customHeight="1" x14ac:dyDescent="0.3">
      <c r="A12" s="269" t="s">
        <v>154</v>
      </c>
      <c r="B12" s="113" t="s">
        <v>153</v>
      </c>
      <c r="C12" s="123" t="s">
        <v>14</v>
      </c>
      <c r="D12" s="124">
        <v>15</v>
      </c>
      <c r="E12" s="222">
        <f t="shared" si="4"/>
        <v>6.6496598639455771</v>
      </c>
      <c r="F12" s="126">
        <v>1</v>
      </c>
      <c r="G12" s="118">
        <f t="shared" si="0"/>
        <v>99.74489795918366</v>
      </c>
      <c r="H12" s="119">
        <f t="shared" si="1"/>
        <v>99.74489795918366</v>
      </c>
      <c r="I12" s="80">
        <f>VLOOKUP(B12,All_Ingredients!$A$1:$F$149,6,FALSE())</f>
        <v>1</v>
      </c>
      <c r="J12" s="118">
        <f>VLOOKUP(B12,All_Ingredients!$A$1:$J$149,10,FALSE())</f>
        <v>30</v>
      </c>
      <c r="K12" s="121">
        <f t="shared" si="5"/>
        <v>9.9744897959183662E-2</v>
      </c>
      <c r="L12" s="121">
        <f t="shared" si="6"/>
        <v>2.9923469387755097</v>
      </c>
      <c r="AJ12" s="373" t="s">
        <v>65</v>
      </c>
      <c r="AK12" s="123" t="s">
        <v>14</v>
      </c>
      <c r="AL12" s="374">
        <v>50</v>
      </c>
      <c r="AM12" s="375">
        <f t="shared" si="7"/>
        <v>2.2999999999999998</v>
      </c>
      <c r="AN12" s="376">
        <v>1</v>
      </c>
      <c r="AO12" s="377">
        <f t="shared" si="8"/>
        <v>114.99999999999999</v>
      </c>
      <c r="AP12" s="378">
        <f t="shared" si="9"/>
        <v>114.99999999999999</v>
      </c>
      <c r="AQ12" s="1153">
        <f>VLOOKUP(AJ12,Marination_Ordering!$A:$J,6,FALSE)</f>
        <v>0.65</v>
      </c>
      <c r="AR12" s="1153">
        <f>VLOOKUP(AJ12,Marination_Ordering!$A:$J,10,FALSE)</f>
        <v>3.5</v>
      </c>
      <c r="AS12" s="174">
        <f t="shared" si="12"/>
        <v>176.92307692307691</v>
      </c>
      <c r="AT12" s="1153">
        <f t="shared" si="13"/>
        <v>0.61923076923076914</v>
      </c>
    </row>
    <row r="13" spans="1:46" ht="14.25" customHeight="1" x14ac:dyDescent="0.3">
      <c r="A13" s="269" t="s">
        <v>188</v>
      </c>
      <c r="B13" s="113" t="s">
        <v>187</v>
      </c>
      <c r="C13" s="123" t="s">
        <v>14</v>
      </c>
      <c r="D13" s="124">
        <v>20</v>
      </c>
      <c r="E13" s="222">
        <f t="shared" si="4"/>
        <v>6.6496598639455771</v>
      </c>
      <c r="F13" s="126">
        <v>0.75</v>
      </c>
      <c r="G13" s="118">
        <f t="shared" si="0"/>
        <v>132.99319727891154</v>
      </c>
      <c r="H13" s="119">
        <f t="shared" si="1"/>
        <v>99.744897959183646</v>
      </c>
      <c r="I13" s="80">
        <f>VLOOKUP(B13,All_Ingredients!$A$1:$F$149,6,FALSE())</f>
        <v>1</v>
      </c>
      <c r="J13" s="118">
        <f>VLOOKUP(B13,All_Ingredients!$A$1:$J$149,10,FALSE())</f>
        <v>1.7</v>
      </c>
      <c r="K13" s="121">
        <f t="shared" si="5"/>
        <v>9.9744897959183648E-2</v>
      </c>
      <c r="L13" s="121">
        <f t="shared" si="6"/>
        <v>0.16956632653061221</v>
      </c>
      <c r="AJ13" s="373" t="s">
        <v>764</v>
      </c>
      <c r="AK13" s="123" t="s">
        <v>14</v>
      </c>
      <c r="AL13" s="374">
        <v>10</v>
      </c>
      <c r="AM13" s="375">
        <f t="shared" si="7"/>
        <v>2.2999999999999998</v>
      </c>
      <c r="AN13" s="376">
        <v>1</v>
      </c>
      <c r="AO13" s="377">
        <f t="shared" si="8"/>
        <v>23</v>
      </c>
      <c r="AP13" s="378">
        <f t="shared" si="9"/>
        <v>23</v>
      </c>
      <c r="AQ13" s="1153">
        <f>VLOOKUP(AJ13,Marination_Ordering!$A:$J,6,FALSE)</f>
        <v>0.5</v>
      </c>
      <c r="AR13" s="1153">
        <f>VLOOKUP(AJ13,Marination_Ordering!$A:$J,10,FALSE)</f>
        <v>90</v>
      </c>
      <c r="AS13" s="174">
        <f t="shared" si="12"/>
        <v>46</v>
      </c>
      <c r="AT13" s="1153">
        <f t="shared" si="13"/>
        <v>4.1399999999999997</v>
      </c>
    </row>
    <row r="14" spans="1:46" ht="14.25" customHeight="1" x14ac:dyDescent="0.3">
      <c r="A14" s="269" t="s">
        <v>154</v>
      </c>
      <c r="B14" s="113" t="s">
        <v>160</v>
      </c>
      <c r="C14" s="123" t="s">
        <v>161</v>
      </c>
      <c r="D14" s="124">
        <v>600</v>
      </c>
      <c r="E14" s="222">
        <f t="shared" si="4"/>
        <v>6.6496598639455771</v>
      </c>
      <c r="F14" s="126">
        <v>1</v>
      </c>
      <c r="G14" s="118">
        <f t="shared" si="0"/>
        <v>3989.7959183673461</v>
      </c>
      <c r="H14" s="119">
        <f t="shared" si="1"/>
        <v>3989.7959183673461</v>
      </c>
      <c r="I14" s="80">
        <f>VLOOKUP(B14,All_Ingredients!$A$1:$F$149,6,FALSE())</f>
        <v>1</v>
      </c>
      <c r="J14" s="118">
        <f>VLOOKUP(B14,All_Ingredients!$A$1:$J$149,10,FALSE())</f>
        <v>4.2033333333333331</v>
      </c>
      <c r="K14" s="121">
        <f t="shared" si="5"/>
        <v>3.9897959183673462</v>
      </c>
      <c r="L14" s="121">
        <f t="shared" si="6"/>
        <v>16.770442176870745</v>
      </c>
      <c r="AJ14" s="373" t="s">
        <v>142</v>
      </c>
      <c r="AK14" s="123" t="s">
        <v>14</v>
      </c>
      <c r="AL14" s="374">
        <v>2.5</v>
      </c>
      <c r="AM14" s="375">
        <f t="shared" si="7"/>
        <v>2.2999999999999998</v>
      </c>
      <c r="AN14" s="376">
        <v>1</v>
      </c>
      <c r="AO14" s="377">
        <f t="shared" si="8"/>
        <v>5.75</v>
      </c>
      <c r="AP14" s="378">
        <f t="shared" si="9"/>
        <v>5.75</v>
      </c>
      <c r="AQ14" s="1153">
        <f>VLOOKUP(AJ14,Marination_Ordering!$A:$J,6,FALSE)</f>
        <v>1</v>
      </c>
      <c r="AR14" s="1153">
        <f>VLOOKUP(AJ14,Marination_Ordering!$A:$J,10,FALSE)</f>
        <v>249.99999999999997</v>
      </c>
      <c r="AS14" s="174">
        <f t="shared" si="12"/>
        <v>5.75</v>
      </c>
      <c r="AT14" s="1153">
        <f t="shared" si="13"/>
        <v>1.4374999999999998</v>
      </c>
    </row>
    <row r="15" spans="1:46" ht="15" customHeight="1" x14ac:dyDescent="0.3">
      <c r="A15" s="269" t="s">
        <v>154</v>
      </c>
      <c r="B15" s="113" t="s">
        <v>167</v>
      </c>
      <c r="C15" s="123" t="s">
        <v>161</v>
      </c>
      <c r="D15" s="124">
        <v>600</v>
      </c>
      <c r="E15" s="222">
        <f t="shared" si="4"/>
        <v>6.6496598639455771</v>
      </c>
      <c r="F15" s="126">
        <v>1</v>
      </c>
      <c r="G15" s="118">
        <f t="shared" si="0"/>
        <v>3989.7959183673461</v>
      </c>
      <c r="H15" s="119">
        <f t="shared" si="1"/>
        <v>3989.7959183673461</v>
      </c>
      <c r="I15" s="80">
        <f>VLOOKUP(B15,All_Ingredients!$A$1:$F$149,6,FALSE())</f>
        <v>1</v>
      </c>
      <c r="J15" s="118">
        <f>VLOOKUP(B15,All_Ingredients!$A$1:$J$149,10,FALSE())</f>
        <v>12.666666666666666</v>
      </c>
      <c r="K15" s="121">
        <f t="shared" si="5"/>
        <v>3.9897959183673462</v>
      </c>
      <c r="L15" s="121">
        <f t="shared" si="6"/>
        <v>50.537414965986379</v>
      </c>
      <c r="AJ15" s="373" t="s">
        <v>94</v>
      </c>
      <c r="AK15" s="123" t="s">
        <v>14</v>
      </c>
      <c r="AL15" s="374">
        <v>15</v>
      </c>
      <c r="AM15" s="375">
        <f t="shared" si="7"/>
        <v>2.2999999999999998</v>
      </c>
      <c r="AN15" s="376">
        <v>1</v>
      </c>
      <c r="AO15" s="377">
        <f>AL15*AM15</f>
        <v>34.5</v>
      </c>
      <c r="AP15" s="378">
        <f>AO15*AN15</f>
        <v>34.5</v>
      </c>
      <c r="AQ15" s="1153">
        <f>VLOOKUP(AJ15,Marination_Ordering!$A:$J,6,FALSE)</f>
        <v>1</v>
      </c>
      <c r="AR15" s="1153">
        <f>VLOOKUP(AJ15,Marination_Ordering!$A:$J,10,FALSE)</f>
        <v>0.74</v>
      </c>
      <c r="AS15" s="174">
        <f t="shared" si="12"/>
        <v>34.5</v>
      </c>
      <c r="AT15" s="1153">
        <f t="shared" si="13"/>
        <v>2.5530000000000001E-2</v>
      </c>
    </row>
    <row r="16" spans="1:46" ht="14.25" customHeight="1" x14ac:dyDescent="0.3">
      <c r="A16" s="269" t="s">
        <v>192</v>
      </c>
      <c r="B16" s="113" t="s">
        <v>194</v>
      </c>
      <c r="C16" s="123" t="s">
        <v>161</v>
      </c>
      <c r="D16" s="124">
        <v>3</v>
      </c>
      <c r="E16" s="222">
        <f t="shared" si="4"/>
        <v>6.6496598639455771</v>
      </c>
      <c r="F16" s="126">
        <v>0.75</v>
      </c>
      <c r="G16" s="118">
        <f t="shared" si="0"/>
        <v>19.948979591836732</v>
      </c>
      <c r="H16" s="119">
        <f t="shared" si="1"/>
        <v>14.961734693877549</v>
      </c>
      <c r="I16" s="80">
        <f>VLOOKUP(B16,All_Ingredients!$A$1:$F$149,6,FALSE())</f>
        <v>1</v>
      </c>
      <c r="J16" s="118">
        <f>VLOOKUP(B16,All_Ingredients!$A$1:$J$149,10,FALSE())</f>
        <v>58.685446009389672</v>
      </c>
      <c r="K16" s="121">
        <f t="shared" si="5"/>
        <v>1.4961734693877548E-2</v>
      </c>
      <c r="L16" s="121">
        <f t="shared" si="6"/>
        <v>0.8780360735843632</v>
      </c>
      <c r="AJ16" s="373" t="s">
        <v>102</v>
      </c>
      <c r="AK16" s="123" t="s">
        <v>14</v>
      </c>
      <c r="AL16" s="374">
        <v>10</v>
      </c>
      <c r="AM16" s="375">
        <f t="shared" si="7"/>
        <v>2.2999999999999998</v>
      </c>
      <c r="AN16" s="376">
        <v>1</v>
      </c>
      <c r="AO16" s="377">
        <f>AL16*AM16</f>
        <v>23</v>
      </c>
      <c r="AP16" s="378">
        <f>AO16*AN16</f>
        <v>23</v>
      </c>
      <c r="AQ16" s="1153">
        <f>VLOOKUP(AJ16,Marination_Ordering!$A:$J,6,FALSE)</f>
        <v>1</v>
      </c>
      <c r="AR16" s="1153">
        <f>VLOOKUP(AJ16,Marination_Ordering!$A:$J,10,FALSE)</f>
        <v>47</v>
      </c>
      <c r="AS16" s="174">
        <f t="shared" si="12"/>
        <v>23</v>
      </c>
      <c r="AT16" s="1153">
        <f t="shared" si="13"/>
        <v>1.081</v>
      </c>
    </row>
    <row r="17" spans="1:46" ht="14.25" customHeight="1" x14ac:dyDescent="0.3">
      <c r="A17" s="269"/>
      <c r="B17" s="113" t="s">
        <v>140</v>
      </c>
      <c r="C17" s="123" t="s">
        <v>14</v>
      </c>
      <c r="D17" s="124">
        <v>20</v>
      </c>
      <c r="E17" s="222">
        <f t="shared" si="4"/>
        <v>6.6496598639455771</v>
      </c>
      <c r="F17" s="126">
        <v>0.75</v>
      </c>
      <c r="G17" s="118">
        <f t="shared" si="0"/>
        <v>132.99319727891154</v>
      </c>
      <c r="H17" s="119">
        <f t="shared" si="1"/>
        <v>99.744897959183646</v>
      </c>
      <c r="I17" s="80">
        <f>VLOOKUP(B17,All_Ingredients!$A$1:$F$149,6,FALSE())</f>
        <v>1</v>
      </c>
      <c r="J17" s="118">
        <f>VLOOKUP(B17,All_Ingredients!$A$1:$J$149,10,FALSE())</f>
        <v>15.277777777777779</v>
      </c>
      <c r="K17" s="121">
        <f t="shared" si="5"/>
        <v>9.9744897959183648E-2</v>
      </c>
      <c r="L17" s="121">
        <f t="shared" si="6"/>
        <v>1.523880385487528</v>
      </c>
      <c r="AJ17" s="373" t="s">
        <v>100</v>
      </c>
      <c r="AK17" s="123" t="s">
        <v>14</v>
      </c>
      <c r="AL17" s="374">
        <v>5</v>
      </c>
      <c r="AM17" s="375">
        <f t="shared" si="7"/>
        <v>2.2999999999999998</v>
      </c>
      <c r="AN17" s="376">
        <v>1</v>
      </c>
      <c r="AO17" s="377">
        <f t="shared" si="8"/>
        <v>11.5</v>
      </c>
      <c r="AP17" s="378">
        <f t="shared" si="9"/>
        <v>11.5</v>
      </c>
      <c r="AQ17" s="1153">
        <f>VLOOKUP(AJ17,Marination_Ordering!$A:$J,6,FALSE)</f>
        <v>1</v>
      </c>
      <c r="AR17" s="1153">
        <f>VLOOKUP(AJ17,Marination_Ordering!$A:$J,10,FALSE)</f>
        <v>31</v>
      </c>
      <c r="AS17" s="174">
        <f t="shared" si="12"/>
        <v>11.5</v>
      </c>
      <c r="AT17" s="1153">
        <f t="shared" si="13"/>
        <v>0.35649999999999998</v>
      </c>
    </row>
    <row r="20" spans="1:46" ht="14.25" customHeight="1" x14ac:dyDescent="0.3">
      <c r="L20" s="208"/>
    </row>
    <row r="21" spans="1:46" ht="14.25" customHeight="1" x14ac:dyDescent="0.3">
      <c r="L21" s="208"/>
    </row>
    <row r="22" spans="1:46" ht="14.25" customHeight="1" x14ac:dyDescent="0.3">
      <c r="L22" s="208"/>
      <c r="R22" s="128" t="s">
        <v>304</v>
      </c>
    </row>
    <row r="23" spans="1:46" ht="14.25" customHeight="1" x14ac:dyDescent="0.3">
      <c r="L23" s="208"/>
      <c r="R23" s="274" t="s">
        <v>410</v>
      </c>
    </row>
    <row r="24" spans="1:46" ht="14.25" customHeight="1" x14ac:dyDescent="0.3">
      <c r="L24" s="208"/>
      <c r="Z24" s="1265"/>
    </row>
    <row r="25" spans="1:46" ht="14.25" customHeight="1" x14ac:dyDescent="0.35">
      <c r="L25" s="208"/>
      <c r="R25" s="1519" t="s">
        <v>539</v>
      </c>
      <c r="S25" s="1519"/>
      <c r="T25" s="1519"/>
      <c r="U25" s="1519"/>
      <c r="V25" s="1519"/>
      <c r="W25" s="1132"/>
      <c r="Z25" s="140" t="s">
        <v>256</v>
      </c>
      <c r="AA25" s="141">
        <v>1</v>
      </c>
      <c r="AB25" s="140" t="s">
        <v>253</v>
      </c>
      <c r="AC25" s="142">
        <f>(AA25*(4/3))*AF30+(AA30*(AB28/R1))</f>
        <v>5.2882060657148268E-2</v>
      </c>
      <c r="AD25" s="14"/>
      <c r="AN25" s="634"/>
      <c r="AP25" s="809"/>
    </row>
    <row r="26" spans="1:46" ht="14.25" customHeight="1" x14ac:dyDescent="0.3">
      <c r="B26" s="99"/>
      <c r="E26" s="99"/>
      <c r="F26" s="99"/>
      <c r="R26" s="1520" t="s">
        <v>411</v>
      </c>
      <c r="S26" s="1520"/>
      <c r="T26" s="1520"/>
      <c r="U26" s="1520"/>
      <c r="V26" s="1520"/>
      <c r="W26" s="1132"/>
      <c r="Z26" s="14"/>
      <c r="AA26" s="14"/>
      <c r="AB26" s="14"/>
      <c r="AC26" s="14"/>
      <c r="AD26" s="14"/>
      <c r="AN26" s="634"/>
    </row>
    <row r="27" spans="1:46" ht="14.25" customHeight="1" thickBot="1" x14ac:dyDescent="0.35">
      <c r="R27" s="144" t="s">
        <v>258</v>
      </c>
      <c r="S27" s="145" t="s">
        <v>259</v>
      </c>
      <c r="T27" s="145" t="s">
        <v>260</v>
      </c>
      <c r="U27" s="145" t="s">
        <v>412</v>
      </c>
      <c r="V27" s="144" t="s">
        <v>261</v>
      </c>
      <c r="W27" s="145" t="s">
        <v>808</v>
      </c>
      <c r="X27" s="145" t="s">
        <v>817</v>
      </c>
      <c r="Z27" s="1164" t="s">
        <v>262</v>
      </c>
      <c r="AA27" s="1166" t="s">
        <v>316</v>
      </c>
      <c r="AB27" s="1167" t="s">
        <v>263</v>
      </c>
      <c r="AC27" s="1167" t="s">
        <v>265</v>
      </c>
      <c r="AD27" s="1167" t="s">
        <v>412</v>
      </c>
      <c r="AE27" s="1167" t="s">
        <v>817</v>
      </c>
      <c r="AF27" s="1167" t="s">
        <v>266</v>
      </c>
    </row>
    <row r="28" spans="1:46" ht="14.25" customHeight="1" thickBot="1" x14ac:dyDescent="0.35">
      <c r="R28" s="147" t="s">
        <v>267</v>
      </c>
      <c r="S28" s="754">
        <f>V28*0.9</f>
        <v>17595</v>
      </c>
      <c r="T28" s="754"/>
      <c r="U28" s="754">
        <f>V28*0.1</f>
        <v>1955</v>
      </c>
      <c r="V28" s="784">
        <f>$Z$1</f>
        <v>19550</v>
      </c>
      <c r="W28" s="148">
        <f>SUM(AP5:AP17)</f>
        <v>11747.25</v>
      </c>
      <c r="X28" s="148">
        <f>F37</f>
        <v>9.1700000000000017</v>
      </c>
      <c r="Z28" s="1168"/>
      <c r="AA28" s="1169"/>
      <c r="AB28" s="1279">
        <f>AA25*$S$40</f>
        <v>0.9</v>
      </c>
      <c r="AC28" s="1277">
        <f>AA25*(1/3)</f>
        <v>0.33333333333333331</v>
      </c>
      <c r="AD28" s="3">
        <f>AA25*U40</f>
        <v>0.1</v>
      </c>
      <c r="AE28" s="1169"/>
      <c r="AF28" s="1280">
        <f>SUM(AB28:AD28)</f>
        <v>1.3333333333333335</v>
      </c>
    </row>
    <row r="29" spans="1:46" ht="14.25" customHeight="1" thickBot="1" x14ac:dyDescent="0.35">
      <c r="B29" s="99"/>
      <c r="E29" s="99"/>
      <c r="F29" s="99"/>
      <c r="R29" s="147" t="s">
        <v>268</v>
      </c>
      <c r="S29" s="1275"/>
      <c r="T29" s="148">
        <f>V28*(1/3)</f>
        <v>6516.6666666666661</v>
      </c>
      <c r="U29" s="1275"/>
      <c r="V29" s="1276"/>
      <c r="W29" s="148"/>
      <c r="X29" s="148"/>
      <c r="Z29" s="1168"/>
      <c r="AA29" s="1173"/>
      <c r="AB29" s="1176">
        <f>AB28/$AF$28</f>
        <v>0.67499999999999993</v>
      </c>
      <c r="AC29" s="1176">
        <f>AC28/$AF$28</f>
        <v>0.24999999999999994</v>
      </c>
      <c r="AD29" s="1176">
        <f>AD28/$AF$28</f>
        <v>7.4999999999999997E-2</v>
      </c>
      <c r="AE29" s="1173"/>
      <c r="AF29" s="1176">
        <f>AF28/$AF$28</f>
        <v>1</v>
      </c>
    </row>
    <row r="30" spans="1:46" ht="14.25" customHeight="1" thickBot="1" x14ac:dyDescent="0.35">
      <c r="R30" s="147" t="s">
        <v>269</v>
      </c>
      <c r="S30" s="756">
        <f>V30*0.9</f>
        <v>0</v>
      </c>
      <c r="T30" s="756">
        <f>V30*0.3</f>
        <v>0</v>
      </c>
      <c r="U30" s="756">
        <f>V30*0.1</f>
        <v>0</v>
      </c>
      <c r="V30" s="812">
        <f>$AB$1</f>
        <v>0</v>
      </c>
      <c r="W30" s="1124"/>
      <c r="X30" s="1124"/>
      <c r="Z30" s="1164" t="s">
        <v>270</v>
      </c>
      <c r="AA30" s="1177">
        <f>W35/(S32/R1)</f>
        <v>6.335769814375539E-3</v>
      </c>
      <c r="AB30" s="1179">
        <f>S35/(S32)</f>
        <v>3.8987688098495218E-2</v>
      </c>
      <c r="AC30" s="508">
        <f>T35/T32</f>
        <v>1.1882551619239243E-2</v>
      </c>
      <c r="AD30" s="3">
        <f>U35/U32</f>
        <v>2.6190476190476181E-2</v>
      </c>
      <c r="AE30" s="1180">
        <f>X35/V32</f>
        <v>2.4354711784379308E-5</v>
      </c>
      <c r="AF30" s="1278">
        <f>SUMPRODUCT(AB30:AD30,AB29:AD29)+AE30</f>
        <v>3.1275967797364169E-2</v>
      </c>
    </row>
    <row r="31" spans="1:46" ht="14.25" customHeight="1" thickBot="1" x14ac:dyDescent="0.35">
      <c r="R31" s="147"/>
      <c r="S31" s="154"/>
      <c r="T31" s="148"/>
      <c r="U31" s="154"/>
      <c r="V31" s="338"/>
      <c r="W31" s="148"/>
      <c r="X31" s="148"/>
    </row>
    <row r="32" spans="1:46" ht="14.25" customHeight="1" thickBot="1" x14ac:dyDescent="0.35">
      <c r="R32" s="159" t="s">
        <v>261</v>
      </c>
      <c r="S32" s="148">
        <f>S28+S30</f>
        <v>17595</v>
      </c>
      <c r="T32" s="148">
        <f>SUM(T28:T30)</f>
        <v>6516.6666666666661</v>
      </c>
      <c r="U32" s="148">
        <f>U28+U30</f>
        <v>1955</v>
      </c>
      <c r="V32" s="339">
        <f>S32+U32+T32</f>
        <v>26066.666666666664</v>
      </c>
      <c r="W32" s="148"/>
      <c r="X32" s="148">
        <f>H37</f>
        <v>9.1700000000000017</v>
      </c>
    </row>
    <row r="33" spans="2:25" ht="14.25" customHeight="1" thickBot="1" x14ac:dyDescent="0.35">
      <c r="B33" s="99"/>
      <c r="E33" s="99"/>
      <c r="F33" s="99"/>
      <c r="R33" s="160" t="s">
        <v>272</v>
      </c>
      <c r="S33" s="154"/>
      <c r="T33" s="154"/>
      <c r="U33" s="154"/>
      <c r="V33" s="342"/>
      <c r="W33" s="154"/>
      <c r="X33" s="154"/>
    </row>
    <row r="34" spans="2:25" ht="14.25" customHeight="1" thickBot="1" x14ac:dyDescent="0.35">
      <c r="B34" s="99"/>
      <c r="E34" s="99"/>
      <c r="F34" s="99"/>
      <c r="R34" s="161" t="s">
        <v>273</v>
      </c>
      <c r="S34" s="154"/>
      <c r="T34" s="148"/>
      <c r="U34" s="154"/>
      <c r="V34" s="343"/>
      <c r="W34" s="154"/>
      <c r="X34" s="154"/>
    </row>
    <row r="35" spans="2:25" ht="14.25" customHeight="1" thickBot="1" x14ac:dyDescent="0.35">
      <c r="B35" s="1484" t="s">
        <v>686</v>
      </c>
      <c r="C35" s="1484"/>
      <c r="D35" s="1484"/>
      <c r="E35" s="1484"/>
      <c r="F35" s="1484"/>
      <c r="G35" s="870"/>
      <c r="H35" s="870"/>
      <c r="R35" s="162" t="s">
        <v>253</v>
      </c>
      <c r="S35" s="1125">
        <f>L5</f>
        <v>685.98837209302337</v>
      </c>
      <c r="T35" s="1125">
        <f>SUM(L9:L17,L6:L7)</f>
        <v>77.434628052042399</v>
      </c>
      <c r="U35" s="1125">
        <f>$L$8</f>
        <v>51.202380952380935</v>
      </c>
      <c r="V35" s="1184">
        <f>S35+T35+U35+W35+X35</f>
        <v>1033.844285847249</v>
      </c>
      <c r="W35" s="1125">
        <f>SUM(AT6:AT17)</f>
        <v>218.58405859595609</v>
      </c>
      <c r="X35" s="1125">
        <f>L37</f>
        <v>0.63484615384615395</v>
      </c>
    </row>
    <row r="36" spans="2:25" ht="46.5" x14ac:dyDescent="0.3">
      <c r="B36" s="848" t="s">
        <v>245</v>
      </c>
      <c r="C36" s="848" t="s">
        <v>321</v>
      </c>
      <c r="D36" s="850" t="s">
        <v>645</v>
      </c>
      <c r="E36" s="847" t="s">
        <v>646</v>
      </c>
      <c r="F36" s="850" t="s">
        <v>647</v>
      </c>
      <c r="G36" s="870"/>
      <c r="H36" s="850" t="s">
        <v>647</v>
      </c>
      <c r="I36" s="850" t="s">
        <v>250</v>
      </c>
      <c r="J36" s="850" t="s">
        <v>251</v>
      </c>
      <c r="K36" s="850" t="s">
        <v>252</v>
      </c>
      <c r="L36" s="850" t="s">
        <v>253</v>
      </c>
    </row>
    <row r="37" spans="2:25" x14ac:dyDescent="0.3">
      <c r="B37" s="843" t="s">
        <v>716</v>
      </c>
      <c r="C37" s="844" t="s">
        <v>14</v>
      </c>
      <c r="D37" s="845">
        <v>7.0000000000000007E-2</v>
      </c>
      <c r="E37" s="843">
        <f>$AD$1</f>
        <v>131</v>
      </c>
      <c r="F37" s="843">
        <f>D37*E37</f>
        <v>9.1700000000000017</v>
      </c>
      <c r="G37" s="869"/>
      <c r="H37" s="843">
        <f>F37</f>
        <v>9.1700000000000017</v>
      </c>
      <c r="I37" s="843">
        <f>VLOOKUP(B37,All_Ingredients!$A$1:$F$149,6,FALSE())</f>
        <v>0.65</v>
      </c>
      <c r="J37" s="843">
        <f>VLOOKUP(B37,All_Ingredients!$A$1:$J$149,10,FALSE())</f>
        <v>45</v>
      </c>
      <c r="K37" s="1274">
        <f>(H37/I37)/1000</f>
        <v>1.4107692307692309E-2</v>
      </c>
      <c r="L37" s="1274">
        <f>K37*J37</f>
        <v>0.63484615384615395</v>
      </c>
    </row>
    <row r="40" spans="2:25" ht="17.25" customHeight="1" x14ac:dyDescent="0.3">
      <c r="Q40" s="14"/>
      <c r="R40" s="164" t="s">
        <v>274</v>
      </c>
      <c r="S40" s="238">
        <v>0.9</v>
      </c>
      <c r="T40" s="164" t="s">
        <v>837</v>
      </c>
      <c r="U40" s="238">
        <v>0.1</v>
      </c>
      <c r="V40" s="167">
        <f>S40+U40</f>
        <v>1</v>
      </c>
      <c r="W40" s="14"/>
      <c r="X40" s="14"/>
      <c r="Y40" s="14"/>
    </row>
    <row r="41" spans="2:25" ht="14.25" customHeight="1" x14ac:dyDescent="0.3">
      <c r="Q41" s="14"/>
      <c r="R41" s="14"/>
      <c r="S41" s="14"/>
      <c r="T41" s="14"/>
      <c r="U41" s="168"/>
      <c r="V41" s="14"/>
      <c r="W41" s="14"/>
      <c r="X41" s="14"/>
      <c r="Y41" s="14"/>
    </row>
    <row r="42" spans="2:25" ht="14.25" customHeight="1" x14ac:dyDescent="0.3">
      <c r="Q42" s="14"/>
      <c r="R42" s="14"/>
      <c r="S42" s="14"/>
      <c r="T42" s="14"/>
      <c r="U42" s="14"/>
      <c r="V42" s="14"/>
      <c r="W42" s="14"/>
      <c r="X42" s="14"/>
      <c r="Y42" s="14"/>
    </row>
    <row r="43" spans="2:25" ht="14.25" customHeight="1" x14ac:dyDescent="0.3">
      <c r="Q43" s="169" t="s">
        <v>276</v>
      </c>
      <c r="R43" s="169" t="s">
        <v>277</v>
      </c>
      <c r="S43" s="169" t="s">
        <v>278</v>
      </c>
      <c r="T43" s="169" t="s">
        <v>279</v>
      </c>
      <c r="U43" s="169" t="s">
        <v>280</v>
      </c>
      <c r="V43" s="169" t="s">
        <v>281</v>
      </c>
      <c r="W43" s="257" t="s">
        <v>282</v>
      </c>
      <c r="X43" s="320"/>
      <c r="Y43" s="320"/>
    </row>
    <row r="44" spans="2:25" ht="14.25" customHeight="1" x14ac:dyDescent="0.3">
      <c r="Q44" s="171">
        <v>33334</v>
      </c>
      <c r="R44" s="172">
        <f>D51</f>
        <v>10000</v>
      </c>
      <c r="S44" s="173">
        <v>0</v>
      </c>
      <c r="T44" s="240">
        <v>1</v>
      </c>
      <c r="U44" s="241">
        <f>R44*S44</f>
        <v>0</v>
      </c>
      <c r="V44" s="175">
        <f>R44*T44</f>
        <v>10000</v>
      </c>
      <c r="W44" s="259">
        <f>Q44-U44</f>
        <v>33334</v>
      </c>
      <c r="X44" s="297"/>
      <c r="Y44" s="14"/>
    </row>
    <row r="50" spans="1:44" x14ac:dyDescent="0.3">
      <c r="B50" s="275"/>
      <c r="C50" s="144" t="s">
        <v>237</v>
      </c>
      <c r="D50" s="144" t="s">
        <v>283</v>
      </c>
      <c r="F50" s="99"/>
      <c r="G50" s="144" t="s">
        <v>284</v>
      </c>
      <c r="H50" s="144" t="s">
        <v>237</v>
      </c>
      <c r="I50" s="144" t="s">
        <v>285</v>
      </c>
      <c r="J50" s="144" t="s">
        <v>286</v>
      </c>
    </row>
    <row r="51" spans="1:44" x14ac:dyDescent="0.3">
      <c r="B51" s="179" t="s">
        <v>287</v>
      </c>
      <c r="C51" s="180">
        <f>10/$K$1</f>
        <v>10.204081632653061</v>
      </c>
      <c r="D51" s="181">
        <f>$C$1*10</f>
        <v>10000</v>
      </c>
      <c r="E51" s="182"/>
      <c r="F51" s="99"/>
      <c r="G51" s="179" t="s">
        <v>287</v>
      </c>
      <c r="H51" s="276">
        <f>I51/$D$5</f>
        <v>10</v>
      </c>
      <c r="I51" s="180">
        <f>J51/$R$1</f>
        <v>65360.784313725489</v>
      </c>
      <c r="J51" s="180">
        <f>$W$44</f>
        <v>33334</v>
      </c>
    </row>
    <row r="52" spans="1:44" x14ac:dyDescent="0.3">
      <c r="B52" s="230" t="s">
        <v>266</v>
      </c>
      <c r="C52" s="231">
        <f>$I$1</f>
        <v>6.6496598639455771</v>
      </c>
      <c r="D52" s="232">
        <f>$E$1</f>
        <v>6516.6666666666661</v>
      </c>
      <c r="E52" s="99"/>
      <c r="F52" s="99"/>
      <c r="G52" s="147" t="s">
        <v>266</v>
      </c>
      <c r="H52" s="209">
        <f>I52/$D$5</f>
        <v>5.2783944321113578</v>
      </c>
      <c r="I52" s="175">
        <f>J52/$R$1</f>
        <v>34500</v>
      </c>
      <c r="J52" s="183">
        <f>$S$32</f>
        <v>17595</v>
      </c>
    </row>
    <row r="53" spans="1:44" x14ac:dyDescent="0.3">
      <c r="B53" s="230" t="s">
        <v>288</v>
      </c>
      <c r="C53" s="233">
        <f>MIN(C52, C51)</f>
        <v>6.6496598639455771</v>
      </c>
      <c r="D53" s="232">
        <f>(C53*$K$1)*$C$1</f>
        <v>6516.6666666666661</v>
      </c>
      <c r="E53" s="99"/>
      <c r="F53" s="99"/>
      <c r="G53" s="147" t="s">
        <v>288</v>
      </c>
      <c r="H53" s="186">
        <f>MIN(H52,H51)</f>
        <v>5.2783944321113578</v>
      </c>
      <c r="I53" s="175">
        <f>J53/$R$1</f>
        <v>34500</v>
      </c>
      <c r="J53" s="175">
        <f>MIN(J52,J51)</f>
        <v>17595</v>
      </c>
    </row>
    <row r="54" spans="1:44" x14ac:dyDescent="0.3">
      <c r="B54" s="230" t="s">
        <v>289</v>
      </c>
      <c r="C54" s="233">
        <f>MIN(MAX(C52-C53,0),C51)</f>
        <v>0</v>
      </c>
      <c r="D54" s="232">
        <f>(C54*$K$1)*$C$1</f>
        <v>0</v>
      </c>
      <c r="E54" s="99"/>
      <c r="F54" s="99"/>
      <c r="G54" s="147" t="s">
        <v>289</v>
      </c>
      <c r="H54" s="186">
        <f>MIN(MAX(H52-H53),H51)</f>
        <v>0</v>
      </c>
      <c r="I54" s="175">
        <f>J54/$R$1</f>
        <v>0</v>
      </c>
      <c r="J54" s="175">
        <f>MIN(MAX(J52-J53),J51)</f>
        <v>0</v>
      </c>
    </row>
    <row r="55" spans="1:44" x14ac:dyDescent="0.3">
      <c r="B55" s="230" t="s">
        <v>290</v>
      </c>
      <c r="C55" s="233">
        <f>MIN(MAX(C52-C53-C54,0),C51)</f>
        <v>0</v>
      </c>
      <c r="D55" s="232">
        <f>(C55*$K$1)*$C$1</f>
        <v>0</v>
      </c>
      <c r="E55" s="99"/>
      <c r="F55" s="99"/>
      <c r="G55" s="144" t="s">
        <v>290</v>
      </c>
      <c r="H55" s="186">
        <f>MIN(MAX(H52-H53-H54),H51)</f>
        <v>0</v>
      </c>
      <c r="I55" s="175">
        <f>J55/$R$1</f>
        <v>0</v>
      </c>
      <c r="J55" s="175">
        <f>MIN(MAX(J52-J53-J54),J51)</f>
        <v>0</v>
      </c>
    </row>
    <row r="62" spans="1:44" ht="17.75" customHeight="1" x14ac:dyDescent="0.35">
      <c r="A62" s="923"/>
      <c r="B62" s="1438" t="str">
        <f>"دجاج مشروم  1 / " &amp; COUNTIF($C$53:$C$55, "&gt;0")</f>
        <v>دجاج مشروم  1 / 1</v>
      </c>
      <c r="C62" s="1439"/>
      <c r="D62" s="1439"/>
      <c r="E62" s="1439"/>
      <c r="F62" s="1439"/>
      <c r="G62" s="1439"/>
      <c r="H62" s="1439"/>
      <c r="AJ62" s="804"/>
      <c r="AK62" s="804"/>
      <c r="AL62" s="804"/>
      <c r="AM62" s="804"/>
      <c r="AN62" s="804"/>
      <c r="AO62" s="753"/>
      <c r="AP62" s="804"/>
      <c r="AQ62" s="804"/>
      <c r="AR62" s="804"/>
    </row>
    <row r="63" spans="1:44" ht="17.75" customHeight="1" x14ac:dyDescent="0.35">
      <c r="A63" s="923"/>
      <c r="B63" s="1436" t="str">
        <f>"Chicken Mushroom  1 / " &amp; COUNTIF($C$53:$C$55, "&gt;0")</f>
        <v>Chicken Mushroom  1 / 1</v>
      </c>
      <c r="C63" s="1437"/>
      <c r="D63" s="1437"/>
      <c r="E63" s="1437"/>
      <c r="F63" s="1437"/>
      <c r="G63" s="1437"/>
      <c r="H63" s="1437"/>
      <c r="AJ63" s="805"/>
      <c r="AK63" s="805"/>
      <c r="AL63" s="790"/>
      <c r="AM63" s="753"/>
      <c r="AN63" s="753"/>
      <c r="AO63" s="753"/>
      <c r="AP63" s="791"/>
      <c r="AQ63" s="806"/>
      <c r="AR63" s="806"/>
    </row>
    <row r="64" spans="1:44" ht="25.5" customHeight="1" x14ac:dyDescent="0.35">
      <c r="A64" s="90"/>
      <c r="B64" s="242" t="s">
        <v>245</v>
      </c>
      <c r="C64" s="243" t="s">
        <v>246</v>
      </c>
      <c r="D64" s="244" t="s">
        <v>235</v>
      </c>
      <c r="E64" s="217" t="s">
        <v>238</v>
      </c>
      <c r="F64" s="217" t="s">
        <v>247</v>
      </c>
      <c r="G64" s="244" t="s">
        <v>248</v>
      </c>
      <c r="H64" s="217" t="s">
        <v>249</v>
      </c>
      <c r="AJ64" s="805"/>
      <c r="AK64" s="805"/>
      <c r="AL64" s="790"/>
      <c r="AM64" s="753"/>
      <c r="AN64" s="753"/>
      <c r="AO64" s="753"/>
      <c r="AP64" s="792"/>
      <c r="AQ64" s="805"/>
      <c r="AR64" s="805"/>
    </row>
    <row r="65" spans="1:44" ht="14.25" customHeight="1" x14ac:dyDescent="0.35">
      <c r="A65" s="112" t="s">
        <v>225</v>
      </c>
      <c r="B65" s="122" t="str">
        <f t="shared" ref="B65:D77" si="14">B5</f>
        <v>Chicken - دجاج</v>
      </c>
      <c r="C65" s="122" t="str">
        <f t="shared" si="14"/>
        <v>gm</v>
      </c>
      <c r="D65" s="262">
        <f t="shared" si="14"/>
        <v>6536.0784313725489</v>
      </c>
      <c r="E65" s="350">
        <f>H53</f>
        <v>5.2783944321113578</v>
      </c>
      <c r="F65" s="126">
        <f t="shared" ref="F65:F77" si="15">F5</f>
        <v>1</v>
      </c>
      <c r="G65" s="118">
        <f t="shared" ref="G65:G77" si="16">D65*E65</f>
        <v>34500</v>
      </c>
      <c r="H65" s="119">
        <f t="shared" ref="H65:H77" si="17">G65*F65</f>
        <v>34500</v>
      </c>
      <c r="AJ65" s="805"/>
      <c r="AK65" s="805"/>
      <c r="AL65" s="790"/>
      <c r="AM65" s="753"/>
      <c r="AN65" s="753"/>
      <c r="AO65" s="753"/>
      <c r="AP65" s="792"/>
      <c r="AQ65" s="805"/>
      <c r="AR65" s="805"/>
    </row>
    <row r="66" spans="1:44" ht="14.25" customHeight="1" x14ac:dyDescent="0.35">
      <c r="A66" s="269" t="s">
        <v>13</v>
      </c>
      <c r="B66" s="122" t="str">
        <f t="shared" si="14"/>
        <v>Onion - بصل</v>
      </c>
      <c r="C66" s="122" t="str">
        <f t="shared" si="14"/>
        <v>gm</v>
      </c>
      <c r="D66" s="122">
        <f t="shared" si="14"/>
        <v>100</v>
      </c>
      <c r="E66" s="350">
        <f t="shared" ref="E66:E77" si="18">$C$53</f>
        <v>6.6496598639455771</v>
      </c>
      <c r="F66" s="126">
        <f t="shared" si="15"/>
        <v>0.95</v>
      </c>
      <c r="G66" s="118">
        <f t="shared" si="16"/>
        <v>664.96598639455772</v>
      </c>
      <c r="H66" s="119">
        <f t="shared" si="17"/>
        <v>631.71768707482977</v>
      </c>
      <c r="AJ66" s="808"/>
      <c r="AK66" s="808"/>
      <c r="AL66" s="793"/>
      <c r="AM66" s="753"/>
      <c r="AN66" s="753"/>
      <c r="AO66" s="753"/>
      <c r="AP66" s="792"/>
      <c r="AQ66" s="805"/>
      <c r="AR66" s="805"/>
    </row>
    <row r="67" spans="1:44" ht="14.25" customHeight="1" x14ac:dyDescent="0.35">
      <c r="A67" s="269" t="s">
        <v>13</v>
      </c>
      <c r="B67" s="122" t="str">
        <f t="shared" si="14"/>
        <v>Garlic - ثوم مقشر</v>
      </c>
      <c r="C67" s="122" t="str">
        <f t="shared" si="14"/>
        <v>gm</v>
      </c>
      <c r="D67" s="122">
        <f t="shared" si="14"/>
        <v>30</v>
      </c>
      <c r="E67" s="350">
        <f t="shared" si="18"/>
        <v>6.6496598639455771</v>
      </c>
      <c r="F67" s="126">
        <f t="shared" si="15"/>
        <v>1</v>
      </c>
      <c r="G67" s="118">
        <f t="shared" si="16"/>
        <v>199.48979591836732</v>
      </c>
      <c r="H67" s="119">
        <f t="shared" si="17"/>
        <v>199.48979591836732</v>
      </c>
      <c r="AJ67" s="808"/>
      <c r="AK67" s="808"/>
      <c r="AL67" s="793"/>
      <c r="AM67" s="753"/>
      <c r="AN67" s="753"/>
      <c r="AO67" s="753"/>
      <c r="AP67" s="792"/>
      <c r="AQ67" s="805"/>
      <c r="AR67" s="805"/>
    </row>
    <row r="68" spans="1:44" ht="14.25" customHeight="1" x14ac:dyDescent="0.35">
      <c r="A68" s="269" t="s">
        <v>13</v>
      </c>
      <c r="B68" s="122" t="str">
        <f t="shared" si="14"/>
        <v>Mushroom - مشروم ابيض</v>
      </c>
      <c r="C68" s="122" t="str">
        <f t="shared" si="14"/>
        <v>gm</v>
      </c>
      <c r="D68" s="122">
        <f t="shared" si="14"/>
        <v>350</v>
      </c>
      <c r="E68" s="350">
        <f t="shared" si="18"/>
        <v>6.6496598639455771</v>
      </c>
      <c r="F68" s="126">
        <f t="shared" si="15"/>
        <v>1</v>
      </c>
      <c r="G68" s="118">
        <f t="shared" si="16"/>
        <v>2327.3809523809518</v>
      </c>
      <c r="H68" s="119">
        <f t="shared" si="17"/>
        <v>2327.3809523809518</v>
      </c>
      <c r="AJ68" s="753"/>
      <c r="AK68" s="753"/>
      <c r="AL68" s="753"/>
      <c r="AM68" s="753"/>
      <c r="AN68" s="753"/>
      <c r="AO68" s="753"/>
      <c r="AP68" s="792"/>
      <c r="AQ68" s="805"/>
      <c r="AR68" s="805"/>
    </row>
    <row r="69" spans="1:44" ht="14.25" customHeight="1" x14ac:dyDescent="0.3">
      <c r="A69" s="269" t="s">
        <v>81</v>
      </c>
      <c r="B69" s="122" t="str">
        <f t="shared" si="14"/>
        <v>Dry Thyme - زعتر مجفف</v>
      </c>
      <c r="C69" s="122" t="str">
        <f t="shared" si="14"/>
        <v>gm</v>
      </c>
      <c r="D69" s="122">
        <f t="shared" si="14"/>
        <v>1</v>
      </c>
      <c r="E69" s="350">
        <f t="shared" si="18"/>
        <v>6.6496598639455771</v>
      </c>
      <c r="F69" s="126">
        <f t="shared" si="15"/>
        <v>0.75</v>
      </c>
      <c r="G69" s="118">
        <f t="shared" si="16"/>
        <v>6.6496598639455771</v>
      </c>
      <c r="H69" s="119">
        <f t="shared" si="17"/>
        <v>4.987244897959183</v>
      </c>
    </row>
    <row r="70" spans="1:44" ht="14.25" customHeight="1" x14ac:dyDescent="0.3">
      <c r="A70" s="269" t="s">
        <v>95</v>
      </c>
      <c r="B70" s="122" t="str">
        <f t="shared" si="14"/>
        <v>Black Pepper Powder - فلفل أسود مطحون</v>
      </c>
      <c r="C70" s="122" t="str">
        <f t="shared" si="14"/>
        <v>gm</v>
      </c>
      <c r="D70" s="122">
        <f t="shared" si="14"/>
        <v>2</v>
      </c>
      <c r="E70" s="350">
        <f t="shared" si="18"/>
        <v>6.6496598639455771</v>
      </c>
      <c r="F70" s="126">
        <f t="shared" si="15"/>
        <v>0.75</v>
      </c>
      <c r="G70" s="118">
        <f t="shared" si="16"/>
        <v>13.299319727891154</v>
      </c>
      <c r="H70" s="119">
        <f t="shared" si="17"/>
        <v>9.974489795918366</v>
      </c>
      <c r="AJ70" s="807"/>
      <c r="AK70" s="807"/>
      <c r="AL70" s="807"/>
      <c r="AM70" s="807"/>
      <c r="AN70" s="807"/>
      <c r="AO70" s="807"/>
      <c r="AP70" s="807"/>
      <c r="AQ70" s="807"/>
      <c r="AR70" s="807"/>
    </row>
    <row r="71" spans="1:44" ht="14.25" customHeight="1" x14ac:dyDescent="0.35">
      <c r="A71" s="269" t="s">
        <v>95</v>
      </c>
      <c r="B71" s="122" t="str">
        <f t="shared" si="14"/>
        <v>Salt - ملح</v>
      </c>
      <c r="C71" s="122" t="str">
        <f t="shared" si="14"/>
        <v>gm</v>
      </c>
      <c r="D71" s="122">
        <f t="shared" si="14"/>
        <v>5</v>
      </c>
      <c r="E71" s="350">
        <f t="shared" si="18"/>
        <v>6.6496598639455771</v>
      </c>
      <c r="F71" s="126">
        <f t="shared" si="15"/>
        <v>0.75</v>
      </c>
      <c r="G71" s="118">
        <f t="shared" si="16"/>
        <v>33.248299319727884</v>
      </c>
      <c r="H71" s="119">
        <f t="shared" si="17"/>
        <v>24.936224489795912</v>
      </c>
      <c r="AJ71" s="794"/>
      <c r="AK71" s="794"/>
      <c r="AL71" s="794"/>
      <c r="AM71" s="794"/>
      <c r="AN71" s="794"/>
      <c r="AO71" s="794"/>
      <c r="AP71" s="794"/>
      <c r="AQ71" s="794"/>
      <c r="AR71" s="753"/>
    </row>
    <row r="72" spans="1:44" ht="14.25" customHeight="1" x14ac:dyDescent="0.35">
      <c r="A72" s="269" t="s">
        <v>154</v>
      </c>
      <c r="B72" s="122" t="str">
        <f t="shared" si="14"/>
        <v>Butter - زبدة</v>
      </c>
      <c r="C72" s="122" t="str">
        <f t="shared" si="14"/>
        <v>gm</v>
      </c>
      <c r="D72" s="122">
        <f t="shared" si="14"/>
        <v>15</v>
      </c>
      <c r="E72" s="350">
        <f t="shared" si="18"/>
        <v>6.6496598639455771</v>
      </c>
      <c r="F72" s="126">
        <f t="shared" si="15"/>
        <v>1</v>
      </c>
      <c r="G72" s="118">
        <f t="shared" si="16"/>
        <v>99.74489795918366</v>
      </c>
      <c r="H72" s="119">
        <f t="shared" si="17"/>
        <v>99.74489795918366</v>
      </c>
      <c r="AJ72" s="795"/>
      <c r="AK72" s="792"/>
      <c r="AL72" s="796"/>
      <c r="AM72" s="797"/>
      <c r="AN72" s="790"/>
      <c r="AO72" s="798"/>
      <c r="AP72" s="799"/>
      <c r="AQ72" s="800"/>
      <c r="AR72" s="753"/>
    </row>
    <row r="73" spans="1:44" ht="14.25" customHeight="1" x14ac:dyDescent="0.35">
      <c r="A73" s="269" t="s">
        <v>188</v>
      </c>
      <c r="B73" s="122" t="str">
        <f t="shared" si="14"/>
        <v>Flour - دقيق</v>
      </c>
      <c r="C73" s="122" t="str">
        <f t="shared" si="14"/>
        <v>gm</v>
      </c>
      <c r="D73" s="122">
        <f t="shared" si="14"/>
        <v>20</v>
      </c>
      <c r="E73" s="350">
        <f t="shared" si="18"/>
        <v>6.6496598639455771</v>
      </c>
      <c r="F73" s="126">
        <f t="shared" si="15"/>
        <v>0.75</v>
      </c>
      <c r="G73" s="118">
        <f t="shared" si="16"/>
        <v>132.99319727891154</v>
      </c>
      <c r="H73" s="119">
        <f t="shared" si="17"/>
        <v>99.744897959183646</v>
      </c>
      <c r="AJ73" s="795"/>
      <c r="AK73" s="792"/>
      <c r="AL73" s="796"/>
      <c r="AM73" s="797"/>
      <c r="AN73" s="790"/>
      <c r="AO73" s="798"/>
      <c r="AP73" s="799"/>
      <c r="AQ73" s="800"/>
      <c r="AR73" s="753"/>
    </row>
    <row r="74" spans="1:44" ht="14.25" customHeight="1" x14ac:dyDescent="0.35">
      <c r="A74" s="269" t="s">
        <v>154</v>
      </c>
      <c r="B74" s="122" t="str">
        <f t="shared" si="14"/>
        <v>Milk - حليب</v>
      </c>
      <c r="C74" s="122" t="str">
        <f t="shared" si="14"/>
        <v>ml</v>
      </c>
      <c r="D74" s="122">
        <f t="shared" si="14"/>
        <v>600</v>
      </c>
      <c r="E74" s="350">
        <f t="shared" si="18"/>
        <v>6.6496598639455771</v>
      </c>
      <c r="F74" s="126">
        <f t="shared" si="15"/>
        <v>1</v>
      </c>
      <c r="G74" s="118">
        <f t="shared" si="16"/>
        <v>3989.7959183673461</v>
      </c>
      <c r="H74" s="119">
        <f t="shared" si="17"/>
        <v>3989.7959183673461</v>
      </c>
      <c r="AJ74" s="795"/>
      <c r="AK74" s="792"/>
      <c r="AL74" s="796"/>
      <c r="AM74" s="797"/>
      <c r="AN74" s="790"/>
      <c r="AO74" s="798"/>
      <c r="AP74" s="799"/>
      <c r="AQ74" s="800"/>
      <c r="AR74" s="753"/>
    </row>
    <row r="75" spans="1:44" ht="14.25" customHeight="1" x14ac:dyDescent="0.3">
      <c r="A75" s="269" t="s">
        <v>154</v>
      </c>
      <c r="B75" s="122" t="str">
        <f t="shared" si="14"/>
        <v>Cooking Cream - كريمة طبخ</v>
      </c>
      <c r="C75" s="122" t="str">
        <f t="shared" si="14"/>
        <v>ml</v>
      </c>
      <c r="D75" s="122">
        <f t="shared" si="14"/>
        <v>600</v>
      </c>
      <c r="E75" s="350">
        <f t="shared" si="18"/>
        <v>6.6496598639455771</v>
      </c>
      <c r="F75" s="126">
        <f t="shared" si="15"/>
        <v>1</v>
      </c>
      <c r="G75" s="118">
        <f t="shared" si="16"/>
        <v>3989.7959183673461</v>
      </c>
      <c r="H75" s="119">
        <f t="shared" si="17"/>
        <v>3989.7959183673461</v>
      </c>
      <c r="AJ75" s="795"/>
      <c r="AK75" s="792"/>
      <c r="AL75" s="796"/>
      <c r="AM75" s="797"/>
      <c r="AN75" s="790"/>
      <c r="AO75" s="798"/>
      <c r="AP75" s="799"/>
      <c r="AQ75" s="800"/>
    </row>
    <row r="76" spans="1:44" ht="14.25" customHeight="1" x14ac:dyDescent="0.3">
      <c r="A76" s="269" t="s">
        <v>192</v>
      </c>
      <c r="B76" s="122" t="str">
        <f t="shared" si="14"/>
        <v>Sriracha Sauce - صوص سريراتشا</v>
      </c>
      <c r="C76" s="122" t="str">
        <f t="shared" si="14"/>
        <v>ml</v>
      </c>
      <c r="D76" s="122">
        <f t="shared" si="14"/>
        <v>3</v>
      </c>
      <c r="E76" s="350">
        <f t="shared" si="18"/>
        <v>6.6496598639455771</v>
      </c>
      <c r="F76" s="126">
        <f t="shared" si="15"/>
        <v>0.75</v>
      </c>
      <c r="G76" s="118">
        <f t="shared" si="16"/>
        <v>19.948979591836732</v>
      </c>
      <c r="H76" s="119">
        <f t="shared" si="17"/>
        <v>14.961734693877549</v>
      </c>
      <c r="AJ76" s="795"/>
      <c r="AK76" s="792"/>
      <c r="AL76" s="796"/>
      <c r="AM76" s="797"/>
      <c r="AN76" s="801"/>
      <c r="AO76" s="798"/>
      <c r="AP76" s="799"/>
      <c r="AQ76" s="800"/>
    </row>
    <row r="77" spans="1:44" ht="14.25" customHeight="1" x14ac:dyDescent="0.3">
      <c r="A77" s="269" t="s">
        <v>192</v>
      </c>
      <c r="B77" s="122" t="str">
        <f t="shared" si="14"/>
        <v>Maggi Cubes - مكعبات ماجي</v>
      </c>
      <c r="C77" s="122" t="str">
        <f t="shared" si="14"/>
        <v>gm</v>
      </c>
      <c r="D77" s="122">
        <f t="shared" si="14"/>
        <v>20</v>
      </c>
      <c r="E77" s="350">
        <f t="shared" si="18"/>
        <v>6.6496598639455771</v>
      </c>
      <c r="F77" s="126">
        <f t="shared" si="15"/>
        <v>0.75</v>
      </c>
      <c r="G77" s="118">
        <f t="shared" si="16"/>
        <v>132.99319727891154</v>
      </c>
      <c r="H77" s="119">
        <f t="shared" si="17"/>
        <v>99.744897959183646</v>
      </c>
      <c r="AJ77" s="795"/>
      <c r="AK77" s="792"/>
      <c r="AL77" s="796"/>
      <c r="AM77" s="797"/>
      <c r="AN77" s="790"/>
      <c r="AO77" s="798"/>
      <c r="AP77" s="799"/>
      <c r="AQ77" s="800"/>
    </row>
    <row r="78" spans="1:44" ht="20.25" customHeight="1" x14ac:dyDescent="0.3">
      <c r="A78" s="210"/>
      <c r="B78" s="197" t="s">
        <v>291</v>
      </c>
      <c r="C78" s="199" t="s">
        <v>277</v>
      </c>
      <c r="D78" s="14"/>
      <c r="E78" s="199" t="s">
        <v>292</v>
      </c>
      <c r="F78" s="14"/>
      <c r="G78" s="878" t="s">
        <v>268</v>
      </c>
      <c r="H78" s="878" t="s">
        <v>703</v>
      </c>
      <c r="AJ78" s="795"/>
      <c r="AK78" s="792"/>
      <c r="AL78" s="796"/>
      <c r="AM78" s="797"/>
      <c r="AN78" s="790"/>
      <c r="AO78" s="798"/>
      <c r="AP78" s="799"/>
      <c r="AQ78" s="800"/>
    </row>
    <row r="79" spans="1:44" ht="22.25" customHeight="1" x14ac:dyDescent="0.4">
      <c r="A79" s="210"/>
      <c r="B79" s="198">
        <f>$J$53</f>
        <v>17595</v>
      </c>
      <c r="C79" s="198">
        <f>E79+G79</f>
        <v>6516.6666666666661</v>
      </c>
      <c r="D79" s="915"/>
      <c r="E79" s="198">
        <f>$D$53*$S$44</f>
        <v>0</v>
      </c>
      <c r="F79" s="919"/>
      <c r="G79" s="198">
        <f>$D$53*$T$44</f>
        <v>6516.6666666666661</v>
      </c>
      <c r="H79" s="198">
        <f>B79+E79</f>
        <v>17595</v>
      </c>
      <c r="AJ79" s="795"/>
      <c r="AK79" s="792"/>
      <c r="AL79" s="796"/>
      <c r="AM79" s="797"/>
      <c r="AN79" s="790"/>
      <c r="AO79" s="798"/>
      <c r="AP79" s="799"/>
      <c r="AQ79" s="800"/>
    </row>
    <row r="80" spans="1:44" ht="14.25" customHeight="1" x14ac:dyDescent="0.3">
      <c r="B80" s="99"/>
      <c r="C80" s="207"/>
      <c r="D80" s="208"/>
      <c r="E80" s="99"/>
      <c r="F80" s="99"/>
      <c r="AJ80" s="795"/>
      <c r="AK80" s="792"/>
      <c r="AL80" s="796"/>
      <c r="AM80" s="797"/>
      <c r="AN80" s="790"/>
      <c r="AO80" s="798"/>
      <c r="AP80" s="799"/>
      <c r="AQ80" s="800"/>
    </row>
    <row r="81" spans="1:43" ht="17.75" customHeight="1" x14ac:dyDescent="0.3">
      <c r="A81" s="264"/>
      <c r="B81" s="1438" t="str">
        <f>"دجاج مشروم  2 / " &amp; COUNTIF($C$53:$C$55, "&gt;0")</f>
        <v>دجاج مشروم  2 / 1</v>
      </c>
      <c r="C81" s="1444"/>
      <c r="D81" s="1444"/>
      <c r="E81" s="1444"/>
      <c r="F81" s="1444"/>
      <c r="G81" s="1444"/>
      <c r="H81" s="1444"/>
      <c r="AJ81" s="795"/>
      <c r="AK81" s="792"/>
      <c r="AL81" s="796"/>
      <c r="AM81" s="797"/>
      <c r="AN81" s="790"/>
      <c r="AO81" s="798"/>
      <c r="AP81" s="799"/>
      <c r="AQ81" s="800"/>
    </row>
    <row r="82" spans="1:43" ht="17.75" customHeight="1" x14ac:dyDescent="0.3">
      <c r="A82" s="264"/>
      <c r="B82" s="1436" t="str">
        <f>"Chicken Mushroom  2 / " &amp; COUNTIF($C$53:$C$55, "&gt;0")</f>
        <v>Chicken Mushroom  2 / 1</v>
      </c>
      <c r="C82" s="1446"/>
      <c r="D82" s="1446"/>
      <c r="E82" s="1446"/>
      <c r="F82" s="1446"/>
      <c r="G82" s="1446"/>
      <c r="H82" s="1446"/>
      <c r="AJ82" s="795"/>
      <c r="AK82" s="792"/>
      <c r="AL82" s="796"/>
      <c r="AM82" s="797"/>
      <c r="AN82" s="790"/>
      <c r="AO82" s="798"/>
      <c r="AP82" s="799"/>
      <c r="AQ82" s="800"/>
    </row>
    <row r="83" spans="1:43" ht="25.5" customHeight="1" x14ac:dyDescent="0.3">
      <c r="A83" s="90"/>
      <c r="B83" s="242" t="s">
        <v>245</v>
      </c>
      <c r="C83" s="243" t="s">
        <v>246</v>
      </c>
      <c r="D83" s="244" t="s">
        <v>235</v>
      </c>
      <c r="E83" s="217" t="s">
        <v>238</v>
      </c>
      <c r="F83" s="217" t="s">
        <v>247</v>
      </c>
      <c r="G83" s="244" t="s">
        <v>248</v>
      </c>
      <c r="H83" s="217" t="s">
        <v>249</v>
      </c>
      <c r="AJ83" s="795"/>
      <c r="AK83" s="792"/>
      <c r="AL83" s="796"/>
      <c r="AM83" s="797"/>
      <c r="AN83" s="790"/>
      <c r="AO83" s="798"/>
      <c r="AP83" s="799"/>
      <c r="AQ83" s="800"/>
    </row>
    <row r="84" spans="1:43" ht="14.25" customHeight="1" x14ac:dyDescent="0.3">
      <c r="A84" s="269" t="s">
        <v>225</v>
      </c>
      <c r="B84" s="122" t="str">
        <f t="shared" ref="B84:D96" si="19">B5</f>
        <v>Chicken - دجاج</v>
      </c>
      <c r="C84" s="122" t="str">
        <f t="shared" si="19"/>
        <v>gm</v>
      </c>
      <c r="D84" s="262">
        <f t="shared" si="19"/>
        <v>6536.0784313725489</v>
      </c>
      <c r="E84" s="222">
        <f>H54</f>
        <v>0</v>
      </c>
      <c r="F84" s="126">
        <f t="shared" ref="F84:F96" si="20">F5</f>
        <v>1</v>
      </c>
      <c r="G84" s="118">
        <f t="shared" ref="G84:G96" si="21">D84*E84</f>
        <v>0</v>
      </c>
      <c r="H84" s="119">
        <f t="shared" ref="H84:H96" si="22">G84*F84</f>
        <v>0</v>
      </c>
      <c r="AJ84" s="806"/>
      <c r="AK84" s="806"/>
      <c r="AL84" s="806"/>
      <c r="AM84" s="806"/>
      <c r="AN84" s="806"/>
      <c r="AO84" s="802"/>
      <c r="AP84" s="803"/>
      <c r="AQ84" s="802"/>
    </row>
    <row r="85" spans="1:43" ht="14.25" customHeight="1" x14ac:dyDescent="0.3">
      <c r="A85" s="269" t="s">
        <v>13</v>
      </c>
      <c r="B85" s="122" t="str">
        <f t="shared" si="19"/>
        <v>Onion - بصل</v>
      </c>
      <c r="C85" s="122" t="str">
        <f t="shared" si="19"/>
        <v>gm</v>
      </c>
      <c r="D85" s="122">
        <f t="shared" si="19"/>
        <v>100</v>
      </c>
      <c r="E85" s="222">
        <f t="shared" ref="E85:E96" si="23">$C$54</f>
        <v>0</v>
      </c>
      <c r="F85" s="126">
        <f t="shared" si="20"/>
        <v>0.95</v>
      </c>
      <c r="G85" s="118">
        <f t="shared" si="21"/>
        <v>0</v>
      </c>
      <c r="H85" s="119">
        <f t="shared" si="22"/>
        <v>0</v>
      </c>
    </row>
    <row r="86" spans="1:43" ht="14.25" customHeight="1" x14ac:dyDescent="0.3">
      <c r="A86" s="269" t="s">
        <v>13</v>
      </c>
      <c r="B86" s="122" t="str">
        <f t="shared" si="19"/>
        <v>Garlic - ثوم مقشر</v>
      </c>
      <c r="C86" s="122" t="str">
        <f t="shared" si="19"/>
        <v>gm</v>
      </c>
      <c r="D86" s="122">
        <f t="shared" si="19"/>
        <v>30</v>
      </c>
      <c r="E86" s="222">
        <f t="shared" si="23"/>
        <v>0</v>
      </c>
      <c r="F86" s="126">
        <f t="shared" si="20"/>
        <v>1</v>
      </c>
      <c r="G86" s="118">
        <f t="shared" si="21"/>
        <v>0</v>
      </c>
      <c r="H86" s="119">
        <f t="shared" si="22"/>
        <v>0</v>
      </c>
    </row>
    <row r="87" spans="1:43" ht="14.25" customHeight="1" x14ac:dyDescent="0.3">
      <c r="A87" s="269" t="s">
        <v>13</v>
      </c>
      <c r="B87" s="122" t="str">
        <f t="shared" si="19"/>
        <v>Mushroom - مشروم ابيض</v>
      </c>
      <c r="C87" s="122" t="str">
        <f t="shared" si="19"/>
        <v>gm</v>
      </c>
      <c r="D87" s="122">
        <f t="shared" si="19"/>
        <v>350</v>
      </c>
      <c r="E87" s="222">
        <f t="shared" si="23"/>
        <v>0</v>
      </c>
      <c r="F87" s="126">
        <f t="shared" si="20"/>
        <v>1</v>
      </c>
      <c r="G87" s="118">
        <f t="shared" si="21"/>
        <v>0</v>
      </c>
      <c r="H87" s="119">
        <f t="shared" si="22"/>
        <v>0</v>
      </c>
    </row>
    <row r="88" spans="1:43" ht="14.25" customHeight="1" x14ac:dyDescent="0.3">
      <c r="A88" s="269" t="s">
        <v>81</v>
      </c>
      <c r="B88" s="122" t="str">
        <f t="shared" si="19"/>
        <v>Dry Thyme - زعتر مجفف</v>
      </c>
      <c r="C88" s="122" t="str">
        <f t="shared" si="19"/>
        <v>gm</v>
      </c>
      <c r="D88" s="122">
        <f t="shared" si="19"/>
        <v>1</v>
      </c>
      <c r="E88" s="222">
        <f t="shared" si="23"/>
        <v>0</v>
      </c>
      <c r="F88" s="126">
        <f t="shared" si="20"/>
        <v>0.75</v>
      </c>
      <c r="G88" s="118">
        <f t="shared" si="21"/>
        <v>0</v>
      </c>
      <c r="H88" s="119">
        <f t="shared" si="22"/>
        <v>0</v>
      </c>
      <c r="AM88" s="790"/>
    </row>
    <row r="89" spans="1:43" ht="14.25" customHeight="1" x14ac:dyDescent="0.3">
      <c r="A89" s="269" t="s">
        <v>95</v>
      </c>
      <c r="B89" s="122" t="str">
        <f t="shared" si="19"/>
        <v>Black Pepper Powder - فلفل أسود مطحون</v>
      </c>
      <c r="C89" s="122" t="str">
        <f t="shared" si="19"/>
        <v>gm</v>
      </c>
      <c r="D89" s="122">
        <f t="shared" si="19"/>
        <v>2</v>
      </c>
      <c r="E89" s="222">
        <f t="shared" si="23"/>
        <v>0</v>
      </c>
      <c r="F89" s="126">
        <f t="shared" si="20"/>
        <v>0.75</v>
      </c>
      <c r="G89" s="118">
        <f t="shared" si="21"/>
        <v>0</v>
      </c>
      <c r="H89" s="119">
        <f t="shared" si="22"/>
        <v>0</v>
      </c>
      <c r="AM89" s="790"/>
    </row>
    <row r="90" spans="1:43" ht="14.25" customHeight="1" x14ac:dyDescent="0.3">
      <c r="A90" s="269" t="s">
        <v>95</v>
      </c>
      <c r="B90" s="122" t="str">
        <f t="shared" si="19"/>
        <v>Salt - ملح</v>
      </c>
      <c r="C90" s="122" t="str">
        <f t="shared" si="19"/>
        <v>gm</v>
      </c>
      <c r="D90" s="122">
        <f t="shared" si="19"/>
        <v>5</v>
      </c>
      <c r="E90" s="222">
        <f t="shared" si="23"/>
        <v>0</v>
      </c>
      <c r="F90" s="126">
        <f t="shared" si="20"/>
        <v>0.75</v>
      </c>
      <c r="G90" s="118">
        <f t="shared" si="21"/>
        <v>0</v>
      </c>
      <c r="H90" s="119">
        <f t="shared" si="22"/>
        <v>0</v>
      </c>
      <c r="AM90" s="790"/>
    </row>
    <row r="91" spans="1:43" ht="14.25" customHeight="1" x14ac:dyDescent="0.3">
      <c r="A91" s="269" t="s">
        <v>154</v>
      </c>
      <c r="B91" s="122" t="str">
        <f t="shared" si="19"/>
        <v>Butter - زبدة</v>
      </c>
      <c r="C91" s="122" t="str">
        <f t="shared" si="19"/>
        <v>gm</v>
      </c>
      <c r="D91" s="122">
        <f t="shared" si="19"/>
        <v>15</v>
      </c>
      <c r="E91" s="222">
        <f t="shared" si="23"/>
        <v>0</v>
      </c>
      <c r="F91" s="126">
        <f t="shared" si="20"/>
        <v>1</v>
      </c>
      <c r="G91" s="118">
        <f t="shared" si="21"/>
        <v>0</v>
      </c>
      <c r="H91" s="119">
        <f t="shared" si="22"/>
        <v>0</v>
      </c>
      <c r="AM91" s="790"/>
    </row>
    <row r="92" spans="1:43" ht="14.25" customHeight="1" x14ac:dyDescent="0.3">
      <c r="A92" s="269" t="s">
        <v>188</v>
      </c>
      <c r="B92" s="122" t="str">
        <f t="shared" si="19"/>
        <v>Flour - دقيق</v>
      </c>
      <c r="C92" s="122" t="str">
        <f t="shared" si="19"/>
        <v>gm</v>
      </c>
      <c r="D92" s="122">
        <f t="shared" si="19"/>
        <v>20</v>
      </c>
      <c r="E92" s="222">
        <f t="shared" si="23"/>
        <v>0</v>
      </c>
      <c r="F92" s="126">
        <f t="shared" si="20"/>
        <v>0.75</v>
      </c>
      <c r="G92" s="118">
        <f t="shared" si="21"/>
        <v>0</v>
      </c>
      <c r="H92" s="119">
        <f t="shared" si="22"/>
        <v>0</v>
      </c>
      <c r="AM92" s="801"/>
    </row>
    <row r="93" spans="1:43" ht="14.25" customHeight="1" x14ac:dyDescent="0.3">
      <c r="A93" s="269" t="s">
        <v>154</v>
      </c>
      <c r="B93" s="122" t="str">
        <f t="shared" si="19"/>
        <v>Milk - حليب</v>
      </c>
      <c r="C93" s="122" t="str">
        <f t="shared" si="19"/>
        <v>ml</v>
      </c>
      <c r="D93" s="122">
        <f t="shared" si="19"/>
        <v>600</v>
      </c>
      <c r="E93" s="222">
        <f t="shared" si="23"/>
        <v>0</v>
      </c>
      <c r="F93" s="126">
        <f t="shared" si="20"/>
        <v>1</v>
      </c>
      <c r="G93" s="118">
        <f t="shared" si="21"/>
        <v>0</v>
      </c>
      <c r="H93" s="119">
        <f t="shared" si="22"/>
        <v>0</v>
      </c>
      <c r="AM93" s="790"/>
    </row>
    <row r="94" spans="1:43" ht="14.25" customHeight="1" x14ac:dyDescent="0.3">
      <c r="A94" s="269" t="s">
        <v>154</v>
      </c>
      <c r="B94" s="122" t="str">
        <f t="shared" si="19"/>
        <v>Cooking Cream - كريمة طبخ</v>
      </c>
      <c r="C94" s="122" t="str">
        <f t="shared" si="19"/>
        <v>ml</v>
      </c>
      <c r="D94" s="122">
        <f t="shared" si="19"/>
        <v>600</v>
      </c>
      <c r="E94" s="222">
        <f t="shared" si="23"/>
        <v>0</v>
      </c>
      <c r="F94" s="126">
        <f t="shared" si="20"/>
        <v>1</v>
      </c>
      <c r="G94" s="118">
        <f t="shared" si="21"/>
        <v>0</v>
      </c>
      <c r="H94" s="119">
        <f t="shared" si="22"/>
        <v>0</v>
      </c>
      <c r="AM94" s="790"/>
    </row>
    <row r="95" spans="1:43" ht="14.25" customHeight="1" x14ac:dyDescent="0.3">
      <c r="A95" s="269" t="s">
        <v>192</v>
      </c>
      <c r="B95" s="122" t="str">
        <f t="shared" si="19"/>
        <v>Sriracha Sauce - صوص سريراتشا</v>
      </c>
      <c r="C95" s="122" t="str">
        <f t="shared" si="19"/>
        <v>ml</v>
      </c>
      <c r="D95" s="122">
        <f t="shared" si="19"/>
        <v>3</v>
      </c>
      <c r="E95" s="222">
        <f t="shared" si="23"/>
        <v>0</v>
      </c>
      <c r="F95" s="126">
        <f t="shared" si="20"/>
        <v>0.75</v>
      </c>
      <c r="G95" s="118">
        <f t="shared" si="21"/>
        <v>0</v>
      </c>
      <c r="H95" s="119">
        <f t="shared" si="22"/>
        <v>0</v>
      </c>
      <c r="AM95" s="790"/>
    </row>
    <row r="96" spans="1:43" ht="14.25" customHeight="1" x14ac:dyDescent="0.3">
      <c r="A96" s="269" t="s">
        <v>192</v>
      </c>
      <c r="B96" s="122" t="str">
        <f t="shared" si="19"/>
        <v>Maggi Cubes - مكعبات ماجي</v>
      </c>
      <c r="C96" s="122" t="str">
        <f t="shared" si="19"/>
        <v>gm</v>
      </c>
      <c r="D96" s="122">
        <f t="shared" si="19"/>
        <v>20</v>
      </c>
      <c r="E96" s="222">
        <f t="shared" si="23"/>
        <v>0</v>
      </c>
      <c r="F96" s="126">
        <f t="shared" si="20"/>
        <v>0.75</v>
      </c>
      <c r="G96" s="118">
        <f t="shared" si="21"/>
        <v>0</v>
      </c>
      <c r="H96" s="119">
        <f t="shared" si="22"/>
        <v>0</v>
      </c>
      <c r="AM96" s="790"/>
    </row>
    <row r="97" spans="1:39" ht="20.25" customHeight="1" x14ac:dyDescent="0.3">
      <c r="A97" s="210"/>
      <c r="B97" s="197" t="s">
        <v>291</v>
      </c>
      <c r="C97" s="199" t="s">
        <v>277</v>
      </c>
      <c r="D97" s="14"/>
      <c r="E97" s="199" t="s">
        <v>292</v>
      </c>
      <c r="F97" s="14"/>
      <c r="G97" s="878" t="s">
        <v>268</v>
      </c>
      <c r="H97" s="878" t="s">
        <v>703</v>
      </c>
      <c r="AM97" s="790"/>
    </row>
    <row r="98" spans="1:39" ht="30" customHeight="1" x14ac:dyDescent="0.4">
      <c r="A98" s="210"/>
      <c r="B98" s="198">
        <f>$J$54</f>
        <v>0</v>
      </c>
      <c r="C98" s="198">
        <f>E98+G98</f>
        <v>0</v>
      </c>
      <c r="D98" s="915"/>
      <c r="E98" s="198">
        <f>$D$54*$S$44</f>
        <v>0</v>
      </c>
      <c r="F98" s="919"/>
      <c r="G98" s="198">
        <f>$D$54*$T$44</f>
        <v>0</v>
      </c>
      <c r="H98" s="198">
        <f>B98+E98</f>
        <v>0</v>
      </c>
      <c r="AM98" s="790"/>
    </row>
    <row r="99" spans="1:39" x14ac:dyDescent="0.3">
      <c r="AM99" s="790"/>
    </row>
  </sheetData>
  <mergeCells count="11">
    <mergeCell ref="AK3:AL3"/>
    <mergeCell ref="AK2:AM2"/>
    <mergeCell ref="AE2:AG3"/>
    <mergeCell ref="B82:H82"/>
    <mergeCell ref="B62:H62"/>
    <mergeCell ref="F2:F3"/>
    <mergeCell ref="B81:H81"/>
    <mergeCell ref="B63:H63"/>
    <mergeCell ref="R25:V25"/>
    <mergeCell ref="R26:V26"/>
    <mergeCell ref="B35:F35"/>
  </mergeCells>
  <printOptions horizontalCentered="1"/>
  <pageMargins left="0.5" right="0.5" top="1" bottom="0.5" header="0.3" footer="0.511811023622047"/>
  <pageSetup paperSize="9" scale="28" orientation="portrait" r:id="rId1"/>
  <legacyDrawing r:id="rId2"/>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rgb="FF7C7C7C"/>
    <pageSetUpPr fitToPage="1"/>
  </sheetPr>
  <dimension ref="A1:AG107"/>
  <sheetViews>
    <sheetView topLeftCell="A18" zoomScaleNormal="100" workbookViewId="0">
      <selection activeCell="B18" sqref="B18"/>
    </sheetView>
  </sheetViews>
  <sheetFormatPr defaultColWidth="12.5" defaultRowHeight="14" x14ac:dyDescent="0.3"/>
  <cols>
    <col min="1" max="1" width="12.5" style="78" customWidth="1"/>
    <col min="2" max="2" width="38.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5.4140625" style="14" customWidth="1"/>
    <col min="15" max="17" width="12.5" style="14" customWidth="1"/>
    <col min="18" max="18" width="32.83203125" style="14" customWidth="1"/>
    <col min="19" max="19" width="12.5" style="14" customWidth="1"/>
    <col min="20" max="27" width="12.5" style="14"/>
    <col min="28" max="28" width="11.58203125" style="14" bestFit="1" customWidth="1"/>
    <col min="29" max="16384" width="12.5" style="14"/>
  </cols>
  <sheetData>
    <row r="1" spans="1:33" ht="34.5" customHeight="1" x14ac:dyDescent="0.3">
      <c r="B1" s="79" t="s">
        <v>235</v>
      </c>
      <c r="C1" s="80">
        <v>1000</v>
      </c>
      <c r="D1" s="81" t="s">
        <v>236</v>
      </c>
      <c r="E1" s="116">
        <f>T32</f>
        <v>7285.3846153846225</v>
      </c>
      <c r="F1" s="79" t="s">
        <v>237</v>
      </c>
      <c r="G1" s="248">
        <f>E1/C1</f>
        <v>7.2853846153846229</v>
      </c>
      <c r="H1" s="79" t="s">
        <v>238</v>
      </c>
      <c r="I1" s="282">
        <f>G1/K1</f>
        <v>7.2853846153846229</v>
      </c>
      <c r="J1" s="85" t="s">
        <v>239</v>
      </c>
      <c r="K1" s="99">
        <f>9.5/9.5</f>
        <v>1</v>
      </c>
      <c r="L1" s="326"/>
      <c r="M1" s="88"/>
      <c r="N1" s="89"/>
      <c r="O1" s="90" t="s">
        <v>240</v>
      </c>
      <c r="P1" s="91" t="s">
        <v>293</v>
      </c>
      <c r="Q1" s="92" t="s">
        <v>242</v>
      </c>
      <c r="R1" s="91">
        <v>0.51</v>
      </c>
      <c r="Y1" s="90" t="s">
        <v>463</v>
      </c>
      <c r="Z1" s="835">
        <v>31570</v>
      </c>
      <c r="AA1" s="90" t="s">
        <v>578</v>
      </c>
      <c r="AB1" s="835">
        <v>0</v>
      </c>
      <c r="AC1" s="90" t="s">
        <v>567</v>
      </c>
      <c r="AD1" s="835">
        <v>215</v>
      </c>
      <c r="AE1" s="249"/>
      <c r="AF1" s="251"/>
      <c r="AG1" s="91"/>
    </row>
    <row r="2" spans="1:33" ht="12.75" customHeight="1" x14ac:dyDescent="0.3">
      <c r="A2" s="96"/>
      <c r="B2" s="1450" t="s">
        <v>413</v>
      </c>
      <c r="C2" s="1460"/>
      <c r="D2" s="1460"/>
      <c r="E2" s="1460"/>
      <c r="F2" s="1460"/>
      <c r="G2" s="1460"/>
      <c r="H2" s="1460"/>
      <c r="I2" s="1460"/>
      <c r="J2" s="1460"/>
      <c r="K2" s="1460"/>
      <c r="L2" s="292"/>
      <c r="M2" s="99"/>
      <c r="N2" s="99"/>
      <c r="O2" s="99"/>
      <c r="P2" s="99"/>
      <c r="Q2" s="99"/>
      <c r="R2" s="99"/>
      <c r="AE2" s="1457"/>
      <c r="AF2" s="1460"/>
      <c r="AG2" s="1460"/>
    </row>
    <row r="3" spans="1:33" ht="12.75" customHeight="1" x14ac:dyDescent="0.3">
      <c r="A3" s="96"/>
      <c r="B3" s="1444"/>
      <c r="C3" s="1444"/>
      <c r="D3" s="1444"/>
      <c r="E3" s="1444"/>
      <c r="F3" s="1444"/>
      <c r="G3" s="1444"/>
      <c r="H3" s="1444"/>
      <c r="I3" s="1444"/>
      <c r="J3" s="1444"/>
      <c r="K3" s="1444"/>
      <c r="L3" s="292"/>
      <c r="M3" s="99"/>
      <c r="N3" s="99"/>
      <c r="O3" s="99"/>
      <c r="P3" s="99"/>
      <c r="Q3" s="99"/>
      <c r="R3" s="99"/>
      <c r="AE3" s="1460"/>
      <c r="AF3" s="1460"/>
      <c r="AG3" s="1460"/>
    </row>
    <row r="4" spans="1:33" ht="35.25" customHeight="1" x14ac:dyDescent="0.25">
      <c r="A4" s="90" t="s">
        <v>1</v>
      </c>
      <c r="B4" s="90" t="s">
        <v>245</v>
      </c>
      <c r="C4" s="106" t="s">
        <v>246</v>
      </c>
      <c r="D4" s="90" t="s">
        <v>235</v>
      </c>
      <c r="E4" s="217" t="s">
        <v>238</v>
      </c>
      <c r="F4" s="107" t="s">
        <v>247</v>
      </c>
      <c r="G4" s="90" t="s">
        <v>248</v>
      </c>
      <c r="H4" s="106" t="s">
        <v>339</v>
      </c>
      <c r="I4" s="90" t="s">
        <v>250</v>
      </c>
      <c r="J4" s="90" t="s">
        <v>251</v>
      </c>
      <c r="K4" s="90" t="s">
        <v>252</v>
      </c>
      <c r="L4" s="90" t="s">
        <v>253</v>
      </c>
      <c r="M4" s="99"/>
      <c r="N4" s="99"/>
      <c r="O4" s="99"/>
      <c r="P4" s="99"/>
      <c r="AA4" s="250"/>
      <c r="AB4" s="252"/>
      <c r="AE4" s="250"/>
    </row>
    <row r="5" spans="1:33" ht="14.25" customHeight="1" x14ac:dyDescent="0.25">
      <c r="A5" s="265" t="s">
        <v>225</v>
      </c>
      <c r="B5" s="219" t="s">
        <v>227</v>
      </c>
      <c r="C5" s="114" t="s">
        <v>14</v>
      </c>
      <c r="D5" s="120">
        <f>I51/10</f>
        <v>6536.0784313725489</v>
      </c>
      <c r="E5" s="116">
        <f>H52</f>
        <v>7.2852389106064015</v>
      </c>
      <c r="F5" s="126">
        <v>1</v>
      </c>
      <c r="G5" s="118">
        <f t="shared" ref="G5:G20" si="0">D5*E5</f>
        <v>47616.892911010546</v>
      </c>
      <c r="H5" s="119">
        <f t="shared" ref="H5:H20" si="1">G5*F5</f>
        <v>47616.892911010546</v>
      </c>
      <c r="I5" s="80">
        <f>VLOOKUP(B5,All_Ingredients!$A$1:$F$149,6,FALSE())</f>
        <v>0.55000000000000004</v>
      </c>
      <c r="J5" s="118">
        <f>VLOOKUP(B5,All_Ingredients!$A$1:$J$149,10,FALSE())</f>
        <v>14.361111111111111</v>
      </c>
      <c r="K5" s="121">
        <f t="shared" ref="K5" si="2">(H5/I5)/1000</f>
        <v>86.576168929110082</v>
      </c>
      <c r="L5" s="121">
        <f t="shared" ref="L5" si="3">K5*J5</f>
        <v>1243.3299815652754</v>
      </c>
      <c r="M5" s="99"/>
      <c r="N5" s="99"/>
      <c r="O5" s="99"/>
      <c r="P5" s="99"/>
      <c r="AA5" s="91"/>
      <c r="AB5" s="132"/>
      <c r="AE5" s="135"/>
    </row>
    <row r="6" spans="1:33" ht="14.25" customHeight="1" x14ac:dyDescent="0.3">
      <c r="A6" s="127" t="s">
        <v>13</v>
      </c>
      <c r="B6" s="22" t="s">
        <v>12</v>
      </c>
      <c r="C6" s="123" t="s">
        <v>14</v>
      </c>
      <c r="D6" s="124">
        <v>200</v>
      </c>
      <c r="E6" s="196">
        <f t="shared" ref="E6:E20" si="4">$I$1</f>
        <v>7.2853846153846229</v>
      </c>
      <c r="F6" s="126">
        <v>0.95</v>
      </c>
      <c r="G6" s="118">
        <f t="shared" si="0"/>
        <v>1457.0769230769247</v>
      </c>
      <c r="H6" s="119">
        <f t="shared" si="1"/>
        <v>1384.2230769230785</v>
      </c>
      <c r="I6" s="80">
        <f>VLOOKUP(B6,All_Ingredients!$A$1:$F$149,6,FALSE())</f>
        <v>0.9</v>
      </c>
      <c r="J6" s="118">
        <f>VLOOKUP(B6,All_Ingredients!$A$1:$J$149,10,FALSE())</f>
        <v>3</v>
      </c>
      <c r="K6" s="121">
        <f t="shared" ref="K6:K20" si="5">(H6/I6)/1000</f>
        <v>1.5380256410256428</v>
      </c>
      <c r="L6" s="121">
        <f t="shared" ref="L6:L20" si="6">K6*J6</f>
        <v>4.6140769230769285</v>
      </c>
    </row>
    <row r="7" spans="1:33" ht="14.25" customHeight="1" x14ac:dyDescent="0.3">
      <c r="A7" s="127" t="s">
        <v>13</v>
      </c>
      <c r="B7" s="22" t="s">
        <v>762</v>
      </c>
      <c r="C7" s="123" t="s">
        <v>14</v>
      </c>
      <c r="D7" s="124">
        <v>30</v>
      </c>
      <c r="E7" s="196">
        <f t="shared" si="4"/>
        <v>7.2853846153846229</v>
      </c>
      <c r="F7" s="126">
        <v>0.95</v>
      </c>
      <c r="G7" s="118">
        <f t="shared" si="0"/>
        <v>218.56153846153867</v>
      </c>
      <c r="H7" s="119">
        <f t="shared" si="1"/>
        <v>207.63346153846175</v>
      </c>
      <c r="I7" s="80">
        <f>VLOOKUP(B7,All_Ingredients!$A$1:$F$149,6,FALSE())</f>
        <v>1</v>
      </c>
      <c r="J7" s="118">
        <f>VLOOKUP(B7,All_Ingredients!$A$1:$J$149,10,FALSE())</f>
        <v>10.5</v>
      </c>
      <c r="K7" s="121">
        <f t="shared" si="5"/>
        <v>0.20763346153846174</v>
      </c>
      <c r="L7" s="121">
        <f t="shared" si="6"/>
        <v>2.1801513461538482</v>
      </c>
    </row>
    <row r="8" spans="1:33" ht="14.25" customHeight="1" x14ac:dyDescent="0.3">
      <c r="A8" s="127" t="s">
        <v>192</v>
      </c>
      <c r="B8" s="22" t="s">
        <v>204</v>
      </c>
      <c r="C8" s="123" t="s">
        <v>14</v>
      </c>
      <c r="D8" s="124">
        <v>20</v>
      </c>
      <c r="E8" s="196">
        <f t="shared" si="4"/>
        <v>7.2853846153846229</v>
      </c>
      <c r="F8" s="126">
        <v>1</v>
      </c>
      <c r="G8" s="118">
        <f t="shared" si="0"/>
        <v>145.70769230769247</v>
      </c>
      <c r="H8" s="119">
        <f t="shared" si="1"/>
        <v>145.70769230769247</v>
      </c>
      <c r="I8" s="80">
        <f>VLOOKUP(B8,All_Ingredients!$A$1:$F$149,6,FALSE())</f>
        <v>1</v>
      </c>
      <c r="J8" s="118">
        <f>VLOOKUP(B8,All_Ingredients!$A$1:$J$149,10,FALSE())</f>
        <v>11.243386243386244</v>
      </c>
      <c r="K8" s="121">
        <f t="shared" si="5"/>
        <v>0.14570769230769248</v>
      </c>
      <c r="L8" s="121">
        <f t="shared" si="6"/>
        <v>1.6382478632478652</v>
      </c>
    </row>
    <row r="9" spans="1:33" ht="14.25" customHeight="1" x14ac:dyDescent="0.3">
      <c r="A9" s="127" t="s">
        <v>192</v>
      </c>
      <c r="B9" s="22" t="s">
        <v>731</v>
      </c>
      <c r="C9" s="123" t="s">
        <v>14</v>
      </c>
      <c r="D9" s="124">
        <v>100</v>
      </c>
      <c r="E9" s="196">
        <f t="shared" si="4"/>
        <v>7.2853846153846229</v>
      </c>
      <c r="F9" s="126">
        <v>1</v>
      </c>
      <c r="G9" s="118">
        <f t="shared" si="0"/>
        <v>728.53846153846234</v>
      </c>
      <c r="H9" s="119">
        <f t="shared" si="1"/>
        <v>728.53846153846234</v>
      </c>
      <c r="I9" s="80">
        <f>VLOOKUP(B9,All_Ingredients!$A$1:$F$149,6,FALSE())</f>
        <v>1</v>
      </c>
      <c r="J9" s="118">
        <f>VLOOKUP(B9,All_Ingredients!$A$1:$J$149,10,FALSE())</f>
        <v>8.1520833333333336</v>
      </c>
      <c r="K9" s="121">
        <f t="shared" si="5"/>
        <v>0.72853846153846236</v>
      </c>
      <c r="L9" s="121">
        <f t="shared" si="6"/>
        <v>5.9391062500000071</v>
      </c>
    </row>
    <row r="10" spans="1:33" ht="14.25" customHeight="1" x14ac:dyDescent="0.3">
      <c r="A10" s="127" t="s">
        <v>215</v>
      </c>
      <c r="B10" s="22" t="s">
        <v>877</v>
      </c>
      <c r="C10" s="123" t="s">
        <v>14</v>
      </c>
      <c r="D10" s="124">
        <v>3</v>
      </c>
      <c r="E10" s="196">
        <f t="shared" si="4"/>
        <v>7.2853846153846229</v>
      </c>
      <c r="F10" s="126">
        <v>0.75</v>
      </c>
      <c r="G10" s="118">
        <f t="shared" si="0"/>
        <v>21.85615384615387</v>
      </c>
      <c r="H10" s="119">
        <f t="shared" si="1"/>
        <v>16.392115384615401</v>
      </c>
      <c r="I10" s="80">
        <f>VLOOKUP(B10,All_Ingredients!$A$1:$F$149,6,FALSE())</f>
        <v>1</v>
      </c>
      <c r="J10" s="118">
        <f>VLOOKUP(B10,All_Ingredients!$A$1:$J$149,10,FALSE())</f>
        <v>22.5</v>
      </c>
      <c r="K10" s="121">
        <f t="shared" si="5"/>
        <v>1.6392115384615401E-2</v>
      </c>
      <c r="L10" s="121">
        <f t="shared" si="6"/>
        <v>0.36882259615384649</v>
      </c>
    </row>
    <row r="11" spans="1:33" ht="14.25" customHeight="1" x14ac:dyDescent="0.3">
      <c r="A11" s="127" t="s">
        <v>206</v>
      </c>
      <c r="B11" s="22" t="s">
        <v>205</v>
      </c>
      <c r="C11" s="123" t="s">
        <v>161</v>
      </c>
      <c r="D11" s="1368">
        <v>10</v>
      </c>
      <c r="E11" s="196">
        <f t="shared" si="4"/>
        <v>7.2853846153846229</v>
      </c>
      <c r="F11" s="126">
        <v>1</v>
      </c>
      <c r="G11" s="118">
        <f t="shared" si="0"/>
        <v>72.853846153846234</v>
      </c>
      <c r="H11" s="119">
        <f t="shared" si="1"/>
        <v>72.853846153846234</v>
      </c>
      <c r="I11" s="80">
        <f>VLOOKUP(B11,All_Ingredients!$A$1:$F$149,6,FALSE())</f>
        <v>1</v>
      </c>
      <c r="J11" s="118">
        <f>VLOOKUP(B11,All_Ingredients!$A$1:$J$149,10,FALSE())</f>
        <v>0</v>
      </c>
      <c r="K11" s="121">
        <f t="shared" si="5"/>
        <v>7.2853846153846241E-2</v>
      </c>
      <c r="L11" s="121">
        <f t="shared" si="6"/>
        <v>0</v>
      </c>
    </row>
    <row r="12" spans="1:33" ht="14.25" customHeight="1" x14ac:dyDescent="0.3">
      <c r="A12" s="127" t="s">
        <v>95</v>
      </c>
      <c r="B12" s="22" t="s">
        <v>100</v>
      </c>
      <c r="C12" s="123" t="s">
        <v>14</v>
      </c>
      <c r="D12" s="124">
        <v>2</v>
      </c>
      <c r="E12" s="196">
        <f t="shared" si="4"/>
        <v>7.2853846153846229</v>
      </c>
      <c r="F12" s="126">
        <v>1</v>
      </c>
      <c r="G12" s="118">
        <f t="shared" si="0"/>
        <v>14.570769230769246</v>
      </c>
      <c r="H12" s="119">
        <f t="shared" si="1"/>
        <v>14.570769230769246</v>
      </c>
      <c r="I12" s="80">
        <f>VLOOKUP(B12,All_Ingredients!$A$1:$F$149,6,FALSE())</f>
        <v>1</v>
      </c>
      <c r="J12" s="118">
        <f>VLOOKUP(B12,All_Ingredients!$A$1:$J$149,10,FALSE())</f>
        <v>31</v>
      </c>
      <c r="K12" s="121">
        <f t="shared" si="5"/>
        <v>1.4570769230769247E-2</v>
      </c>
      <c r="L12" s="121">
        <f t="shared" si="6"/>
        <v>0.45169384615384667</v>
      </c>
    </row>
    <row r="13" spans="1:33" ht="14.25" customHeight="1" x14ac:dyDescent="0.3">
      <c r="A13" s="127" t="s">
        <v>192</v>
      </c>
      <c r="B13" s="22" t="s">
        <v>202</v>
      </c>
      <c r="C13" s="123" t="s">
        <v>14</v>
      </c>
      <c r="D13" s="124">
        <v>25</v>
      </c>
      <c r="E13" s="196">
        <f t="shared" si="4"/>
        <v>7.2853846153846229</v>
      </c>
      <c r="F13" s="126">
        <v>0.75</v>
      </c>
      <c r="G13" s="118">
        <f t="shared" si="0"/>
        <v>182.13461538461559</v>
      </c>
      <c r="H13" s="119">
        <f t="shared" si="1"/>
        <v>136.60096153846169</v>
      </c>
      <c r="I13" s="80">
        <f>VLOOKUP(B13,All_Ingredients!$A$1:$F$149,6,FALSE())</f>
        <v>1</v>
      </c>
      <c r="J13" s="118">
        <f>VLOOKUP(B13,All_Ingredients!$A$1:$J$149,10,FALSE())</f>
        <v>63.333333333333336</v>
      </c>
      <c r="K13" s="121">
        <f t="shared" si="5"/>
        <v>0.13660096153846168</v>
      </c>
      <c r="L13" s="121">
        <f t="shared" si="6"/>
        <v>8.65139423076924</v>
      </c>
    </row>
    <row r="14" spans="1:33" ht="14.25" customHeight="1" x14ac:dyDescent="0.3">
      <c r="A14" s="127" t="s">
        <v>154</v>
      </c>
      <c r="B14" s="22" t="s">
        <v>167</v>
      </c>
      <c r="C14" s="123" t="s">
        <v>161</v>
      </c>
      <c r="D14" s="124">
        <v>500</v>
      </c>
      <c r="E14" s="196">
        <f t="shared" si="4"/>
        <v>7.2853846153846229</v>
      </c>
      <c r="F14" s="126">
        <v>1</v>
      </c>
      <c r="G14" s="118">
        <f t="shared" si="0"/>
        <v>3642.6923076923113</v>
      </c>
      <c r="H14" s="119">
        <f t="shared" si="1"/>
        <v>3642.6923076923113</v>
      </c>
      <c r="I14" s="80">
        <f>VLOOKUP(B14,All_Ingredients!$A$1:$F$149,6,FALSE())</f>
        <v>1</v>
      </c>
      <c r="J14" s="118">
        <f>VLOOKUP(B14,All_Ingredients!$A$1:$J$149,10,FALSE())</f>
        <v>12.666666666666666</v>
      </c>
      <c r="K14" s="121">
        <f t="shared" si="5"/>
        <v>3.6426923076923114</v>
      </c>
      <c r="L14" s="121">
        <f t="shared" si="6"/>
        <v>46.140769230769273</v>
      </c>
    </row>
    <row r="15" spans="1:33" ht="14.25" customHeight="1" x14ac:dyDescent="0.3">
      <c r="A15" s="127" t="s">
        <v>95</v>
      </c>
      <c r="B15" s="22" t="s">
        <v>140</v>
      </c>
      <c r="C15" s="123" t="s">
        <v>14</v>
      </c>
      <c r="D15" s="124">
        <v>8</v>
      </c>
      <c r="E15" s="196">
        <f t="shared" si="4"/>
        <v>7.2853846153846229</v>
      </c>
      <c r="F15" s="126">
        <v>1</v>
      </c>
      <c r="G15" s="118">
        <f t="shared" si="0"/>
        <v>58.283076923076983</v>
      </c>
      <c r="H15" s="119">
        <f t="shared" si="1"/>
        <v>58.283076923076983</v>
      </c>
      <c r="I15" s="80">
        <f>VLOOKUP(B15,All_Ingredients!$A$1:$F$149,6,FALSE())</f>
        <v>1</v>
      </c>
      <c r="J15" s="118">
        <f>VLOOKUP(B15,All_Ingredients!$A$1:$J$149,10,FALSE())</f>
        <v>15.277777777777779</v>
      </c>
      <c r="K15" s="121">
        <f t="shared" si="5"/>
        <v>5.8283076923076986E-2</v>
      </c>
      <c r="L15" s="121">
        <f t="shared" si="6"/>
        <v>0.89043589743589846</v>
      </c>
    </row>
    <row r="16" spans="1:33" ht="14.25" customHeight="1" x14ac:dyDescent="0.3">
      <c r="A16" s="127" t="s">
        <v>95</v>
      </c>
      <c r="B16" s="22" t="s">
        <v>94</v>
      </c>
      <c r="C16" s="123" t="s">
        <v>14</v>
      </c>
      <c r="D16" s="124">
        <v>5</v>
      </c>
      <c r="E16" s="196">
        <f t="shared" si="4"/>
        <v>7.2853846153846229</v>
      </c>
      <c r="F16" s="126">
        <v>1</v>
      </c>
      <c r="G16" s="118">
        <f t="shared" si="0"/>
        <v>36.426923076923117</v>
      </c>
      <c r="H16" s="119">
        <f t="shared" si="1"/>
        <v>36.426923076923117</v>
      </c>
      <c r="I16" s="80">
        <f>VLOOKUP(B16,All_Ingredients!$A$1:$F$149,6,FALSE())</f>
        <v>1</v>
      </c>
      <c r="J16" s="118">
        <f>VLOOKUP(B16,All_Ingredients!$A$1:$J$149,10,FALSE())</f>
        <v>0.74</v>
      </c>
      <c r="K16" s="121">
        <f t="shared" si="5"/>
        <v>3.6426923076923121E-2</v>
      </c>
      <c r="L16" s="121">
        <f t="shared" si="6"/>
        <v>2.695592307692311E-2</v>
      </c>
    </row>
    <row r="17" spans="1:30" ht="14.25" customHeight="1" x14ac:dyDescent="0.3">
      <c r="A17" s="127" t="s">
        <v>188</v>
      </c>
      <c r="B17" s="22" t="s">
        <v>189</v>
      </c>
      <c r="C17" s="123" t="s">
        <v>14</v>
      </c>
      <c r="D17" s="124">
        <v>20</v>
      </c>
      <c r="E17" s="196">
        <f t="shared" si="4"/>
        <v>7.2853846153846229</v>
      </c>
      <c r="F17" s="126">
        <v>0.75</v>
      </c>
      <c r="G17" s="118">
        <f t="shared" si="0"/>
        <v>145.70769230769247</v>
      </c>
      <c r="H17" s="119">
        <f t="shared" si="1"/>
        <v>109.28076923076935</v>
      </c>
      <c r="I17" s="80">
        <f>VLOOKUP(B17,All_Ingredients!$A$1:$F$149,6,FALSE())</f>
        <v>0.9</v>
      </c>
      <c r="J17" s="118">
        <f>VLOOKUP(B17,All_Ingredients!$A$1:$J$149,10,FALSE())</f>
        <v>2.3199999999999998</v>
      </c>
      <c r="K17" s="121">
        <f t="shared" si="5"/>
        <v>0.12142307692307705</v>
      </c>
      <c r="L17" s="121">
        <f t="shared" si="6"/>
        <v>0.28170153846153873</v>
      </c>
    </row>
    <row r="18" spans="1:30" ht="14.25" customHeight="1" x14ac:dyDescent="0.3">
      <c r="A18" s="127" t="s">
        <v>13</v>
      </c>
      <c r="B18" s="22" t="s">
        <v>789</v>
      </c>
      <c r="C18" s="123" t="s">
        <v>14</v>
      </c>
      <c r="D18" s="124">
        <v>100</v>
      </c>
      <c r="E18" s="196">
        <f t="shared" si="4"/>
        <v>7.2853846153846229</v>
      </c>
      <c r="F18" s="126">
        <v>1</v>
      </c>
      <c r="G18" s="118">
        <f t="shared" si="0"/>
        <v>728.53846153846234</v>
      </c>
      <c r="H18" s="119">
        <f t="shared" si="1"/>
        <v>728.53846153846234</v>
      </c>
      <c r="I18" s="80">
        <f>VLOOKUP(B18,All_Ingredients!$A$1:$F$149,6,FALSE())</f>
        <v>1</v>
      </c>
      <c r="J18" s="118">
        <f>VLOOKUP(B18,All_Ingredients!$A$1:$J$149,10,FALSE())</f>
        <v>22</v>
      </c>
      <c r="K18" s="121">
        <f t="shared" si="5"/>
        <v>0.72853846153846236</v>
      </c>
      <c r="L18" s="121">
        <f t="shared" si="6"/>
        <v>16.027846153846173</v>
      </c>
    </row>
    <row r="19" spans="1:30" ht="14.25" customHeight="1" x14ac:dyDescent="0.3">
      <c r="A19" s="127" t="s">
        <v>154</v>
      </c>
      <c r="B19" s="221" t="s">
        <v>153</v>
      </c>
      <c r="C19" s="123" t="s">
        <v>14</v>
      </c>
      <c r="D19" s="124">
        <v>20</v>
      </c>
      <c r="E19" s="196">
        <f t="shared" si="4"/>
        <v>7.2853846153846229</v>
      </c>
      <c r="F19" s="126">
        <v>1</v>
      </c>
      <c r="G19" s="118">
        <f t="shared" si="0"/>
        <v>145.70769230769247</v>
      </c>
      <c r="H19" s="119">
        <f t="shared" si="1"/>
        <v>145.70769230769247</v>
      </c>
      <c r="I19" s="80">
        <f>VLOOKUP(B19,All_Ingredients!$A$1:$F$149,6,FALSE())</f>
        <v>1</v>
      </c>
      <c r="J19" s="118">
        <f>VLOOKUP(B19,All_Ingredients!$A$1:$J$149,10,FALSE())</f>
        <v>30</v>
      </c>
      <c r="K19" s="121">
        <f t="shared" si="5"/>
        <v>0.14570769230769248</v>
      </c>
      <c r="L19" s="121">
        <f t="shared" si="6"/>
        <v>4.3712307692307748</v>
      </c>
    </row>
    <row r="20" spans="1:30" ht="14.25" customHeight="1" x14ac:dyDescent="0.3">
      <c r="A20" s="127" t="s">
        <v>192</v>
      </c>
      <c r="B20" s="221" t="s">
        <v>194</v>
      </c>
      <c r="C20" s="123" t="s">
        <v>161</v>
      </c>
      <c r="D20" s="124">
        <v>15</v>
      </c>
      <c r="E20" s="196">
        <f t="shared" si="4"/>
        <v>7.2853846153846229</v>
      </c>
      <c r="F20" s="126">
        <v>0.9</v>
      </c>
      <c r="G20" s="118">
        <f t="shared" si="0"/>
        <v>109.28076923076934</v>
      </c>
      <c r="H20" s="119">
        <f t="shared" si="1"/>
        <v>98.352692307692408</v>
      </c>
      <c r="I20" s="80">
        <f>VLOOKUP(B20,All_Ingredients!$A$1:$F$149,6,FALSE())</f>
        <v>1</v>
      </c>
      <c r="J20" s="118">
        <f>VLOOKUP(B20,All_Ingredients!$A$1:$J$149,10,FALSE())</f>
        <v>58.685446009389672</v>
      </c>
      <c r="K20" s="121">
        <f t="shared" si="5"/>
        <v>9.8352692307692405E-2</v>
      </c>
      <c r="L20" s="121">
        <f t="shared" si="6"/>
        <v>5.7718716143011974</v>
      </c>
    </row>
    <row r="21" spans="1:30" ht="14.25" customHeight="1" x14ac:dyDescent="0.3">
      <c r="B21" s="99"/>
      <c r="C21" s="170"/>
      <c r="D21" s="170"/>
      <c r="E21" s="99"/>
      <c r="F21" s="99"/>
      <c r="G21" s="170"/>
      <c r="L21" s="296"/>
    </row>
    <row r="22" spans="1:30" ht="14.25" customHeight="1" x14ac:dyDescent="0.3">
      <c r="L22" s="296"/>
    </row>
    <row r="23" spans="1:30" ht="14.25" customHeight="1" x14ac:dyDescent="0.3">
      <c r="L23" s="296"/>
    </row>
    <row r="24" spans="1:30" ht="14.25" customHeight="1" x14ac:dyDescent="0.3">
      <c r="L24" s="296"/>
      <c r="Z24" s="1208"/>
    </row>
    <row r="25" spans="1:30" ht="14.25" customHeight="1" x14ac:dyDescent="0.3">
      <c r="L25" s="296"/>
      <c r="R25" s="1467" t="s">
        <v>414</v>
      </c>
      <c r="S25" s="1516"/>
      <c r="T25" s="1516"/>
      <c r="U25" s="1516"/>
      <c r="V25" s="1187"/>
      <c r="Z25" s="140" t="s">
        <v>256</v>
      </c>
      <c r="AA25" s="141">
        <v>1</v>
      </c>
      <c r="AB25" s="140" t="s">
        <v>253</v>
      </c>
      <c r="AC25" s="142">
        <f>AD30*AA25</f>
        <v>4.250003829030332E-2</v>
      </c>
    </row>
    <row r="26" spans="1:30" ht="14.25" customHeight="1" x14ac:dyDescent="0.3">
      <c r="L26" s="296"/>
      <c r="R26" s="1477" t="s">
        <v>415</v>
      </c>
      <c r="S26" s="1521"/>
      <c r="T26" s="1521"/>
      <c r="U26" s="1521"/>
      <c r="V26" s="1187"/>
    </row>
    <row r="27" spans="1:30" ht="14.25" customHeight="1" thickBot="1" x14ac:dyDescent="0.35">
      <c r="R27" s="144" t="s">
        <v>258</v>
      </c>
      <c r="S27" s="145" t="s">
        <v>302</v>
      </c>
      <c r="T27" s="145" t="s">
        <v>260</v>
      </c>
      <c r="U27" s="145" t="s">
        <v>261</v>
      </c>
      <c r="V27" s="145" t="s">
        <v>817</v>
      </c>
      <c r="Z27" s="140" t="s">
        <v>262</v>
      </c>
      <c r="AA27" s="146" t="s">
        <v>263</v>
      </c>
      <c r="AB27" s="146" t="s">
        <v>264</v>
      </c>
      <c r="AC27" s="1167" t="s">
        <v>817</v>
      </c>
      <c r="AD27" s="146" t="s">
        <v>266</v>
      </c>
    </row>
    <row r="28" spans="1:30" ht="14.25" customHeight="1" thickBot="1" x14ac:dyDescent="0.35">
      <c r="B28" s="99"/>
      <c r="E28" s="99"/>
      <c r="F28" s="99"/>
      <c r="R28" s="147" t="s">
        <v>267</v>
      </c>
      <c r="S28" s="754">
        <f>U28*S40</f>
        <v>24284.615384615379</v>
      </c>
      <c r="T28" s="754">
        <f>U28*U40</f>
        <v>7285.3846153846225</v>
      </c>
      <c r="U28" s="760">
        <f>$Z$1</f>
        <v>31570</v>
      </c>
      <c r="V28" s="148">
        <f>H37</f>
        <v>15.05</v>
      </c>
      <c r="Z28" s="150"/>
      <c r="AA28" s="151">
        <f>AA25*$S$40</f>
        <v>0.76923076923076905</v>
      </c>
      <c r="AB28" s="151">
        <f>AA25*$U$40</f>
        <v>0.230769230769231</v>
      </c>
      <c r="AC28" s="1169"/>
      <c r="AD28" s="153">
        <f>SUM(AA28:AB28)</f>
        <v>1</v>
      </c>
    </row>
    <row r="29" spans="1:30" ht="28.5" customHeight="1" thickBot="1" x14ac:dyDescent="0.35">
      <c r="B29" s="863"/>
      <c r="C29" s="1522"/>
      <c r="D29" s="1522"/>
      <c r="E29" s="1522"/>
      <c r="F29" s="1522"/>
      <c r="G29" s="1522"/>
      <c r="H29" s="864"/>
      <c r="R29" s="147" t="s">
        <v>268</v>
      </c>
      <c r="S29" s="756"/>
      <c r="T29" s="754"/>
      <c r="U29" s="148">
        <f>T29</f>
        <v>0</v>
      </c>
      <c r="V29" s="148"/>
      <c r="Z29" s="150"/>
      <c r="AA29" s="155">
        <f>AA28/$AD$28</f>
        <v>0.76923076923076905</v>
      </c>
      <c r="AB29" s="155">
        <f>AB28/$AD$28</f>
        <v>0.230769230769231</v>
      </c>
      <c r="AC29" s="1173"/>
      <c r="AD29" s="155">
        <f>AD28/$AD$28</f>
        <v>1</v>
      </c>
    </row>
    <row r="30" spans="1:30" ht="21.75" customHeight="1" thickBot="1" x14ac:dyDescent="0.35">
      <c r="B30" s="865"/>
      <c r="C30" s="866"/>
      <c r="D30" s="867"/>
      <c r="E30" s="865"/>
      <c r="F30" s="865"/>
      <c r="G30" s="867"/>
      <c r="H30" s="868"/>
      <c r="R30" s="147" t="s">
        <v>269</v>
      </c>
      <c r="S30" s="1318">
        <f>U30*S40</f>
        <v>0</v>
      </c>
      <c r="T30" s="754">
        <f>U30*U40</f>
        <v>0</v>
      </c>
      <c r="U30" s="760">
        <f>$AB$1</f>
        <v>0</v>
      </c>
      <c r="V30" s="1124"/>
      <c r="Z30" s="140" t="s">
        <v>270</v>
      </c>
      <c r="AA30" s="156">
        <f>S35/(S32)</f>
        <v>5.1198257080610023E-2</v>
      </c>
      <c r="AB30" s="157">
        <f>T35/T32</f>
        <v>1.3362960134883372E-2</v>
      </c>
      <c r="AC30" s="1180">
        <f>V35/U32</f>
        <v>3.3003581784069592E-5</v>
      </c>
      <c r="AD30" s="1182">
        <f>SUMPRODUCT(AA30:AB30,AA29:AB29)+AC30</f>
        <v>4.250003829030332E-2</v>
      </c>
    </row>
    <row r="31" spans="1:30" ht="14.25" customHeight="1" thickBot="1" x14ac:dyDescent="0.35">
      <c r="B31" s="99"/>
      <c r="E31" s="99"/>
      <c r="F31" s="99"/>
      <c r="R31" s="147" t="s">
        <v>271</v>
      </c>
      <c r="S31" s="154"/>
      <c r="T31" s="148"/>
      <c r="U31" s="148"/>
      <c r="V31" s="148"/>
    </row>
    <row r="32" spans="1:30" ht="14.25" customHeight="1" thickBot="1" x14ac:dyDescent="0.35">
      <c r="R32" s="159" t="s">
        <v>261</v>
      </c>
      <c r="S32" s="148">
        <f>SUM(S28:S30)</f>
        <v>24284.615384615379</v>
      </c>
      <c r="T32" s="148">
        <f>SUM(T28:T30)</f>
        <v>7285.3846153846225</v>
      </c>
      <c r="U32" s="148">
        <f>SUM(U28:U30)</f>
        <v>31570</v>
      </c>
      <c r="V32" s="148">
        <f>SUM(V28:V30)</f>
        <v>15.05</v>
      </c>
    </row>
    <row r="33" spans="2:23" ht="14.25" customHeight="1" thickBot="1" x14ac:dyDescent="0.35">
      <c r="R33" s="160" t="s">
        <v>272</v>
      </c>
      <c r="S33" s="148"/>
      <c r="T33" s="154"/>
      <c r="U33" s="154"/>
      <c r="V33" s="154"/>
    </row>
    <row r="34" spans="2:23" ht="14.25" customHeight="1" thickBot="1" x14ac:dyDescent="0.35">
      <c r="R34" s="161" t="s">
        <v>273</v>
      </c>
      <c r="S34" s="148"/>
      <c r="T34" s="148"/>
      <c r="U34" s="154"/>
      <c r="V34" s="154"/>
    </row>
    <row r="35" spans="2:23" ht="14.25" customHeight="1" thickBot="1" x14ac:dyDescent="0.35">
      <c r="B35" s="1484" t="s">
        <v>687</v>
      </c>
      <c r="C35" s="1484"/>
      <c r="D35" s="1484"/>
      <c r="E35" s="1484"/>
      <c r="F35" s="1484"/>
      <c r="G35" s="870"/>
      <c r="H35" s="870"/>
      <c r="I35" s="877"/>
      <c r="J35" s="877"/>
      <c r="K35" s="877"/>
      <c r="L35" s="877"/>
      <c r="R35" s="162" t="s">
        <v>253</v>
      </c>
      <c r="S35" s="1125">
        <f>$L$5</f>
        <v>1243.3299815652754</v>
      </c>
      <c r="T35" s="1125">
        <f>SUM(L6:L20)</f>
        <v>97.354304182677339</v>
      </c>
      <c r="U35" s="1125">
        <f>S35+T35+V35</f>
        <v>1341.7262088248758</v>
      </c>
      <c r="V35" s="1125">
        <f>L37</f>
        <v>1.041923076923077</v>
      </c>
    </row>
    <row r="36" spans="2:23" ht="46.5" x14ac:dyDescent="0.3">
      <c r="B36" s="848" t="s">
        <v>245</v>
      </c>
      <c r="C36" s="848" t="s">
        <v>321</v>
      </c>
      <c r="D36" s="850" t="s">
        <v>645</v>
      </c>
      <c r="E36" s="847" t="s">
        <v>646</v>
      </c>
      <c r="F36" s="850" t="s">
        <v>647</v>
      </c>
      <c r="G36" s="870"/>
      <c r="H36" s="850" t="s">
        <v>647</v>
      </c>
      <c r="I36" s="850" t="s">
        <v>250</v>
      </c>
      <c r="J36" s="850" t="s">
        <v>251</v>
      </c>
      <c r="K36" s="850" t="s">
        <v>252</v>
      </c>
      <c r="L36" s="850" t="s">
        <v>253</v>
      </c>
    </row>
    <row r="37" spans="2:23" x14ac:dyDescent="0.3">
      <c r="B37" s="843" t="s">
        <v>716</v>
      </c>
      <c r="C37" s="844" t="s">
        <v>14</v>
      </c>
      <c r="D37" s="845">
        <v>7.0000000000000007E-2</v>
      </c>
      <c r="E37" s="843">
        <f>$AD$1</f>
        <v>215</v>
      </c>
      <c r="F37" s="843">
        <f>D37*E37</f>
        <v>15.05</v>
      </c>
      <c r="G37" s="869"/>
      <c r="H37" s="843">
        <f>F37</f>
        <v>15.05</v>
      </c>
      <c r="I37" s="843">
        <f>VLOOKUP(B37,All_Ingredients!$A$1:$F$149,6,FALSE())</f>
        <v>0.65</v>
      </c>
      <c r="J37" s="843">
        <f>VLOOKUP(B37,All_Ingredients!$A$1:$J$149,10,FALSE())</f>
        <v>45</v>
      </c>
      <c r="K37" s="843">
        <f>(H37/I37)/1000</f>
        <v>2.3153846153846153E-2</v>
      </c>
      <c r="L37" s="843">
        <f>K37*J37</f>
        <v>1.041923076923077</v>
      </c>
    </row>
    <row r="40" spans="2:23" ht="18.75" customHeight="1" x14ac:dyDescent="0.3">
      <c r="R40" s="164" t="s">
        <v>274</v>
      </c>
      <c r="S40" s="165">
        <v>0.76923076923076905</v>
      </c>
      <c r="T40" s="164" t="s">
        <v>275</v>
      </c>
      <c r="U40" s="166">
        <v>0.230769230769231</v>
      </c>
      <c r="V40" s="167">
        <f>S40+U40</f>
        <v>1</v>
      </c>
    </row>
    <row r="41" spans="2:23" ht="14.25" customHeight="1" x14ac:dyDescent="0.3">
      <c r="U41" s="168"/>
    </row>
    <row r="42" spans="2:23" ht="14.25" customHeight="1" x14ac:dyDescent="0.3"/>
    <row r="43" spans="2:23" ht="14.25" customHeight="1" x14ac:dyDescent="0.3">
      <c r="Q43" s="169" t="s">
        <v>276</v>
      </c>
      <c r="R43" s="169" t="s">
        <v>277</v>
      </c>
      <c r="S43" s="169" t="s">
        <v>278</v>
      </c>
      <c r="T43" s="169" t="s">
        <v>279</v>
      </c>
      <c r="U43" s="169" t="s">
        <v>280</v>
      </c>
      <c r="V43" s="169" t="s">
        <v>281</v>
      </c>
      <c r="W43" s="257" t="s">
        <v>282</v>
      </c>
    </row>
    <row r="44" spans="2:23" ht="14.25" customHeight="1" x14ac:dyDescent="0.3">
      <c r="Q44" s="171">
        <v>43334</v>
      </c>
      <c r="R44" s="172">
        <f>D51</f>
        <v>10000</v>
      </c>
      <c r="S44" s="173">
        <v>1</v>
      </c>
      <c r="T44" s="173">
        <v>0</v>
      </c>
      <c r="U44" s="241">
        <f>R44*S44</f>
        <v>10000</v>
      </c>
      <c r="V44" s="175">
        <f>R44*T44</f>
        <v>0</v>
      </c>
      <c r="W44" s="259">
        <f>Q44-U44</f>
        <v>33334</v>
      </c>
    </row>
    <row r="50" spans="1:10" ht="14" customHeight="1" x14ac:dyDescent="0.3">
      <c r="B50" s="144"/>
      <c r="C50" s="144" t="s">
        <v>237</v>
      </c>
      <c r="D50" s="144" t="s">
        <v>283</v>
      </c>
      <c r="E50" s="99"/>
      <c r="F50" s="99"/>
      <c r="G50" s="144" t="s">
        <v>284</v>
      </c>
      <c r="H50" s="144" t="s">
        <v>237</v>
      </c>
      <c r="I50" s="144" t="s">
        <v>285</v>
      </c>
      <c r="J50" s="144" t="s">
        <v>286</v>
      </c>
    </row>
    <row r="51" spans="1:10" ht="14" customHeight="1" x14ac:dyDescent="0.3">
      <c r="B51" s="179" t="s">
        <v>287</v>
      </c>
      <c r="C51" s="180">
        <f>10/$K$1</f>
        <v>10</v>
      </c>
      <c r="D51" s="181">
        <f>$C$1*10</f>
        <v>10000</v>
      </c>
      <c r="E51" s="182"/>
      <c r="F51" s="99"/>
      <c r="G51" s="179" t="s">
        <v>287</v>
      </c>
      <c r="H51" s="276">
        <f>I51/$D$5</f>
        <v>10</v>
      </c>
      <c r="I51" s="180">
        <f>J51/$R$1</f>
        <v>65360.784313725489</v>
      </c>
      <c r="J51" s="180">
        <f>$W$44</f>
        <v>33334</v>
      </c>
    </row>
    <row r="52" spans="1:10" x14ac:dyDescent="0.3">
      <c r="B52" s="230" t="s">
        <v>266</v>
      </c>
      <c r="C52" s="231">
        <f>$I$1</f>
        <v>7.2853846153846229</v>
      </c>
      <c r="D52" s="232">
        <f>$E$1</f>
        <v>7285.3846153846225</v>
      </c>
      <c r="E52" s="99"/>
      <c r="F52" s="99"/>
      <c r="G52" s="147" t="s">
        <v>266</v>
      </c>
      <c r="H52" s="209">
        <f>I52/$D$5</f>
        <v>7.2852389106064015</v>
      </c>
      <c r="I52" s="175">
        <f>J52/$R$1</f>
        <v>47616.892911010546</v>
      </c>
      <c r="J52" s="183">
        <f>$S$32</f>
        <v>24284.615384615379</v>
      </c>
    </row>
    <row r="53" spans="1:10" x14ac:dyDescent="0.3">
      <c r="B53" s="230" t="s">
        <v>288</v>
      </c>
      <c r="C53" s="233">
        <f>MIN(C52, C51)</f>
        <v>7.2853846153846229</v>
      </c>
      <c r="D53" s="232">
        <f>(C53*$K$1)*$C$1</f>
        <v>7285.3846153846225</v>
      </c>
      <c r="E53" s="99"/>
      <c r="F53" s="99"/>
      <c r="G53" s="147" t="s">
        <v>288</v>
      </c>
      <c r="H53" s="186">
        <f>MIN(H52,H51)</f>
        <v>7.2852389106064015</v>
      </c>
      <c r="I53" s="175">
        <f>J53/$R$1</f>
        <v>47616.892911010546</v>
      </c>
      <c r="J53" s="175">
        <f>MIN(J52,J51)</f>
        <v>24284.615384615379</v>
      </c>
    </row>
    <row r="54" spans="1:10" x14ac:dyDescent="0.3">
      <c r="B54" s="230" t="s">
        <v>289</v>
      </c>
      <c r="C54" s="233">
        <f>MIN(MAX(C52-C53,0),C51)</f>
        <v>0</v>
      </c>
      <c r="D54" s="232">
        <f>(C54*$K$1)*$C$1</f>
        <v>0</v>
      </c>
      <c r="E54" s="99"/>
      <c r="F54" s="99"/>
      <c r="G54" s="147" t="s">
        <v>289</v>
      </c>
      <c r="H54" s="186">
        <f>MIN(MAX(H52-H53),H51)</f>
        <v>0</v>
      </c>
      <c r="I54" s="175">
        <f>J54/$R$1</f>
        <v>0</v>
      </c>
      <c r="J54" s="175">
        <f>MIN(MAX(J52-J53),J51)</f>
        <v>0</v>
      </c>
    </row>
    <row r="55" spans="1:10" x14ac:dyDescent="0.3">
      <c r="B55" s="230" t="s">
        <v>290</v>
      </c>
      <c r="C55" s="233">
        <f>MIN(MAX(C52-C53-C54,0),C51)</f>
        <v>0</v>
      </c>
      <c r="D55" s="232">
        <f>(C55*$K$1)*$C$1</f>
        <v>0</v>
      </c>
      <c r="E55" s="99"/>
      <c r="F55" s="99"/>
      <c r="G55" s="144" t="s">
        <v>290</v>
      </c>
      <c r="H55" s="186">
        <f>MIN(MAX(H52-H53-H54),H51)</f>
        <v>0</v>
      </c>
      <c r="I55" s="175">
        <f>J55/$R$1</f>
        <v>0</v>
      </c>
      <c r="J55" s="175">
        <f>MIN(MAX(J52-J53-J54),J51)</f>
        <v>0</v>
      </c>
    </row>
    <row r="62" spans="1:10" ht="17.75" customHeight="1" x14ac:dyDescent="0.3">
      <c r="A62" s="922"/>
      <c r="B62" s="1438" t="str">
        <f>"ستروغانوف لحم  1 / " &amp; COUNTIF($C$53:$C$55, "&gt;0")</f>
        <v>ستروغانوف لحم  1 / 1</v>
      </c>
      <c r="C62" s="1439"/>
      <c r="D62" s="1439"/>
      <c r="E62" s="1439"/>
      <c r="F62" s="1439"/>
      <c r="G62" s="1439"/>
      <c r="H62" s="1439"/>
    </row>
    <row r="63" spans="1:10" ht="17.75" customHeight="1" x14ac:dyDescent="0.3">
      <c r="A63" s="922"/>
      <c r="B63" s="1436" t="str">
        <f>"Stroganoff sauce for Beef  1 / " &amp; COUNTIF($C$53:$C$55, "&gt;0")</f>
        <v>Stroganoff sauce for Beef  1 / 1</v>
      </c>
      <c r="C63" s="1437"/>
      <c r="D63" s="1437"/>
      <c r="E63" s="1437"/>
      <c r="F63" s="1437"/>
      <c r="G63" s="1437"/>
      <c r="H63" s="1437"/>
    </row>
    <row r="64" spans="1:10" ht="43.25" customHeight="1" x14ac:dyDescent="0.25">
      <c r="A64" s="90"/>
      <c r="B64" s="242" t="s">
        <v>245</v>
      </c>
      <c r="C64" s="243" t="s">
        <v>246</v>
      </c>
      <c r="D64" s="244" t="s">
        <v>235</v>
      </c>
      <c r="E64" s="217" t="s">
        <v>238</v>
      </c>
      <c r="F64" s="217" t="s">
        <v>247</v>
      </c>
      <c r="G64" s="244" t="s">
        <v>248</v>
      </c>
      <c r="H64" s="217" t="s">
        <v>249</v>
      </c>
    </row>
    <row r="65" spans="1:8" ht="14.25" customHeight="1" x14ac:dyDescent="0.3">
      <c r="A65" s="127" t="s">
        <v>225</v>
      </c>
      <c r="B65" s="322" t="str">
        <f t="shared" ref="B65:D80" si="7">B5</f>
        <v>Indian Meat Alana  - لحم هندى ألانا</v>
      </c>
      <c r="C65" s="322" t="str">
        <f t="shared" si="7"/>
        <v>gm</v>
      </c>
      <c r="D65" s="323">
        <f t="shared" si="7"/>
        <v>6536.0784313725489</v>
      </c>
      <c r="E65" s="125">
        <f>H53</f>
        <v>7.2852389106064015</v>
      </c>
      <c r="F65" s="126">
        <f t="shared" ref="F65:F80" si="8">F5</f>
        <v>1</v>
      </c>
      <c r="G65" s="118">
        <f t="shared" ref="G65:G80" si="9">D65*E65</f>
        <v>47616.892911010546</v>
      </c>
      <c r="H65" s="119">
        <f t="shared" ref="H65:H80" si="10">G65*F65</f>
        <v>47616.892911010546</v>
      </c>
    </row>
    <row r="66" spans="1:8" ht="14.25" customHeight="1" x14ac:dyDescent="0.3">
      <c r="A66" s="127" t="s">
        <v>13</v>
      </c>
      <c r="B66" s="322" t="str">
        <f t="shared" si="7"/>
        <v>Onion - بصل</v>
      </c>
      <c r="C66" s="322" t="str">
        <f t="shared" si="7"/>
        <v>gm</v>
      </c>
      <c r="D66" s="322">
        <f t="shared" si="7"/>
        <v>200</v>
      </c>
      <c r="E66" s="125">
        <f t="shared" ref="E66:E80" si="11">$C$53</f>
        <v>7.2853846153846229</v>
      </c>
      <c r="F66" s="126">
        <f t="shared" si="8"/>
        <v>0.95</v>
      </c>
      <c r="G66" s="118">
        <f t="shared" si="9"/>
        <v>1457.0769230769247</v>
      </c>
      <c r="H66" s="119">
        <f t="shared" si="10"/>
        <v>1384.2230769230785</v>
      </c>
    </row>
    <row r="67" spans="1:8" ht="14.25" customHeight="1" x14ac:dyDescent="0.3">
      <c r="A67" s="127" t="s">
        <v>13</v>
      </c>
      <c r="B67" s="322" t="str">
        <f t="shared" si="7"/>
        <v>Garlic - ثوم مقشر</v>
      </c>
      <c r="C67" s="322" t="str">
        <f t="shared" si="7"/>
        <v>gm</v>
      </c>
      <c r="D67" s="322">
        <f t="shared" si="7"/>
        <v>30</v>
      </c>
      <c r="E67" s="125">
        <f t="shared" si="11"/>
        <v>7.2853846153846229</v>
      </c>
      <c r="F67" s="126">
        <f t="shared" si="8"/>
        <v>0.95</v>
      </c>
      <c r="G67" s="118">
        <f t="shared" si="9"/>
        <v>218.56153846153867</v>
      </c>
      <c r="H67" s="119">
        <f t="shared" si="10"/>
        <v>207.63346153846175</v>
      </c>
    </row>
    <row r="68" spans="1:8" ht="14.25" customHeight="1" x14ac:dyDescent="0.3">
      <c r="A68" s="127" t="s">
        <v>192</v>
      </c>
      <c r="B68" s="322" t="str">
        <f t="shared" si="7"/>
        <v>Mustard - خردل</v>
      </c>
      <c r="C68" s="322" t="str">
        <f t="shared" si="7"/>
        <v>gm</v>
      </c>
      <c r="D68" s="322">
        <f t="shared" si="7"/>
        <v>20</v>
      </c>
      <c r="E68" s="125">
        <f t="shared" si="11"/>
        <v>7.2853846153846229</v>
      </c>
      <c r="F68" s="126">
        <f t="shared" si="8"/>
        <v>1</v>
      </c>
      <c r="G68" s="118">
        <f t="shared" si="9"/>
        <v>145.70769230769247</v>
      </c>
      <c r="H68" s="119">
        <f t="shared" si="10"/>
        <v>145.70769230769247</v>
      </c>
    </row>
    <row r="69" spans="1:8" ht="14.25" customHeight="1" x14ac:dyDescent="0.3">
      <c r="A69" s="127" t="s">
        <v>192</v>
      </c>
      <c r="B69" s="322" t="str">
        <f t="shared" si="7"/>
        <v>Tomato Paste - صلصة طماطم</v>
      </c>
      <c r="C69" s="322" t="str">
        <f t="shared" si="7"/>
        <v>gm</v>
      </c>
      <c r="D69" s="322">
        <f t="shared" si="7"/>
        <v>100</v>
      </c>
      <c r="E69" s="125">
        <f t="shared" si="11"/>
        <v>7.2853846153846229</v>
      </c>
      <c r="F69" s="126">
        <f t="shared" si="8"/>
        <v>1</v>
      </c>
      <c r="G69" s="118">
        <f t="shared" si="9"/>
        <v>728.53846153846234</v>
      </c>
      <c r="H69" s="119">
        <f t="shared" si="10"/>
        <v>728.53846153846234</v>
      </c>
    </row>
    <row r="70" spans="1:8" ht="14.25" customHeight="1" x14ac:dyDescent="0.3">
      <c r="A70" s="127" t="s">
        <v>215</v>
      </c>
      <c r="B70" s="322" t="str">
        <f t="shared" si="7"/>
        <v>Saffron yellow color powder - لون صفار زعفران بودر</v>
      </c>
      <c r="C70" s="322" t="str">
        <f t="shared" si="7"/>
        <v>gm</v>
      </c>
      <c r="D70" s="322">
        <f t="shared" si="7"/>
        <v>3</v>
      </c>
      <c r="E70" s="125">
        <f t="shared" si="11"/>
        <v>7.2853846153846229</v>
      </c>
      <c r="F70" s="126">
        <f t="shared" si="8"/>
        <v>0.75</v>
      </c>
      <c r="G70" s="118">
        <f t="shared" si="9"/>
        <v>21.85615384615387</v>
      </c>
      <c r="H70" s="119">
        <f t="shared" si="10"/>
        <v>16.392115384615401</v>
      </c>
    </row>
    <row r="71" spans="1:8" ht="14.25" customHeight="1" x14ac:dyDescent="0.3">
      <c r="A71" s="127" t="s">
        <v>206</v>
      </c>
      <c r="B71" s="322" t="str">
        <f t="shared" si="7"/>
        <v>Water - ماء</v>
      </c>
      <c r="C71" s="322" t="str">
        <f t="shared" si="7"/>
        <v>ml</v>
      </c>
      <c r="D71" s="322">
        <f t="shared" si="7"/>
        <v>10</v>
      </c>
      <c r="E71" s="125">
        <f t="shared" si="11"/>
        <v>7.2853846153846229</v>
      </c>
      <c r="F71" s="126">
        <f t="shared" si="8"/>
        <v>1</v>
      </c>
      <c r="G71" s="118">
        <f t="shared" si="9"/>
        <v>72.853846153846234</v>
      </c>
      <c r="H71" s="119">
        <f t="shared" si="10"/>
        <v>72.853846153846234</v>
      </c>
    </row>
    <row r="72" spans="1:8" ht="14" customHeight="1" x14ac:dyDescent="0.3">
      <c r="A72" s="127" t="s">
        <v>95</v>
      </c>
      <c r="B72" s="322" t="str">
        <f t="shared" si="7"/>
        <v>Black Pepper Powder - فلفل أسود مطحون</v>
      </c>
      <c r="C72" s="322" t="str">
        <f t="shared" si="7"/>
        <v>gm</v>
      </c>
      <c r="D72" s="322">
        <f t="shared" si="7"/>
        <v>2</v>
      </c>
      <c r="E72" s="125">
        <f t="shared" si="11"/>
        <v>7.2853846153846229</v>
      </c>
      <c r="F72" s="126">
        <f t="shared" si="8"/>
        <v>1</v>
      </c>
      <c r="G72" s="118">
        <f t="shared" si="9"/>
        <v>14.570769230769246</v>
      </c>
      <c r="H72" s="119">
        <f t="shared" si="10"/>
        <v>14.570769230769246</v>
      </c>
    </row>
    <row r="73" spans="1:8" ht="14" customHeight="1" x14ac:dyDescent="0.3">
      <c r="A73" s="127" t="s">
        <v>192</v>
      </c>
      <c r="B73" s="322" t="str">
        <f t="shared" si="7"/>
        <v>Demi Glaze Sauce - صوص ديمي غلاز</v>
      </c>
      <c r="C73" s="322" t="str">
        <f t="shared" si="7"/>
        <v>gm</v>
      </c>
      <c r="D73" s="322">
        <f t="shared" si="7"/>
        <v>25</v>
      </c>
      <c r="E73" s="125">
        <f t="shared" si="11"/>
        <v>7.2853846153846229</v>
      </c>
      <c r="F73" s="126">
        <f t="shared" si="8"/>
        <v>0.75</v>
      </c>
      <c r="G73" s="118">
        <f t="shared" si="9"/>
        <v>182.13461538461559</v>
      </c>
      <c r="H73" s="119">
        <f t="shared" si="10"/>
        <v>136.60096153846169</v>
      </c>
    </row>
    <row r="74" spans="1:8" ht="14.25" customHeight="1" x14ac:dyDescent="0.3">
      <c r="A74" s="127" t="s">
        <v>154</v>
      </c>
      <c r="B74" s="322" t="str">
        <f t="shared" si="7"/>
        <v>Cooking Cream - كريمة طبخ</v>
      </c>
      <c r="C74" s="322" t="str">
        <f t="shared" si="7"/>
        <v>ml</v>
      </c>
      <c r="D74" s="322">
        <f t="shared" si="7"/>
        <v>500</v>
      </c>
      <c r="E74" s="125">
        <f t="shared" si="11"/>
        <v>7.2853846153846229</v>
      </c>
      <c r="F74" s="126">
        <f t="shared" si="8"/>
        <v>1</v>
      </c>
      <c r="G74" s="118">
        <f t="shared" si="9"/>
        <v>3642.6923076923113</v>
      </c>
      <c r="H74" s="119">
        <f t="shared" si="10"/>
        <v>3642.6923076923113</v>
      </c>
    </row>
    <row r="75" spans="1:8" ht="14.25" customHeight="1" x14ac:dyDescent="0.3">
      <c r="A75" s="127" t="s">
        <v>95</v>
      </c>
      <c r="B75" s="322" t="str">
        <f t="shared" si="7"/>
        <v>Maggi Cubes - مكعبات ماجي</v>
      </c>
      <c r="C75" s="322" t="str">
        <f t="shared" si="7"/>
        <v>gm</v>
      </c>
      <c r="D75" s="322">
        <f t="shared" si="7"/>
        <v>8</v>
      </c>
      <c r="E75" s="125">
        <f t="shared" si="11"/>
        <v>7.2853846153846229</v>
      </c>
      <c r="F75" s="126">
        <f t="shared" si="8"/>
        <v>1</v>
      </c>
      <c r="G75" s="118">
        <f t="shared" si="9"/>
        <v>58.283076923076983</v>
      </c>
      <c r="H75" s="119">
        <f t="shared" si="10"/>
        <v>58.283076923076983</v>
      </c>
    </row>
    <row r="76" spans="1:8" ht="14.25" customHeight="1" x14ac:dyDescent="0.3">
      <c r="A76" s="127" t="s">
        <v>95</v>
      </c>
      <c r="B76" s="322" t="str">
        <f t="shared" si="7"/>
        <v>Salt - ملح</v>
      </c>
      <c r="C76" s="322" t="str">
        <f t="shared" si="7"/>
        <v>gm</v>
      </c>
      <c r="D76" s="322">
        <f t="shared" si="7"/>
        <v>5</v>
      </c>
      <c r="E76" s="125">
        <f t="shared" si="11"/>
        <v>7.2853846153846229</v>
      </c>
      <c r="F76" s="126">
        <f t="shared" si="8"/>
        <v>1</v>
      </c>
      <c r="G76" s="118">
        <f t="shared" si="9"/>
        <v>36.426923076923117</v>
      </c>
      <c r="H76" s="119">
        <f t="shared" si="10"/>
        <v>36.426923076923117</v>
      </c>
    </row>
    <row r="77" spans="1:8" ht="14.25" customHeight="1" x14ac:dyDescent="0.3">
      <c r="A77" s="127" t="s">
        <v>188</v>
      </c>
      <c r="B77" s="322" t="str">
        <f t="shared" si="7"/>
        <v>Corn Starch - نشا ذرة</v>
      </c>
      <c r="C77" s="322" t="str">
        <f t="shared" si="7"/>
        <v>gm</v>
      </c>
      <c r="D77" s="322">
        <f t="shared" si="7"/>
        <v>20</v>
      </c>
      <c r="E77" s="125">
        <f t="shared" si="11"/>
        <v>7.2853846153846229</v>
      </c>
      <c r="F77" s="126">
        <f t="shared" si="8"/>
        <v>0.75</v>
      </c>
      <c r="G77" s="118">
        <f t="shared" si="9"/>
        <v>145.70769230769247</v>
      </c>
      <c r="H77" s="119">
        <f t="shared" si="10"/>
        <v>109.28076923076935</v>
      </c>
    </row>
    <row r="78" spans="1:8" ht="14.25" customHeight="1" x14ac:dyDescent="0.3">
      <c r="A78" s="127" t="s">
        <v>13</v>
      </c>
      <c r="B78" s="322" t="str">
        <f t="shared" si="7"/>
        <v>Mushroom - مشروم ابيض</v>
      </c>
      <c r="C78" s="322" t="str">
        <f t="shared" si="7"/>
        <v>gm</v>
      </c>
      <c r="D78" s="322">
        <f t="shared" si="7"/>
        <v>100</v>
      </c>
      <c r="E78" s="125">
        <f t="shared" si="11"/>
        <v>7.2853846153846229</v>
      </c>
      <c r="F78" s="126">
        <f t="shared" si="8"/>
        <v>1</v>
      </c>
      <c r="G78" s="118">
        <f t="shared" si="9"/>
        <v>728.53846153846234</v>
      </c>
      <c r="H78" s="119">
        <f t="shared" si="10"/>
        <v>728.53846153846234</v>
      </c>
    </row>
    <row r="79" spans="1:8" ht="14.25" customHeight="1" x14ac:dyDescent="0.3">
      <c r="A79" s="127" t="s">
        <v>154</v>
      </c>
      <c r="B79" s="322" t="str">
        <f t="shared" si="7"/>
        <v>Butter - زبدة</v>
      </c>
      <c r="C79" s="322" t="str">
        <f t="shared" si="7"/>
        <v>gm</v>
      </c>
      <c r="D79" s="322">
        <f t="shared" si="7"/>
        <v>20</v>
      </c>
      <c r="E79" s="125">
        <f t="shared" si="11"/>
        <v>7.2853846153846229</v>
      </c>
      <c r="F79" s="126">
        <f t="shared" si="8"/>
        <v>1</v>
      </c>
      <c r="G79" s="118">
        <f t="shared" si="9"/>
        <v>145.70769230769247</v>
      </c>
      <c r="H79" s="119">
        <f t="shared" si="10"/>
        <v>145.70769230769247</v>
      </c>
    </row>
    <row r="80" spans="1:8" ht="14.25" customHeight="1" x14ac:dyDescent="0.3">
      <c r="A80" s="127" t="s">
        <v>192</v>
      </c>
      <c r="B80" s="322" t="str">
        <f t="shared" si="7"/>
        <v>Sriracha Sauce - صوص سريراتشا</v>
      </c>
      <c r="C80" s="322" t="str">
        <f t="shared" si="7"/>
        <v>ml</v>
      </c>
      <c r="D80" s="322">
        <f t="shared" si="7"/>
        <v>15</v>
      </c>
      <c r="E80" s="125">
        <f t="shared" si="11"/>
        <v>7.2853846153846229</v>
      </c>
      <c r="F80" s="126">
        <f t="shared" si="8"/>
        <v>0.9</v>
      </c>
      <c r="G80" s="118">
        <f t="shared" si="9"/>
        <v>109.28076923076934</v>
      </c>
      <c r="H80" s="119">
        <f t="shared" si="10"/>
        <v>98.352692307692408</v>
      </c>
    </row>
    <row r="81" spans="1:8" ht="20.25" customHeight="1" x14ac:dyDescent="0.3">
      <c r="A81" s="210"/>
      <c r="B81" s="197" t="s">
        <v>291</v>
      </c>
      <c r="C81" s="199" t="s">
        <v>277</v>
      </c>
      <c r="E81" s="199" t="s">
        <v>292</v>
      </c>
      <c r="G81" s="878" t="s">
        <v>268</v>
      </c>
      <c r="H81" s="878" t="s">
        <v>703</v>
      </c>
    </row>
    <row r="82" spans="1:8" ht="26.75" customHeight="1" x14ac:dyDescent="0.4">
      <c r="A82" s="210"/>
      <c r="B82" s="198">
        <f>$J$53</f>
        <v>24284.615384615379</v>
      </c>
      <c r="C82" s="198">
        <f>E82+G82</f>
        <v>7285.3846153846225</v>
      </c>
      <c r="D82" s="915"/>
      <c r="E82" s="198">
        <f>$D$53*$S$44</f>
        <v>7285.3846153846225</v>
      </c>
      <c r="F82" s="919"/>
      <c r="G82" s="198">
        <f>$D$53*$T$44</f>
        <v>0</v>
      </c>
      <c r="H82" s="198">
        <f>B82+E82</f>
        <v>31570</v>
      </c>
    </row>
    <row r="83" spans="1:8" ht="14.25" customHeight="1" x14ac:dyDescent="0.3">
      <c r="B83" s="99"/>
      <c r="E83" s="99"/>
      <c r="F83" s="99"/>
    </row>
    <row r="84" spans="1:8" ht="14.25" customHeight="1" x14ac:dyDescent="0.3">
      <c r="B84" s="99"/>
      <c r="C84" s="99"/>
      <c r="D84" s="99"/>
      <c r="E84" s="99"/>
      <c r="F84" s="99"/>
      <c r="G84" s="99"/>
      <c r="H84" s="99"/>
    </row>
    <row r="85" spans="1:8" ht="14.25" customHeight="1" x14ac:dyDescent="0.3">
      <c r="B85" s="99"/>
      <c r="C85" s="99"/>
      <c r="D85" s="99"/>
      <c r="E85" s="99"/>
      <c r="F85" s="99"/>
      <c r="G85" s="99"/>
      <c r="H85" s="99"/>
    </row>
    <row r="86" spans="1:8" ht="14.25" customHeight="1" x14ac:dyDescent="0.3">
      <c r="B86" s="99"/>
      <c r="C86" s="99"/>
      <c r="D86" s="99"/>
      <c r="E86" s="99"/>
      <c r="F86" s="99"/>
      <c r="G86" s="99"/>
      <c r="H86" s="99"/>
    </row>
    <row r="87" spans="1:8" ht="17.75" customHeight="1" x14ac:dyDescent="0.3">
      <c r="A87" s="96"/>
      <c r="B87" s="1438" t="str">
        <f>"ستروغانوف لحم  2 / " &amp; COUNTIF($C$53:$C$55, "&gt;0")</f>
        <v>ستروغانوف لحم  2 / 1</v>
      </c>
      <c r="C87" s="1444"/>
      <c r="D87" s="1444"/>
      <c r="E87" s="1444"/>
      <c r="F87" s="1444"/>
      <c r="G87" s="1444"/>
      <c r="H87" s="1444"/>
    </row>
    <row r="88" spans="1:8" ht="17.75" customHeight="1" x14ac:dyDescent="0.3">
      <c r="A88" s="96"/>
      <c r="B88" s="1436" t="str">
        <f>"Stroganoff sauce for Beef  2 / " &amp; COUNTIF($C$53:$C$55, "&gt;0")</f>
        <v>Stroganoff sauce for Beef  2 / 1</v>
      </c>
      <c r="C88" s="1446"/>
      <c r="D88" s="1446"/>
      <c r="E88" s="1446"/>
      <c r="F88" s="1446"/>
      <c r="G88" s="1446"/>
      <c r="H88" s="1446"/>
    </row>
    <row r="89" spans="1:8" ht="25.5" customHeight="1" x14ac:dyDescent="0.25">
      <c r="A89" s="90"/>
      <c r="B89" s="242" t="s">
        <v>245</v>
      </c>
      <c r="C89" s="243" t="s">
        <v>246</v>
      </c>
      <c r="D89" s="244" t="s">
        <v>235</v>
      </c>
      <c r="E89" s="217" t="s">
        <v>238</v>
      </c>
      <c r="F89" s="217" t="s">
        <v>247</v>
      </c>
      <c r="G89" s="244" t="s">
        <v>248</v>
      </c>
      <c r="H89" s="217" t="s">
        <v>249</v>
      </c>
    </row>
    <row r="90" spans="1:8" ht="14.25" customHeight="1" x14ac:dyDescent="0.3">
      <c r="A90" s="127" t="s">
        <v>225</v>
      </c>
      <c r="B90" s="322" t="str">
        <f t="shared" ref="B90:D105" si="12">B5</f>
        <v>Indian Meat Alana  - لحم هندى ألانا</v>
      </c>
      <c r="C90" s="322" t="str">
        <f t="shared" si="12"/>
        <v>gm</v>
      </c>
      <c r="D90" s="323">
        <f t="shared" si="12"/>
        <v>6536.0784313725489</v>
      </c>
      <c r="E90" s="125">
        <f>H54</f>
        <v>0</v>
      </c>
      <c r="F90" s="126">
        <f t="shared" ref="F90:F105" si="13">F5</f>
        <v>1</v>
      </c>
      <c r="G90" s="118">
        <f t="shared" ref="G90:G105" si="14">D90*E90</f>
        <v>0</v>
      </c>
      <c r="H90" s="119">
        <f t="shared" ref="H90:H105" si="15">G90*F90</f>
        <v>0</v>
      </c>
    </row>
    <row r="91" spans="1:8" ht="14.25" customHeight="1" x14ac:dyDescent="0.3">
      <c r="A91" s="127" t="s">
        <v>13</v>
      </c>
      <c r="B91" s="322" t="str">
        <f t="shared" si="12"/>
        <v>Onion - بصل</v>
      </c>
      <c r="C91" s="322" t="str">
        <f t="shared" si="12"/>
        <v>gm</v>
      </c>
      <c r="D91" s="322">
        <f t="shared" si="12"/>
        <v>200</v>
      </c>
      <c r="E91" s="125">
        <f t="shared" ref="E91:E105" si="16">$C$54</f>
        <v>0</v>
      </c>
      <c r="F91" s="126">
        <f t="shared" si="13"/>
        <v>0.95</v>
      </c>
      <c r="G91" s="118">
        <f t="shared" si="14"/>
        <v>0</v>
      </c>
      <c r="H91" s="119">
        <f t="shared" si="15"/>
        <v>0</v>
      </c>
    </row>
    <row r="92" spans="1:8" ht="14.25" customHeight="1" x14ac:dyDescent="0.3">
      <c r="A92" s="127" t="s">
        <v>13</v>
      </c>
      <c r="B92" s="322" t="str">
        <f t="shared" si="12"/>
        <v>Garlic - ثوم مقشر</v>
      </c>
      <c r="C92" s="322" t="str">
        <f t="shared" si="12"/>
        <v>gm</v>
      </c>
      <c r="D92" s="322">
        <f t="shared" si="12"/>
        <v>30</v>
      </c>
      <c r="E92" s="125">
        <f t="shared" si="16"/>
        <v>0</v>
      </c>
      <c r="F92" s="126">
        <f t="shared" si="13"/>
        <v>0.95</v>
      </c>
      <c r="G92" s="118">
        <f t="shared" si="14"/>
        <v>0</v>
      </c>
      <c r="H92" s="119">
        <f t="shared" si="15"/>
        <v>0</v>
      </c>
    </row>
    <row r="93" spans="1:8" ht="14.25" customHeight="1" x14ac:dyDescent="0.3">
      <c r="A93" s="127" t="s">
        <v>192</v>
      </c>
      <c r="B93" s="322" t="str">
        <f t="shared" si="12"/>
        <v>Mustard - خردل</v>
      </c>
      <c r="C93" s="322" t="str">
        <f t="shared" si="12"/>
        <v>gm</v>
      </c>
      <c r="D93" s="322">
        <f t="shared" si="12"/>
        <v>20</v>
      </c>
      <c r="E93" s="125">
        <f t="shared" si="16"/>
        <v>0</v>
      </c>
      <c r="F93" s="126">
        <f t="shared" si="13"/>
        <v>1</v>
      </c>
      <c r="G93" s="118">
        <f t="shared" si="14"/>
        <v>0</v>
      </c>
      <c r="H93" s="119">
        <f t="shared" si="15"/>
        <v>0</v>
      </c>
    </row>
    <row r="94" spans="1:8" ht="14.25" customHeight="1" x14ac:dyDescent="0.3">
      <c r="A94" s="127" t="s">
        <v>192</v>
      </c>
      <c r="B94" s="322" t="str">
        <f t="shared" si="12"/>
        <v>Tomato Paste - صلصة طماطم</v>
      </c>
      <c r="C94" s="322" t="str">
        <f t="shared" si="12"/>
        <v>gm</v>
      </c>
      <c r="D94" s="322">
        <f t="shared" si="12"/>
        <v>100</v>
      </c>
      <c r="E94" s="125">
        <f t="shared" si="16"/>
        <v>0</v>
      </c>
      <c r="F94" s="126">
        <f t="shared" si="13"/>
        <v>1</v>
      </c>
      <c r="G94" s="118">
        <f t="shared" si="14"/>
        <v>0</v>
      </c>
      <c r="H94" s="119">
        <f t="shared" si="15"/>
        <v>0</v>
      </c>
    </row>
    <row r="95" spans="1:8" ht="14.25" customHeight="1" x14ac:dyDescent="0.3">
      <c r="A95" s="127" t="s">
        <v>215</v>
      </c>
      <c r="B95" s="322" t="str">
        <f t="shared" si="12"/>
        <v>Saffron yellow color powder - لون صفار زعفران بودر</v>
      </c>
      <c r="C95" s="322" t="str">
        <f t="shared" si="12"/>
        <v>gm</v>
      </c>
      <c r="D95" s="322">
        <f t="shared" si="12"/>
        <v>3</v>
      </c>
      <c r="E95" s="125">
        <f t="shared" si="16"/>
        <v>0</v>
      </c>
      <c r="F95" s="126">
        <f t="shared" si="13"/>
        <v>0.75</v>
      </c>
      <c r="G95" s="118">
        <f t="shared" si="14"/>
        <v>0</v>
      </c>
      <c r="H95" s="119">
        <f t="shared" si="15"/>
        <v>0</v>
      </c>
    </row>
    <row r="96" spans="1:8" ht="14.25" customHeight="1" x14ac:dyDescent="0.3">
      <c r="A96" s="127" t="s">
        <v>206</v>
      </c>
      <c r="B96" s="322" t="str">
        <f t="shared" si="12"/>
        <v>Water - ماء</v>
      </c>
      <c r="C96" s="322" t="str">
        <f t="shared" si="12"/>
        <v>ml</v>
      </c>
      <c r="D96" s="322">
        <f t="shared" si="12"/>
        <v>10</v>
      </c>
      <c r="E96" s="125">
        <f t="shared" si="16"/>
        <v>0</v>
      </c>
      <c r="F96" s="126">
        <f t="shared" si="13"/>
        <v>1</v>
      </c>
      <c r="G96" s="118">
        <f t="shared" si="14"/>
        <v>0</v>
      </c>
      <c r="H96" s="119">
        <f t="shared" si="15"/>
        <v>0</v>
      </c>
    </row>
    <row r="97" spans="1:8" ht="14.25" customHeight="1" x14ac:dyDescent="0.3">
      <c r="A97" s="127" t="s">
        <v>95</v>
      </c>
      <c r="B97" s="322" t="str">
        <f t="shared" si="12"/>
        <v>Black Pepper Powder - فلفل أسود مطحون</v>
      </c>
      <c r="C97" s="322" t="str">
        <f t="shared" si="12"/>
        <v>gm</v>
      </c>
      <c r="D97" s="322">
        <f t="shared" si="12"/>
        <v>2</v>
      </c>
      <c r="E97" s="125">
        <f t="shared" si="16"/>
        <v>0</v>
      </c>
      <c r="F97" s="126">
        <f t="shared" si="13"/>
        <v>1</v>
      </c>
      <c r="G97" s="118">
        <f t="shared" si="14"/>
        <v>0</v>
      </c>
      <c r="H97" s="119">
        <f t="shared" si="15"/>
        <v>0</v>
      </c>
    </row>
    <row r="98" spans="1:8" ht="14.25" customHeight="1" x14ac:dyDescent="0.3">
      <c r="A98" s="127" t="s">
        <v>192</v>
      </c>
      <c r="B98" s="322" t="str">
        <f t="shared" si="12"/>
        <v>Demi Glaze Sauce - صوص ديمي غلاز</v>
      </c>
      <c r="C98" s="322" t="str">
        <f t="shared" si="12"/>
        <v>gm</v>
      </c>
      <c r="D98" s="322">
        <f t="shared" si="12"/>
        <v>25</v>
      </c>
      <c r="E98" s="125">
        <f t="shared" si="16"/>
        <v>0</v>
      </c>
      <c r="F98" s="126">
        <f t="shared" si="13"/>
        <v>0.75</v>
      </c>
      <c r="G98" s="118">
        <f t="shared" si="14"/>
        <v>0</v>
      </c>
      <c r="H98" s="119">
        <f t="shared" si="15"/>
        <v>0</v>
      </c>
    </row>
    <row r="99" spans="1:8" ht="14.25" customHeight="1" x14ac:dyDescent="0.3">
      <c r="A99" s="127" t="s">
        <v>154</v>
      </c>
      <c r="B99" s="322" t="str">
        <f t="shared" si="12"/>
        <v>Cooking Cream - كريمة طبخ</v>
      </c>
      <c r="C99" s="322" t="str">
        <f t="shared" si="12"/>
        <v>ml</v>
      </c>
      <c r="D99" s="322">
        <f t="shared" si="12"/>
        <v>500</v>
      </c>
      <c r="E99" s="125">
        <f t="shared" si="16"/>
        <v>0</v>
      </c>
      <c r="F99" s="126">
        <f t="shared" si="13"/>
        <v>1</v>
      </c>
      <c r="G99" s="118">
        <f t="shared" si="14"/>
        <v>0</v>
      </c>
      <c r="H99" s="119">
        <f t="shared" si="15"/>
        <v>0</v>
      </c>
    </row>
    <row r="100" spans="1:8" ht="14.25" customHeight="1" x14ac:dyDescent="0.3">
      <c r="A100" s="127" t="s">
        <v>95</v>
      </c>
      <c r="B100" s="322" t="str">
        <f t="shared" si="12"/>
        <v>Maggi Cubes - مكعبات ماجي</v>
      </c>
      <c r="C100" s="322" t="str">
        <f t="shared" si="12"/>
        <v>gm</v>
      </c>
      <c r="D100" s="322">
        <f t="shared" si="12"/>
        <v>8</v>
      </c>
      <c r="E100" s="125">
        <f t="shared" si="16"/>
        <v>0</v>
      </c>
      <c r="F100" s="126">
        <f t="shared" si="13"/>
        <v>1</v>
      </c>
      <c r="G100" s="118">
        <f t="shared" si="14"/>
        <v>0</v>
      </c>
      <c r="H100" s="119">
        <f t="shared" si="15"/>
        <v>0</v>
      </c>
    </row>
    <row r="101" spans="1:8" ht="14.25" customHeight="1" x14ac:dyDescent="0.3">
      <c r="A101" s="127" t="s">
        <v>95</v>
      </c>
      <c r="B101" s="322" t="str">
        <f t="shared" si="12"/>
        <v>Salt - ملح</v>
      </c>
      <c r="C101" s="322" t="str">
        <f t="shared" si="12"/>
        <v>gm</v>
      </c>
      <c r="D101" s="322">
        <f t="shared" si="12"/>
        <v>5</v>
      </c>
      <c r="E101" s="125">
        <f t="shared" si="16"/>
        <v>0</v>
      </c>
      <c r="F101" s="126">
        <f t="shared" si="13"/>
        <v>1</v>
      </c>
      <c r="G101" s="118">
        <f t="shared" si="14"/>
        <v>0</v>
      </c>
      <c r="H101" s="119">
        <f t="shared" si="15"/>
        <v>0</v>
      </c>
    </row>
    <row r="102" spans="1:8" ht="14.25" customHeight="1" x14ac:dyDescent="0.3">
      <c r="A102" s="127" t="s">
        <v>188</v>
      </c>
      <c r="B102" s="322" t="str">
        <f t="shared" si="12"/>
        <v>Corn Starch - نشا ذرة</v>
      </c>
      <c r="C102" s="322" t="str">
        <f t="shared" si="12"/>
        <v>gm</v>
      </c>
      <c r="D102" s="322">
        <f t="shared" si="12"/>
        <v>20</v>
      </c>
      <c r="E102" s="125">
        <f t="shared" si="16"/>
        <v>0</v>
      </c>
      <c r="F102" s="126">
        <f t="shared" si="13"/>
        <v>0.75</v>
      </c>
      <c r="G102" s="118">
        <f t="shared" si="14"/>
        <v>0</v>
      </c>
      <c r="H102" s="119">
        <f t="shared" si="15"/>
        <v>0</v>
      </c>
    </row>
    <row r="103" spans="1:8" ht="14.25" customHeight="1" x14ac:dyDescent="0.3">
      <c r="A103" s="127" t="s">
        <v>13</v>
      </c>
      <c r="B103" s="322" t="str">
        <f t="shared" si="12"/>
        <v>Mushroom - مشروم ابيض</v>
      </c>
      <c r="C103" s="322" t="str">
        <f t="shared" si="12"/>
        <v>gm</v>
      </c>
      <c r="D103" s="322">
        <f t="shared" si="12"/>
        <v>100</v>
      </c>
      <c r="E103" s="125">
        <f t="shared" si="16"/>
        <v>0</v>
      </c>
      <c r="F103" s="126">
        <f t="shared" si="13"/>
        <v>1</v>
      </c>
      <c r="G103" s="118">
        <f t="shared" si="14"/>
        <v>0</v>
      </c>
      <c r="H103" s="119">
        <f t="shared" si="15"/>
        <v>0</v>
      </c>
    </row>
    <row r="104" spans="1:8" ht="14.25" customHeight="1" x14ac:dyDescent="0.3">
      <c r="A104" s="127" t="s">
        <v>154</v>
      </c>
      <c r="B104" s="322" t="str">
        <f t="shared" si="12"/>
        <v>Butter - زبدة</v>
      </c>
      <c r="C104" s="322" t="str">
        <f t="shared" si="12"/>
        <v>gm</v>
      </c>
      <c r="D104" s="322">
        <f t="shared" si="12"/>
        <v>20</v>
      </c>
      <c r="E104" s="125">
        <f t="shared" si="16"/>
        <v>0</v>
      </c>
      <c r="F104" s="126">
        <f t="shared" si="13"/>
        <v>1</v>
      </c>
      <c r="G104" s="118">
        <f t="shared" si="14"/>
        <v>0</v>
      </c>
      <c r="H104" s="119">
        <f t="shared" si="15"/>
        <v>0</v>
      </c>
    </row>
    <row r="105" spans="1:8" ht="14.25" customHeight="1" x14ac:dyDescent="0.3">
      <c r="A105" s="127" t="s">
        <v>192</v>
      </c>
      <c r="B105" s="322" t="str">
        <f t="shared" si="12"/>
        <v>Sriracha Sauce - صوص سريراتشا</v>
      </c>
      <c r="C105" s="322" t="str">
        <f t="shared" si="12"/>
        <v>ml</v>
      </c>
      <c r="D105" s="322">
        <f t="shared" si="12"/>
        <v>15</v>
      </c>
      <c r="E105" s="125">
        <f t="shared" si="16"/>
        <v>0</v>
      </c>
      <c r="F105" s="126">
        <f t="shared" si="13"/>
        <v>0.9</v>
      </c>
      <c r="G105" s="118">
        <f t="shared" si="14"/>
        <v>0</v>
      </c>
      <c r="H105" s="119">
        <f t="shared" si="15"/>
        <v>0</v>
      </c>
    </row>
    <row r="106" spans="1:8" ht="20.25" customHeight="1" x14ac:dyDescent="0.3">
      <c r="A106" s="210"/>
      <c r="B106" s="197" t="s">
        <v>291</v>
      </c>
      <c r="C106" s="199" t="s">
        <v>277</v>
      </c>
      <c r="E106" s="199" t="s">
        <v>292</v>
      </c>
      <c r="G106" s="878" t="s">
        <v>268</v>
      </c>
      <c r="H106" s="878" t="s">
        <v>703</v>
      </c>
    </row>
    <row r="107" spans="1:8" ht="20" x14ac:dyDescent="0.4">
      <c r="A107" s="210"/>
      <c r="B107" s="198">
        <f>$J$54</f>
        <v>0</v>
      </c>
      <c r="C107" s="198">
        <f>E107+G107</f>
        <v>0</v>
      </c>
      <c r="D107" s="915"/>
      <c r="E107" s="198">
        <f>$D$54*$S$44</f>
        <v>0</v>
      </c>
      <c r="F107" s="919"/>
      <c r="G107" s="198">
        <f>$D$54*$T$44</f>
        <v>0</v>
      </c>
      <c r="H107" s="198">
        <f>B107+E107</f>
        <v>0</v>
      </c>
    </row>
  </sheetData>
  <mergeCells count="10">
    <mergeCell ref="AE2:AG3"/>
    <mergeCell ref="B88:H88"/>
    <mergeCell ref="R26:U26"/>
    <mergeCell ref="B87:H87"/>
    <mergeCell ref="R25:U25"/>
    <mergeCell ref="B62:H62"/>
    <mergeCell ref="B2:K3"/>
    <mergeCell ref="B63:H63"/>
    <mergeCell ref="C29:G29"/>
    <mergeCell ref="B35:F35"/>
  </mergeCells>
  <printOptions horizontalCentered="1"/>
  <pageMargins left="0.5" right="0.5" top="1" bottom="0.5" header="0.3" footer="0.511811023622047"/>
  <pageSetup paperSize="9" scale="30" orientation="portrait" r:id="rId1"/>
  <legacyDrawing r:id="rId2"/>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rgb="FFFF0000"/>
    <pageSetUpPr fitToPage="1"/>
  </sheetPr>
  <dimension ref="A1:AD129"/>
  <sheetViews>
    <sheetView topLeftCell="A30" zoomScale="55" zoomScaleNormal="55" workbookViewId="0">
      <selection activeCell="T95" sqref="T95"/>
    </sheetView>
  </sheetViews>
  <sheetFormatPr defaultColWidth="12.5" defaultRowHeight="14" x14ac:dyDescent="0.3"/>
  <cols>
    <col min="1" max="1" width="12.5" style="78" customWidth="1"/>
    <col min="2" max="2" width="32.58203125" style="14" customWidth="1"/>
    <col min="3" max="3" width="12.16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9" width="18.58203125" style="14" customWidth="1"/>
    <col min="10" max="10" width="16.25" style="14" customWidth="1"/>
    <col min="11" max="11" width="12.5" style="14" customWidth="1"/>
    <col min="12" max="12" width="8.33203125" style="14" customWidth="1"/>
    <col min="13" max="14" width="6.75" style="14" customWidth="1"/>
    <col min="15" max="17" width="12.5" style="14" customWidth="1"/>
    <col min="18" max="18" width="32.83203125" style="14" customWidth="1"/>
    <col min="19" max="19" width="12.5" style="14" customWidth="1"/>
    <col min="20" max="26" width="12.5" style="14"/>
    <col min="27" max="27" width="10.75" style="14" customWidth="1"/>
    <col min="28" max="28" width="13.75" style="14" customWidth="1"/>
    <col min="29" max="29" width="13.25" style="14" bestFit="1" customWidth="1"/>
    <col min="30" max="16384" width="12.5" style="14"/>
  </cols>
  <sheetData>
    <row r="1" spans="1:30" ht="23.75" customHeight="1" x14ac:dyDescent="0.3">
      <c r="B1" s="79" t="s">
        <v>235</v>
      </c>
      <c r="C1" s="80">
        <v>1000</v>
      </c>
      <c r="D1" s="81" t="s">
        <v>236</v>
      </c>
      <c r="E1" s="116">
        <f>T32</f>
        <v>12628</v>
      </c>
      <c r="F1" s="79" t="s">
        <v>237</v>
      </c>
      <c r="G1" s="80">
        <f>E1/C1</f>
        <v>12.628</v>
      </c>
      <c r="H1" s="79" t="s">
        <v>238</v>
      </c>
      <c r="I1" s="282">
        <f>G1/K1</f>
        <v>12.628</v>
      </c>
      <c r="J1" s="85" t="s">
        <v>239</v>
      </c>
      <c r="K1" s="326">
        <v>1</v>
      </c>
      <c r="L1" s="99"/>
      <c r="M1" s="88"/>
      <c r="N1" s="89"/>
      <c r="O1" s="90" t="s">
        <v>240</v>
      </c>
      <c r="P1" s="99"/>
      <c r="Q1" s="92" t="s">
        <v>533</v>
      </c>
      <c r="R1" s="14">
        <v>2.5</v>
      </c>
      <c r="Y1" s="90" t="s">
        <v>463</v>
      </c>
      <c r="Z1" s="835">
        <v>31570</v>
      </c>
      <c r="AA1" s="90" t="s">
        <v>578</v>
      </c>
      <c r="AB1" s="835">
        <v>0</v>
      </c>
      <c r="AC1" s="90" t="s">
        <v>567</v>
      </c>
      <c r="AD1" s="835">
        <v>215</v>
      </c>
    </row>
    <row r="2" spans="1:30" ht="12.75" customHeight="1" x14ac:dyDescent="0.3">
      <c r="A2" s="96"/>
      <c r="B2" s="1443" t="s">
        <v>416</v>
      </c>
      <c r="C2" s="1466"/>
      <c r="D2" s="1466"/>
      <c r="E2" s="1466"/>
      <c r="F2" s="1466"/>
      <c r="G2" s="1466"/>
      <c r="H2" s="1466"/>
      <c r="I2" s="488"/>
      <c r="J2" s="488"/>
      <c r="K2" s="500"/>
      <c r="L2" s="292"/>
      <c r="M2" s="99"/>
      <c r="N2" s="99"/>
      <c r="O2" s="99"/>
      <c r="P2" s="99"/>
      <c r="Q2" s="99"/>
    </row>
    <row r="3" spans="1:30" ht="12.75" customHeight="1" x14ac:dyDescent="0.3">
      <c r="A3" s="96"/>
      <c r="B3" s="1444"/>
      <c r="C3" s="1444"/>
      <c r="D3" s="1444"/>
      <c r="E3" s="1444"/>
      <c r="F3" s="1444"/>
      <c r="G3" s="1444"/>
      <c r="H3" s="1444"/>
      <c r="I3" s="369"/>
      <c r="J3" s="369"/>
      <c r="K3" s="501"/>
      <c r="L3" s="292"/>
      <c r="M3" s="99"/>
      <c r="N3" s="99"/>
      <c r="O3" s="99"/>
      <c r="P3" s="99"/>
      <c r="Q3" s="99"/>
    </row>
    <row r="4" spans="1:30" ht="35.25" customHeight="1" x14ac:dyDescent="0.25">
      <c r="A4" s="90" t="s">
        <v>1</v>
      </c>
      <c r="B4" s="90" t="s">
        <v>245</v>
      </c>
      <c r="C4" s="106" t="s">
        <v>246</v>
      </c>
      <c r="D4" s="90" t="s">
        <v>235</v>
      </c>
      <c r="E4" s="217" t="s">
        <v>238</v>
      </c>
      <c r="F4" s="107" t="s">
        <v>247</v>
      </c>
      <c r="G4" s="90" t="s">
        <v>248</v>
      </c>
      <c r="H4" s="106" t="s">
        <v>339</v>
      </c>
      <c r="I4" s="90" t="s">
        <v>250</v>
      </c>
      <c r="J4" s="90" t="s">
        <v>251</v>
      </c>
      <c r="K4" s="90" t="s">
        <v>252</v>
      </c>
      <c r="L4" s="90" t="s">
        <v>253</v>
      </c>
      <c r="M4" s="99"/>
      <c r="N4" s="99"/>
      <c r="O4" s="99"/>
    </row>
    <row r="5" spans="1:30" ht="14.25" customHeight="1" x14ac:dyDescent="0.25">
      <c r="A5" s="265"/>
      <c r="B5" s="400" t="s">
        <v>417</v>
      </c>
      <c r="C5" s="123" t="s">
        <v>14</v>
      </c>
      <c r="D5" s="1004">
        <f>I51/H51</f>
        <v>600</v>
      </c>
      <c r="E5" s="196">
        <f t="shared" ref="E5:E20" si="0">$I$1</f>
        <v>12.628</v>
      </c>
      <c r="F5" s="126">
        <v>1</v>
      </c>
      <c r="G5" s="120">
        <f>D5*E5</f>
        <v>7576.8</v>
      </c>
      <c r="H5" s="119">
        <f>G5*F5</f>
        <v>7576.8</v>
      </c>
      <c r="I5" s="80">
        <f>VLOOKUP(B5,All_Ingredients!$A$1:$F$149,6,FALSE())</f>
        <v>1</v>
      </c>
      <c r="J5" s="118">
        <f>VLOOKUP(B5,All_Ingredients!$A$1:$J$149,10,FALSE())</f>
        <v>8.3333333333333321</v>
      </c>
      <c r="K5" s="121">
        <f>(H5/I5)/1000</f>
        <v>7.5768000000000004</v>
      </c>
      <c r="L5" s="121">
        <f>K5*J5</f>
        <v>63.139999999999993</v>
      </c>
      <c r="M5" s="99"/>
      <c r="N5" s="99"/>
      <c r="O5" s="99"/>
    </row>
    <row r="6" spans="1:30" ht="14.25" customHeight="1" x14ac:dyDescent="0.3">
      <c r="A6" s="127" t="s">
        <v>13</v>
      </c>
      <c r="B6" s="22" t="s">
        <v>12</v>
      </c>
      <c r="C6" s="123" t="s">
        <v>14</v>
      </c>
      <c r="D6" s="206">
        <v>202.12765957446808</v>
      </c>
      <c r="E6" s="196">
        <f t="shared" si="0"/>
        <v>12.628</v>
      </c>
      <c r="F6" s="126">
        <v>0.95</v>
      </c>
      <c r="G6" s="120">
        <f t="shared" ref="G6:G20" si="1">D6*E6</f>
        <v>2552.4680851063831</v>
      </c>
      <c r="H6" s="119">
        <f t="shared" ref="H6:H20" si="2">G6*F6</f>
        <v>2424.8446808510639</v>
      </c>
      <c r="I6" s="80">
        <f>VLOOKUP(B6,All_Ingredients!$A$1:$F$149,6,FALSE())</f>
        <v>0.9</v>
      </c>
      <c r="J6" s="118">
        <f>VLOOKUP(B6,All_Ingredients!$A$1:$J$149,10,FALSE())</f>
        <v>3</v>
      </c>
      <c r="K6" s="121">
        <f t="shared" ref="K6:K20" si="3">(H6/I6)/1000</f>
        <v>2.6942718676122932</v>
      </c>
      <c r="L6" s="121">
        <f t="shared" ref="L6:L20" si="4">K6*J6</f>
        <v>8.0828156028368792</v>
      </c>
    </row>
    <row r="7" spans="1:30" ht="14.25" customHeight="1" x14ac:dyDescent="0.3">
      <c r="A7" s="127" t="s">
        <v>13</v>
      </c>
      <c r="B7" s="22" t="s">
        <v>762</v>
      </c>
      <c r="C7" s="123" t="s">
        <v>14</v>
      </c>
      <c r="D7" s="206">
        <v>30.319148936170212</v>
      </c>
      <c r="E7" s="196">
        <f t="shared" si="0"/>
        <v>12.628</v>
      </c>
      <c r="F7" s="126">
        <v>0.95</v>
      </c>
      <c r="G7" s="120">
        <f t="shared" si="1"/>
        <v>382.87021276595743</v>
      </c>
      <c r="H7" s="119">
        <f t="shared" si="2"/>
        <v>363.72670212765956</v>
      </c>
      <c r="I7" s="80">
        <f>VLOOKUP(B7,All_Ingredients!$A$1:$F$149,6,FALSE())</f>
        <v>1</v>
      </c>
      <c r="J7" s="118">
        <f>VLOOKUP(B7,All_Ingredients!$A$1:$J$149,10,FALSE())</f>
        <v>10.5</v>
      </c>
      <c r="K7" s="121">
        <f t="shared" si="3"/>
        <v>0.36372670212765956</v>
      </c>
      <c r="L7" s="121">
        <f t="shared" si="4"/>
        <v>3.8191303723404255</v>
      </c>
    </row>
    <row r="8" spans="1:30" ht="14.25" customHeight="1" x14ac:dyDescent="0.3">
      <c r="A8" s="127" t="s">
        <v>192</v>
      </c>
      <c r="B8" s="22" t="s">
        <v>204</v>
      </c>
      <c r="C8" s="123" t="s">
        <v>14</v>
      </c>
      <c r="D8" s="206">
        <v>20.212765957446805</v>
      </c>
      <c r="E8" s="196">
        <f t="shared" si="0"/>
        <v>12.628</v>
      </c>
      <c r="F8" s="126">
        <v>1</v>
      </c>
      <c r="G8" s="120">
        <f t="shared" si="1"/>
        <v>255.24680851063826</v>
      </c>
      <c r="H8" s="119">
        <f t="shared" si="2"/>
        <v>255.24680851063826</v>
      </c>
      <c r="I8" s="80">
        <f>VLOOKUP(B8,All_Ingredients!$A$1:$F$149,6,FALSE())</f>
        <v>1</v>
      </c>
      <c r="J8" s="118">
        <f>VLOOKUP(B8,All_Ingredients!$A$1:$J$149,10,FALSE())</f>
        <v>11.243386243386244</v>
      </c>
      <c r="K8" s="121">
        <f t="shared" si="3"/>
        <v>0.25524680851063825</v>
      </c>
      <c r="L8" s="121">
        <f t="shared" si="4"/>
        <v>2.8698384554767529</v>
      </c>
    </row>
    <row r="9" spans="1:30" ht="14.25" customHeight="1" x14ac:dyDescent="0.3">
      <c r="A9" s="127" t="s">
        <v>192</v>
      </c>
      <c r="B9" s="22" t="s">
        <v>731</v>
      </c>
      <c r="C9" s="123" t="s">
        <v>14</v>
      </c>
      <c r="D9" s="206">
        <v>101.06382978723404</v>
      </c>
      <c r="E9" s="196">
        <f t="shared" si="0"/>
        <v>12.628</v>
      </c>
      <c r="F9" s="126">
        <v>1</v>
      </c>
      <c r="G9" s="120">
        <f t="shared" si="1"/>
        <v>1276.2340425531916</v>
      </c>
      <c r="H9" s="119">
        <f t="shared" si="2"/>
        <v>1276.2340425531916</v>
      </c>
      <c r="I9" s="80">
        <f>VLOOKUP(B9,All_Ingredients!$A$1:$F$149,6,FALSE())</f>
        <v>1</v>
      </c>
      <c r="J9" s="118">
        <f>VLOOKUP(B9,All_Ingredients!$A$1:$J$149,10,FALSE())</f>
        <v>8.1520833333333336</v>
      </c>
      <c r="K9" s="121">
        <f t="shared" si="3"/>
        <v>1.2762340425531915</v>
      </c>
      <c r="L9" s="121">
        <f t="shared" si="4"/>
        <v>10.403966267730496</v>
      </c>
    </row>
    <row r="10" spans="1:30" ht="14.25" customHeight="1" x14ac:dyDescent="0.3">
      <c r="A10" s="127" t="s">
        <v>215</v>
      </c>
      <c r="B10" s="22" t="s">
        <v>877</v>
      </c>
      <c r="C10" s="123" t="s">
        <v>14</v>
      </c>
      <c r="D10" s="206">
        <v>3.0319148936170208</v>
      </c>
      <c r="E10" s="196">
        <f t="shared" si="0"/>
        <v>12.628</v>
      </c>
      <c r="F10" s="126">
        <v>0.75</v>
      </c>
      <c r="G10" s="120">
        <f t="shared" si="1"/>
        <v>38.287021276595738</v>
      </c>
      <c r="H10" s="119">
        <f t="shared" si="2"/>
        <v>28.715265957446803</v>
      </c>
      <c r="I10" s="80">
        <f>VLOOKUP(B10,All_Ingredients!$A$1:$F$149,6,FALSE())</f>
        <v>1</v>
      </c>
      <c r="J10" s="118">
        <f>VLOOKUP(B10,All_Ingredients!$A$1:$J$149,10,FALSE())</f>
        <v>22.5</v>
      </c>
      <c r="K10" s="121">
        <f t="shared" si="3"/>
        <v>2.8715265957446803E-2</v>
      </c>
      <c r="L10" s="121">
        <f t="shared" si="4"/>
        <v>0.64609348404255307</v>
      </c>
    </row>
    <row r="11" spans="1:30" ht="14.25" customHeight="1" x14ac:dyDescent="0.3">
      <c r="A11" s="127" t="s">
        <v>206</v>
      </c>
      <c r="B11" s="22" t="s">
        <v>205</v>
      </c>
      <c r="C11" s="123" t="s">
        <v>161</v>
      </c>
      <c r="D11" s="206">
        <v>200</v>
      </c>
      <c r="E11" s="196">
        <f t="shared" si="0"/>
        <v>12.628</v>
      </c>
      <c r="F11" s="126">
        <v>1</v>
      </c>
      <c r="G11" s="120">
        <f t="shared" si="1"/>
        <v>2525.6</v>
      </c>
      <c r="H11" s="119">
        <f t="shared" si="2"/>
        <v>2525.6</v>
      </c>
      <c r="I11" s="80">
        <f>VLOOKUP(B11,All_Ingredients!$A$1:$F$149,6,FALSE())</f>
        <v>1</v>
      </c>
      <c r="J11" s="118">
        <f>VLOOKUP(B11,All_Ingredients!$A$1:$J$149,10,FALSE())</f>
        <v>0</v>
      </c>
      <c r="K11" s="121">
        <f t="shared" si="3"/>
        <v>2.5255999999999998</v>
      </c>
      <c r="L11" s="121">
        <f t="shared" si="4"/>
        <v>0</v>
      </c>
    </row>
    <row r="12" spans="1:30" ht="14.25" customHeight="1" x14ac:dyDescent="0.3">
      <c r="A12" s="127" t="s">
        <v>95</v>
      </c>
      <c r="B12" s="22" t="s">
        <v>100</v>
      </c>
      <c r="C12" s="123" t="s">
        <v>14</v>
      </c>
      <c r="D12" s="206">
        <v>2.0212765957446805</v>
      </c>
      <c r="E12" s="196">
        <f t="shared" si="0"/>
        <v>12.628</v>
      </c>
      <c r="F12" s="126">
        <v>1</v>
      </c>
      <c r="G12" s="120">
        <f t="shared" si="1"/>
        <v>25.524680851063827</v>
      </c>
      <c r="H12" s="119">
        <f t="shared" si="2"/>
        <v>25.524680851063827</v>
      </c>
      <c r="I12" s="80">
        <f>VLOOKUP(B12,All_Ingredients!$A$1:$F$149,6,FALSE())</f>
        <v>1</v>
      </c>
      <c r="J12" s="118">
        <f>VLOOKUP(B12,All_Ingredients!$A$1:$J$149,10,FALSE())</f>
        <v>31</v>
      </c>
      <c r="K12" s="121">
        <f t="shared" si="3"/>
        <v>2.5524680851063828E-2</v>
      </c>
      <c r="L12" s="121">
        <f t="shared" si="4"/>
        <v>0.79126510638297864</v>
      </c>
    </row>
    <row r="13" spans="1:30" ht="14.25" customHeight="1" x14ac:dyDescent="0.3">
      <c r="A13" s="127" t="s">
        <v>192</v>
      </c>
      <c r="B13" s="22" t="s">
        <v>202</v>
      </c>
      <c r="C13" s="123" t="s">
        <v>14</v>
      </c>
      <c r="D13" s="206">
        <v>25.26595744680851</v>
      </c>
      <c r="E13" s="196">
        <f t="shared" si="0"/>
        <v>12.628</v>
      </c>
      <c r="F13" s="126">
        <v>0.75</v>
      </c>
      <c r="G13" s="120">
        <f t="shared" si="1"/>
        <v>319.05851063829789</v>
      </c>
      <c r="H13" s="119">
        <f t="shared" si="2"/>
        <v>239.29388297872342</v>
      </c>
      <c r="I13" s="80">
        <f>VLOOKUP(B13,All_Ingredients!$A$1:$F$149,6,FALSE())</f>
        <v>1</v>
      </c>
      <c r="J13" s="118">
        <f>VLOOKUP(B13,All_Ingredients!$A$1:$J$149,10,FALSE())</f>
        <v>63.333333333333336</v>
      </c>
      <c r="K13" s="121">
        <f t="shared" si="3"/>
        <v>0.23929388297872342</v>
      </c>
      <c r="L13" s="121">
        <f t="shared" si="4"/>
        <v>15.155279255319151</v>
      </c>
    </row>
    <row r="14" spans="1:30" ht="14.25" customHeight="1" x14ac:dyDescent="0.3">
      <c r="A14" s="127" t="s">
        <v>154</v>
      </c>
      <c r="B14" s="22" t="s">
        <v>167</v>
      </c>
      <c r="C14" s="123" t="s">
        <v>161</v>
      </c>
      <c r="D14" s="206">
        <v>505.31914893617017</v>
      </c>
      <c r="E14" s="196">
        <f t="shared" si="0"/>
        <v>12.628</v>
      </c>
      <c r="F14" s="126">
        <v>1</v>
      </c>
      <c r="G14" s="120">
        <f t="shared" si="1"/>
        <v>6381.1702127659573</v>
      </c>
      <c r="H14" s="119">
        <f t="shared" si="2"/>
        <v>6381.1702127659573</v>
      </c>
      <c r="I14" s="80">
        <f>VLOOKUP(B14,All_Ingredients!$A$1:$F$149,6,FALSE())</f>
        <v>1</v>
      </c>
      <c r="J14" s="118">
        <f>VLOOKUP(B14,All_Ingredients!$A$1:$J$149,10,FALSE())</f>
        <v>12.666666666666666</v>
      </c>
      <c r="K14" s="121">
        <f t="shared" si="3"/>
        <v>6.3811702127659577</v>
      </c>
      <c r="L14" s="121">
        <f t="shared" si="4"/>
        <v>80.828156028368795</v>
      </c>
    </row>
    <row r="15" spans="1:30" ht="14.25" customHeight="1" x14ac:dyDescent="0.3">
      <c r="A15" s="127" t="s">
        <v>95</v>
      </c>
      <c r="B15" s="22" t="s">
        <v>140</v>
      </c>
      <c r="C15" s="123" t="s">
        <v>14</v>
      </c>
      <c r="D15" s="206">
        <v>8.0851063829787222</v>
      </c>
      <c r="E15" s="196">
        <f t="shared" si="0"/>
        <v>12.628</v>
      </c>
      <c r="F15" s="126">
        <v>1</v>
      </c>
      <c r="G15" s="120">
        <f t="shared" si="1"/>
        <v>102.09872340425531</v>
      </c>
      <c r="H15" s="119">
        <f t="shared" si="2"/>
        <v>102.09872340425531</v>
      </c>
      <c r="I15" s="80">
        <f>VLOOKUP(B15,All_Ingredients!$A$1:$F$149,6,FALSE())</f>
        <v>1</v>
      </c>
      <c r="J15" s="118">
        <f>VLOOKUP(B15,All_Ingredients!$A$1:$J$149,10,FALSE())</f>
        <v>15.277777777777779</v>
      </c>
      <c r="K15" s="121">
        <f t="shared" si="3"/>
        <v>0.10209872340425531</v>
      </c>
      <c r="L15" s="121">
        <f t="shared" si="4"/>
        <v>1.5598416075650119</v>
      </c>
    </row>
    <row r="16" spans="1:30" ht="14.25" customHeight="1" x14ac:dyDescent="0.3">
      <c r="A16" s="127" t="s">
        <v>95</v>
      </c>
      <c r="B16" s="22" t="s">
        <v>94</v>
      </c>
      <c r="C16" s="123" t="s">
        <v>14</v>
      </c>
      <c r="D16" s="206">
        <v>5.0531914893617014</v>
      </c>
      <c r="E16" s="196">
        <f t="shared" si="0"/>
        <v>12.628</v>
      </c>
      <c r="F16" s="126">
        <v>1</v>
      </c>
      <c r="G16" s="120">
        <f t="shared" si="1"/>
        <v>63.811702127659565</v>
      </c>
      <c r="H16" s="119">
        <f t="shared" si="2"/>
        <v>63.811702127659565</v>
      </c>
      <c r="I16" s="80">
        <f>VLOOKUP(B16,All_Ingredients!$A$1:$F$149,6,FALSE())</f>
        <v>1</v>
      </c>
      <c r="J16" s="118">
        <f>VLOOKUP(B16,All_Ingredients!$A$1:$J$149,10,FALSE())</f>
        <v>0.74</v>
      </c>
      <c r="K16" s="121">
        <f t="shared" si="3"/>
        <v>6.3811702127659561E-2</v>
      </c>
      <c r="L16" s="121">
        <f t="shared" si="4"/>
        <v>4.7220659574468075E-2</v>
      </c>
    </row>
    <row r="17" spans="1:29" ht="14.25" customHeight="1" x14ac:dyDescent="0.3">
      <c r="A17" s="127" t="s">
        <v>188</v>
      </c>
      <c r="B17" s="22" t="s">
        <v>189</v>
      </c>
      <c r="C17" s="123" t="s">
        <v>14</v>
      </c>
      <c r="D17" s="206">
        <v>70.744680851063819</v>
      </c>
      <c r="E17" s="196">
        <f t="shared" si="0"/>
        <v>12.628</v>
      </c>
      <c r="F17" s="126">
        <v>0.75</v>
      </c>
      <c r="G17" s="120">
        <f t="shared" si="1"/>
        <v>893.36382978723395</v>
      </c>
      <c r="H17" s="119">
        <f t="shared" si="2"/>
        <v>670.02287234042547</v>
      </c>
      <c r="I17" s="80">
        <f>VLOOKUP(B17,All_Ingredients!$A$1:$F$149,6,FALSE())</f>
        <v>0.9</v>
      </c>
      <c r="J17" s="118">
        <f>VLOOKUP(B17,All_Ingredients!$A$1:$J$149,10,FALSE())</f>
        <v>2.3199999999999998</v>
      </c>
      <c r="K17" s="121">
        <f t="shared" si="3"/>
        <v>0.74446985815602829</v>
      </c>
      <c r="L17" s="121">
        <f t="shared" si="4"/>
        <v>1.7271700709219855</v>
      </c>
    </row>
    <row r="18" spans="1:29" ht="14.25" customHeight="1" x14ac:dyDescent="0.3">
      <c r="A18" s="127" t="s">
        <v>13</v>
      </c>
      <c r="B18" s="22" t="s">
        <v>789</v>
      </c>
      <c r="C18" s="123" t="s">
        <v>14</v>
      </c>
      <c r="D18" s="206">
        <v>101.06382978723404</v>
      </c>
      <c r="E18" s="196">
        <f t="shared" si="0"/>
        <v>12.628</v>
      </c>
      <c r="F18" s="126">
        <v>1</v>
      </c>
      <c r="G18" s="120">
        <f t="shared" si="1"/>
        <v>1276.2340425531916</v>
      </c>
      <c r="H18" s="119">
        <f t="shared" si="2"/>
        <v>1276.2340425531916</v>
      </c>
      <c r="I18" s="80">
        <f>VLOOKUP(B18,All_Ingredients!$A$1:$F$149,6,FALSE())</f>
        <v>1</v>
      </c>
      <c r="J18" s="118">
        <f>VLOOKUP(B18,All_Ingredients!$A$1:$J$149,10,FALSE())</f>
        <v>22</v>
      </c>
      <c r="K18" s="121">
        <f t="shared" si="3"/>
        <v>1.2762340425531915</v>
      </c>
      <c r="L18" s="121">
        <f t="shared" si="4"/>
        <v>28.077148936170214</v>
      </c>
    </row>
    <row r="19" spans="1:29" ht="14.25" customHeight="1" x14ac:dyDescent="0.3">
      <c r="A19" s="127" t="s">
        <v>154</v>
      </c>
      <c r="B19" s="221" t="s">
        <v>153</v>
      </c>
      <c r="C19" s="123" t="s">
        <v>14</v>
      </c>
      <c r="D19" s="206">
        <v>20.212765957446805</v>
      </c>
      <c r="E19" s="196">
        <f t="shared" si="0"/>
        <v>12.628</v>
      </c>
      <c r="F19" s="126">
        <v>1</v>
      </c>
      <c r="G19" s="120">
        <f t="shared" si="1"/>
        <v>255.24680851063826</v>
      </c>
      <c r="H19" s="119">
        <f t="shared" si="2"/>
        <v>255.24680851063826</v>
      </c>
      <c r="I19" s="80">
        <f>VLOOKUP(B19,All_Ingredients!$A$1:$F$149,6,FALSE())</f>
        <v>1</v>
      </c>
      <c r="J19" s="118">
        <f>VLOOKUP(B19,All_Ingredients!$A$1:$J$149,10,FALSE())</f>
        <v>30</v>
      </c>
      <c r="K19" s="121">
        <f t="shared" si="3"/>
        <v>0.25524680851063825</v>
      </c>
      <c r="L19" s="121">
        <f t="shared" si="4"/>
        <v>7.6574042553191477</v>
      </c>
    </row>
    <row r="20" spans="1:29" ht="14.25" customHeight="1" x14ac:dyDescent="0.3">
      <c r="A20" s="127" t="s">
        <v>192</v>
      </c>
      <c r="B20" s="221" t="s">
        <v>194</v>
      </c>
      <c r="C20" s="123" t="s">
        <v>161</v>
      </c>
      <c r="D20" s="206">
        <v>15.159574468085106</v>
      </c>
      <c r="E20" s="196">
        <f t="shared" si="0"/>
        <v>12.628</v>
      </c>
      <c r="F20" s="126">
        <v>0.9</v>
      </c>
      <c r="G20" s="120">
        <f t="shared" si="1"/>
        <v>191.43510638297872</v>
      </c>
      <c r="H20" s="119">
        <f t="shared" si="2"/>
        <v>172.29159574468085</v>
      </c>
      <c r="I20" s="80">
        <f>VLOOKUP(B20,All_Ingredients!$A$1:$F$149,6,FALSE())</f>
        <v>1</v>
      </c>
      <c r="J20" s="118">
        <f>VLOOKUP(B20,All_Ingredients!$A$1:$J$149,10,FALSE())</f>
        <v>58.685446009389672</v>
      </c>
      <c r="K20" s="121">
        <f t="shared" si="3"/>
        <v>0.17229159574468084</v>
      </c>
      <c r="L20" s="121">
        <f t="shared" si="4"/>
        <v>10.111009139946059</v>
      </c>
    </row>
    <row r="21" spans="1:29" ht="14.25" customHeight="1" x14ac:dyDescent="0.3">
      <c r="B21" s="99"/>
      <c r="C21" s="170"/>
      <c r="D21" s="170"/>
      <c r="E21" s="99"/>
      <c r="F21" s="99"/>
      <c r="G21" s="170"/>
      <c r="L21" s="296"/>
    </row>
    <row r="22" spans="1:29" ht="14.25" customHeight="1" x14ac:dyDescent="0.3"/>
    <row r="23" spans="1:29" ht="14.25" customHeight="1" x14ac:dyDescent="0.3"/>
    <row r="24" spans="1:29" ht="14.25" customHeight="1" x14ac:dyDescent="0.3">
      <c r="Z24" s="1208"/>
    </row>
    <row r="25" spans="1:29" ht="14.25" customHeight="1" x14ac:dyDescent="0.3">
      <c r="R25" s="1467" t="s">
        <v>418</v>
      </c>
      <c r="S25" s="1444"/>
      <c r="T25" s="1444"/>
      <c r="U25" s="1444"/>
      <c r="Z25" s="140" t="s">
        <v>256</v>
      </c>
      <c r="AA25" s="141">
        <v>1</v>
      </c>
      <c r="AB25" s="140" t="s">
        <v>253</v>
      </c>
      <c r="AC25" s="142">
        <f>AC30*AA25</f>
        <v>7.4411257282861864E-3</v>
      </c>
    </row>
    <row r="26" spans="1:29" ht="14.25" customHeight="1" x14ac:dyDescent="0.3">
      <c r="R26" s="1467" t="s">
        <v>419</v>
      </c>
      <c r="S26" s="1444"/>
      <c r="T26" s="1444"/>
      <c r="U26" s="1444"/>
    </row>
    <row r="27" spans="1:29" ht="14.25" customHeight="1" x14ac:dyDescent="0.3">
      <c r="R27" s="144" t="s">
        <v>258</v>
      </c>
      <c r="S27" s="145" t="s">
        <v>356</v>
      </c>
      <c r="T27" s="145" t="s">
        <v>260</v>
      </c>
      <c r="U27" s="145" t="s">
        <v>261</v>
      </c>
      <c r="Z27" s="140" t="s">
        <v>262</v>
      </c>
      <c r="AA27" s="146" t="s">
        <v>356</v>
      </c>
      <c r="AB27" s="146" t="s">
        <v>264</v>
      </c>
      <c r="AC27" s="146" t="s">
        <v>266</v>
      </c>
    </row>
    <row r="28" spans="1:29" ht="14.25" customHeight="1" x14ac:dyDescent="0.3">
      <c r="B28" s="178"/>
      <c r="D28" s="388"/>
      <c r="E28" s="99"/>
      <c r="F28" s="99"/>
      <c r="R28" s="147" t="s">
        <v>267</v>
      </c>
      <c r="S28" s="754">
        <f>U28*S40</f>
        <v>18942</v>
      </c>
      <c r="T28" s="754">
        <f>U28*U40</f>
        <v>12628</v>
      </c>
      <c r="U28" s="760">
        <f>$Z$1</f>
        <v>31570</v>
      </c>
      <c r="Z28" s="150"/>
      <c r="AA28" s="151">
        <f>AA25*$S$40</f>
        <v>0.6</v>
      </c>
      <c r="AB28" s="151">
        <f>AA25*$U$40</f>
        <v>0.4</v>
      </c>
      <c r="AC28" s="153">
        <f>SUM(AA28:AB28)</f>
        <v>1</v>
      </c>
    </row>
    <row r="29" spans="1:29" ht="22.25" customHeight="1" x14ac:dyDescent="0.3">
      <c r="B29" s="178"/>
      <c r="D29" s="388"/>
      <c r="E29" s="99"/>
      <c r="F29" s="99"/>
      <c r="R29" s="147" t="s">
        <v>268</v>
      </c>
      <c r="S29" s="756"/>
      <c r="T29" s="754"/>
      <c r="U29" s="148">
        <f>T29</f>
        <v>0</v>
      </c>
      <c r="Z29" s="150"/>
      <c r="AA29" s="155">
        <f>AA28/$AC$28</f>
        <v>0.6</v>
      </c>
      <c r="AB29" s="155">
        <f>AB28/$AC$28</f>
        <v>0.4</v>
      </c>
      <c r="AC29" s="155">
        <f>AC28/$AC$28</f>
        <v>1</v>
      </c>
    </row>
    <row r="30" spans="1:29" ht="21" customHeight="1" x14ac:dyDescent="0.3">
      <c r="B30" s="178"/>
      <c r="D30" s="388"/>
      <c r="E30" s="99"/>
      <c r="F30" s="99"/>
      <c r="R30" s="147" t="s">
        <v>269</v>
      </c>
      <c r="S30" s="1320">
        <f>U30*S40</f>
        <v>0</v>
      </c>
      <c r="T30" s="1342">
        <f>U30*U40</f>
        <v>0</v>
      </c>
      <c r="U30" s="760">
        <f>$AB$1</f>
        <v>0</v>
      </c>
      <c r="Z30" s="140" t="s">
        <v>270</v>
      </c>
      <c r="AA30" s="156">
        <f>S35/(S28)</f>
        <v>3.3333333333333331E-3</v>
      </c>
      <c r="AB30" s="157">
        <f>T35/T32</f>
        <v>1.3602814320715464E-2</v>
      </c>
      <c r="AC30" s="158">
        <f>SUMPRODUCT(AA30:AB30,AA29:AB29)</f>
        <v>7.4411257282861864E-3</v>
      </c>
    </row>
    <row r="31" spans="1:29" ht="14.25" customHeight="1" x14ac:dyDescent="0.3">
      <c r="B31" s="178"/>
      <c r="D31" s="388"/>
      <c r="E31" s="99"/>
      <c r="F31" s="99"/>
      <c r="R31" s="147" t="s">
        <v>271</v>
      </c>
      <c r="S31" s="154"/>
      <c r="T31" s="148"/>
      <c r="U31" s="148"/>
    </row>
    <row r="32" spans="1:29" ht="14.25" customHeight="1" x14ac:dyDescent="0.3">
      <c r="B32" s="178"/>
      <c r="D32" s="388"/>
      <c r="E32" s="99"/>
      <c r="F32" s="99"/>
      <c r="R32" s="159" t="s">
        <v>261</v>
      </c>
      <c r="S32" s="148">
        <f>SUM(S28:S30)</f>
        <v>18942</v>
      </c>
      <c r="T32" s="148">
        <f>SUM(T28:T30)</f>
        <v>12628</v>
      </c>
      <c r="U32" s="148">
        <f>SUM(U28:U30)</f>
        <v>31570</v>
      </c>
    </row>
    <row r="33" spans="2:23" ht="14.25" customHeight="1" x14ac:dyDescent="0.3">
      <c r="B33" s="99"/>
      <c r="E33" s="99"/>
      <c r="F33" s="99"/>
      <c r="R33" s="160" t="s">
        <v>272</v>
      </c>
      <c r="S33" s="154"/>
      <c r="T33" s="154"/>
      <c r="U33" s="154"/>
    </row>
    <row r="34" spans="2:23" ht="14.25" customHeight="1" x14ac:dyDescent="0.3">
      <c r="B34" s="99"/>
      <c r="E34" s="99"/>
      <c r="F34" s="99"/>
      <c r="R34" s="161" t="s">
        <v>273</v>
      </c>
      <c r="S34" s="154"/>
      <c r="T34" s="148"/>
      <c r="U34" s="154"/>
    </row>
    <row r="35" spans="2:23" ht="14.25" customHeight="1" x14ac:dyDescent="0.3">
      <c r="R35" s="162" t="s">
        <v>253</v>
      </c>
      <c r="S35" s="1125">
        <f>$L$5</f>
        <v>63.139999999999993</v>
      </c>
      <c r="T35" s="1125">
        <f>SUM(L6:L20)</f>
        <v>171.77633924199489</v>
      </c>
      <c r="U35" s="1125">
        <f>S35+T35</f>
        <v>234.91633924199488</v>
      </c>
    </row>
    <row r="40" spans="2:23" ht="52" x14ac:dyDescent="0.3">
      <c r="R40" s="164" t="s">
        <v>274</v>
      </c>
      <c r="S40" s="165">
        <v>0.6</v>
      </c>
      <c r="T40" s="164" t="s">
        <v>275</v>
      </c>
      <c r="U40" s="166">
        <v>0.4</v>
      </c>
      <c r="V40" s="167">
        <f>S40+U40</f>
        <v>1</v>
      </c>
    </row>
    <row r="41" spans="2:23" x14ac:dyDescent="0.3">
      <c r="U41" s="168"/>
    </row>
    <row r="43" spans="2:23" x14ac:dyDescent="0.3">
      <c r="Q43" s="169" t="s">
        <v>276</v>
      </c>
      <c r="R43" s="169" t="s">
        <v>277</v>
      </c>
      <c r="S43" s="169" t="s">
        <v>278</v>
      </c>
      <c r="T43" s="169" t="s">
        <v>279</v>
      </c>
      <c r="U43" s="169" t="s">
        <v>280</v>
      </c>
      <c r="V43" s="169" t="s">
        <v>281</v>
      </c>
      <c r="W43" s="257" t="s">
        <v>527</v>
      </c>
    </row>
    <row r="44" spans="2:23" ht="15" customHeight="1" x14ac:dyDescent="0.3">
      <c r="Q44" s="548">
        <v>25000</v>
      </c>
      <c r="R44" s="172">
        <f>D51</f>
        <v>10000</v>
      </c>
      <c r="S44" s="173">
        <v>1</v>
      </c>
      <c r="T44" s="173">
        <v>0</v>
      </c>
      <c r="U44" s="241">
        <f>R44*S44</f>
        <v>10000</v>
      </c>
      <c r="V44" s="175">
        <f>R44*T44</f>
        <v>0</v>
      </c>
      <c r="W44" s="646">
        <f>Q44-U44</f>
        <v>15000</v>
      </c>
    </row>
    <row r="50" spans="1:10" ht="14" customHeight="1" x14ac:dyDescent="0.3">
      <c r="B50" s="144"/>
      <c r="C50" s="144" t="s">
        <v>237</v>
      </c>
      <c r="D50" s="144" t="s">
        <v>283</v>
      </c>
      <c r="E50" s="99"/>
      <c r="F50" s="99"/>
      <c r="G50" s="144" t="s">
        <v>284</v>
      </c>
      <c r="H50" s="144" t="s">
        <v>237</v>
      </c>
      <c r="I50" s="144" t="s">
        <v>526</v>
      </c>
      <c r="J50" s="144" t="s">
        <v>525</v>
      </c>
    </row>
    <row r="51" spans="1:10" x14ac:dyDescent="0.3">
      <c r="B51" s="179" t="s">
        <v>287</v>
      </c>
      <c r="C51" s="180">
        <f>10/$K$1</f>
        <v>10</v>
      </c>
      <c r="D51" s="181">
        <f>$C$1*10</f>
        <v>10000</v>
      </c>
      <c r="E51" s="99"/>
      <c r="F51" s="99"/>
      <c r="G51" s="179" t="s">
        <v>287</v>
      </c>
      <c r="H51" s="276">
        <v>10</v>
      </c>
      <c r="I51" s="180">
        <f>J51/$R$1</f>
        <v>6000</v>
      </c>
      <c r="J51" s="180">
        <f>$W$44</f>
        <v>15000</v>
      </c>
    </row>
    <row r="52" spans="1:10" x14ac:dyDescent="0.3">
      <c r="B52" s="144" t="s">
        <v>266</v>
      </c>
      <c r="C52" s="183">
        <f>I1</f>
        <v>12.628</v>
      </c>
      <c r="D52" s="184">
        <f>E1</f>
        <v>12628</v>
      </c>
      <c r="E52" s="99"/>
      <c r="F52" s="99"/>
      <c r="G52" s="147" t="s">
        <v>266</v>
      </c>
      <c r="H52" s="209">
        <f>I52/$D$5</f>
        <v>12.628</v>
      </c>
      <c r="I52" s="175">
        <f>J52/$R$1</f>
        <v>7576.8</v>
      </c>
      <c r="J52" s="183">
        <f>$S$32</f>
        <v>18942</v>
      </c>
    </row>
    <row r="53" spans="1:10" x14ac:dyDescent="0.3">
      <c r="B53" s="144" t="s">
        <v>288</v>
      </c>
      <c r="C53" s="424">
        <f>MIN($C$52, C51)</f>
        <v>10</v>
      </c>
      <c r="D53" s="184">
        <f>(C53*$K$1)*$C$1</f>
        <v>10000</v>
      </c>
      <c r="E53" s="99"/>
      <c r="F53" s="99"/>
      <c r="G53" s="147" t="s">
        <v>288</v>
      </c>
      <c r="H53" s="186">
        <f>MIN(H52,H51)</f>
        <v>10</v>
      </c>
      <c r="I53" s="175">
        <f>J53/$R$1</f>
        <v>6000</v>
      </c>
      <c r="J53" s="175">
        <f>MIN(J52,J51)</f>
        <v>15000</v>
      </c>
    </row>
    <row r="54" spans="1:10" ht="18" customHeight="1" x14ac:dyDescent="0.3">
      <c r="B54" s="144"/>
      <c r="C54" s="185">
        <f>MIN(MAX($C$52-C53,0),C51)</f>
        <v>2.6280000000000001</v>
      </c>
      <c r="D54" s="184">
        <f>(C54*$K$1)*$C$1</f>
        <v>2628</v>
      </c>
      <c r="E54" s="99"/>
      <c r="F54" s="99"/>
      <c r="G54" s="147" t="s">
        <v>289</v>
      </c>
      <c r="H54" s="186">
        <f>MIN(MAX(H52-H53),H51)</f>
        <v>2.6280000000000001</v>
      </c>
      <c r="I54" s="175">
        <f>J54/$R$1</f>
        <v>1576.8</v>
      </c>
      <c r="J54" s="175">
        <f>MIN(MAX(J52-J53),J51)</f>
        <v>3942</v>
      </c>
    </row>
    <row r="55" spans="1:10" x14ac:dyDescent="0.3">
      <c r="B55" s="144"/>
      <c r="C55" s="185">
        <f>MIN(MAX($C$52-C53-C54,0),C51)</f>
        <v>0</v>
      </c>
      <c r="D55" s="184">
        <f>(C55*$K$1)*$C$1</f>
        <v>0</v>
      </c>
      <c r="E55" s="99"/>
      <c r="F55" s="99"/>
      <c r="G55" s="144" t="s">
        <v>290</v>
      </c>
      <c r="H55" s="186">
        <f>MIN(MAX(H52-H53-H54),H51)</f>
        <v>0</v>
      </c>
      <c r="I55" s="175">
        <f>J55/$R$1</f>
        <v>0</v>
      </c>
      <c r="J55" s="175">
        <f>MIN(MAX(J52-J53-J54),J51)</f>
        <v>0</v>
      </c>
    </row>
    <row r="62" spans="1:10" ht="17.75" customHeight="1" x14ac:dyDescent="0.3">
      <c r="A62" s="922"/>
      <c r="B62" s="1438" t="str">
        <f>"ستروغانوف باستا  1 / " &amp; COUNTIF($C$53:$C$55, "&gt;0")</f>
        <v>ستروغانوف باستا  1 / 2</v>
      </c>
      <c r="C62" s="1439"/>
      <c r="D62" s="1439"/>
      <c r="E62" s="1439"/>
      <c r="F62" s="1439"/>
      <c r="G62" s="1439"/>
      <c r="H62" s="1439"/>
    </row>
    <row r="63" spans="1:10" ht="18" customHeight="1" x14ac:dyDescent="0.3">
      <c r="A63" s="922"/>
      <c r="B63" s="1436" t="str">
        <f>"Stroganoff sauce for pasta  1 / " &amp; COUNTIF($C$53:$C$55, "&gt;0")</f>
        <v>Stroganoff sauce for pasta  1 / 2</v>
      </c>
      <c r="C63" s="1437"/>
      <c r="D63" s="1437"/>
      <c r="E63" s="1437"/>
      <c r="F63" s="1437"/>
      <c r="G63" s="1437"/>
      <c r="H63" s="1437"/>
    </row>
    <row r="64" spans="1:10" ht="44.75" customHeight="1" x14ac:dyDescent="0.25">
      <c r="A64" s="90"/>
      <c r="B64" s="242" t="s">
        <v>245</v>
      </c>
      <c r="C64" s="243" t="s">
        <v>246</v>
      </c>
      <c r="D64" s="244" t="s">
        <v>235</v>
      </c>
      <c r="E64" s="217" t="s">
        <v>238</v>
      </c>
      <c r="F64" s="217" t="s">
        <v>247</v>
      </c>
      <c r="G64" s="244" t="s">
        <v>248</v>
      </c>
      <c r="H64" s="217" t="s">
        <v>249</v>
      </c>
    </row>
    <row r="65" spans="1:8" ht="14.25" customHeight="1" x14ac:dyDescent="0.3">
      <c r="A65" s="127" t="s">
        <v>13</v>
      </c>
      <c r="B65" s="322" t="str">
        <f t="shared" ref="B65:D80" si="5">B5</f>
        <v>Pasta fusilli - مكرونة مبرومة</v>
      </c>
      <c r="C65" s="322" t="str">
        <f t="shared" si="5"/>
        <v>gm</v>
      </c>
      <c r="D65" s="323">
        <f t="shared" si="5"/>
        <v>600</v>
      </c>
      <c r="E65" s="125">
        <f>H53</f>
        <v>10</v>
      </c>
      <c r="F65" s="126">
        <f t="shared" ref="F65:F80" si="6">F5</f>
        <v>1</v>
      </c>
      <c r="G65" s="118">
        <f>D65*E65</f>
        <v>6000</v>
      </c>
      <c r="H65" s="119">
        <f>G65*F65</f>
        <v>6000</v>
      </c>
    </row>
    <row r="66" spans="1:8" ht="14.25" customHeight="1" x14ac:dyDescent="0.3">
      <c r="A66" s="127" t="s">
        <v>13</v>
      </c>
      <c r="B66" s="322" t="str">
        <f t="shared" si="5"/>
        <v>Onion - بصل</v>
      </c>
      <c r="C66" s="322" t="str">
        <f t="shared" si="5"/>
        <v>gm</v>
      </c>
      <c r="D66" s="323">
        <f t="shared" si="5"/>
        <v>202.12765957446808</v>
      </c>
      <c r="E66" s="125">
        <f t="shared" ref="E66:E80" si="7">$C$53</f>
        <v>10</v>
      </c>
      <c r="F66" s="126">
        <f t="shared" si="6"/>
        <v>0.95</v>
      </c>
      <c r="G66" s="118">
        <f t="shared" ref="G66:G80" si="8">D66*E66</f>
        <v>2021.2765957446809</v>
      </c>
      <c r="H66" s="119">
        <f t="shared" ref="H66:H80" si="9">G66*F66</f>
        <v>1920.2127659574467</v>
      </c>
    </row>
    <row r="67" spans="1:8" ht="14.25" customHeight="1" x14ac:dyDescent="0.3">
      <c r="A67" s="127" t="s">
        <v>13</v>
      </c>
      <c r="B67" s="322" t="str">
        <f t="shared" si="5"/>
        <v>Garlic - ثوم مقشر</v>
      </c>
      <c r="C67" s="322" t="str">
        <f t="shared" si="5"/>
        <v>gm</v>
      </c>
      <c r="D67" s="323">
        <f t="shared" si="5"/>
        <v>30.319148936170212</v>
      </c>
      <c r="E67" s="125">
        <f t="shared" si="7"/>
        <v>10</v>
      </c>
      <c r="F67" s="126">
        <f t="shared" si="6"/>
        <v>0.95</v>
      </c>
      <c r="G67" s="118">
        <f t="shared" si="8"/>
        <v>303.19148936170211</v>
      </c>
      <c r="H67" s="119">
        <f t="shared" si="9"/>
        <v>288.031914893617</v>
      </c>
    </row>
    <row r="68" spans="1:8" ht="14.25" customHeight="1" x14ac:dyDescent="0.3">
      <c r="A68" s="127" t="s">
        <v>192</v>
      </c>
      <c r="B68" s="322" t="str">
        <f t="shared" si="5"/>
        <v>Mustard - خردل</v>
      </c>
      <c r="C68" s="322" t="str">
        <f t="shared" si="5"/>
        <v>gm</v>
      </c>
      <c r="D68" s="323">
        <f t="shared" si="5"/>
        <v>20.212765957446805</v>
      </c>
      <c r="E68" s="125">
        <f t="shared" si="7"/>
        <v>10</v>
      </c>
      <c r="F68" s="126">
        <f t="shared" si="6"/>
        <v>1</v>
      </c>
      <c r="G68" s="118">
        <f t="shared" si="8"/>
        <v>202.12765957446805</v>
      </c>
      <c r="H68" s="119">
        <f t="shared" si="9"/>
        <v>202.12765957446805</v>
      </c>
    </row>
    <row r="69" spans="1:8" ht="14" customHeight="1" x14ac:dyDescent="0.3">
      <c r="A69" s="127" t="s">
        <v>192</v>
      </c>
      <c r="B69" s="322" t="str">
        <f t="shared" si="5"/>
        <v>Tomato Paste - صلصة طماطم</v>
      </c>
      <c r="C69" s="322" t="str">
        <f t="shared" si="5"/>
        <v>gm</v>
      </c>
      <c r="D69" s="323">
        <f t="shared" si="5"/>
        <v>101.06382978723404</v>
      </c>
      <c r="E69" s="125">
        <f t="shared" si="7"/>
        <v>10</v>
      </c>
      <c r="F69" s="126">
        <f t="shared" si="6"/>
        <v>1</v>
      </c>
      <c r="G69" s="118">
        <f t="shared" si="8"/>
        <v>1010.6382978723404</v>
      </c>
      <c r="H69" s="119">
        <f t="shared" si="9"/>
        <v>1010.6382978723404</v>
      </c>
    </row>
    <row r="70" spans="1:8" ht="14" customHeight="1" x14ac:dyDescent="0.3">
      <c r="A70" s="127" t="s">
        <v>215</v>
      </c>
      <c r="B70" s="322" t="str">
        <f t="shared" si="5"/>
        <v>Saffron yellow color powder - لون صفار زعفران بودر</v>
      </c>
      <c r="C70" s="322" t="str">
        <f t="shared" si="5"/>
        <v>gm</v>
      </c>
      <c r="D70" s="323">
        <f t="shared" si="5"/>
        <v>3.0319148936170208</v>
      </c>
      <c r="E70" s="125">
        <f t="shared" si="7"/>
        <v>10</v>
      </c>
      <c r="F70" s="126">
        <f t="shared" si="6"/>
        <v>0.75</v>
      </c>
      <c r="G70" s="118">
        <f t="shared" si="8"/>
        <v>30.319148936170208</v>
      </c>
      <c r="H70" s="119">
        <f t="shared" si="9"/>
        <v>22.739361702127656</v>
      </c>
    </row>
    <row r="71" spans="1:8" ht="14.25" customHeight="1" x14ac:dyDescent="0.3">
      <c r="A71" s="127" t="s">
        <v>206</v>
      </c>
      <c r="B71" s="322" t="str">
        <f t="shared" si="5"/>
        <v>Water - ماء</v>
      </c>
      <c r="C71" s="322" t="str">
        <f t="shared" si="5"/>
        <v>ml</v>
      </c>
      <c r="D71" s="323">
        <f t="shared" si="5"/>
        <v>200</v>
      </c>
      <c r="E71" s="125">
        <f t="shared" si="7"/>
        <v>10</v>
      </c>
      <c r="F71" s="126">
        <f t="shared" si="6"/>
        <v>1</v>
      </c>
      <c r="G71" s="118">
        <f t="shared" si="8"/>
        <v>2000</v>
      </c>
      <c r="H71" s="119">
        <f t="shared" si="9"/>
        <v>2000</v>
      </c>
    </row>
    <row r="72" spans="1:8" ht="14.25" customHeight="1" x14ac:dyDescent="0.3">
      <c r="A72" s="127" t="s">
        <v>95</v>
      </c>
      <c r="B72" s="322" t="str">
        <f t="shared" si="5"/>
        <v>Black Pepper Powder - فلفل أسود مطحون</v>
      </c>
      <c r="C72" s="322" t="str">
        <f t="shared" si="5"/>
        <v>gm</v>
      </c>
      <c r="D72" s="323">
        <f t="shared" si="5"/>
        <v>2.0212765957446805</v>
      </c>
      <c r="E72" s="125">
        <f t="shared" si="7"/>
        <v>10</v>
      </c>
      <c r="F72" s="126">
        <f t="shared" si="6"/>
        <v>1</v>
      </c>
      <c r="G72" s="118">
        <f t="shared" si="8"/>
        <v>20.212765957446805</v>
      </c>
      <c r="H72" s="119">
        <f t="shared" si="9"/>
        <v>20.212765957446805</v>
      </c>
    </row>
    <row r="73" spans="1:8" ht="14.25" customHeight="1" x14ac:dyDescent="0.3">
      <c r="A73" s="127" t="s">
        <v>192</v>
      </c>
      <c r="B73" s="322" t="str">
        <f t="shared" si="5"/>
        <v>Demi Glaze Sauce - صوص ديمي غلاز</v>
      </c>
      <c r="C73" s="322" t="str">
        <f t="shared" si="5"/>
        <v>gm</v>
      </c>
      <c r="D73" s="323">
        <f t="shared" si="5"/>
        <v>25.26595744680851</v>
      </c>
      <c r="E73" s="125">
        <f t="shared" si="7"/>
        <v>10</v>
      </c>
      <c r="F73" s="126">
        <f t="shared" si="6"/>
        <v>0.75</v>
      </c>
      <c r="G73" s="118">
        <f t="shared" si="8"/>
        <v>252.65957446808511</v>
      </c>
      <c r="H73" s="119">
        <f t="shared" si="9"/>
        <v>189.49468085106383</v>
      </c>
    </row>
    <row r="74" spans="1:8" ht="14.25" customHeight="1" x14ac:dyDescent="0.3">
      <c r="A74" s="127" t="s">
        <v>154</v>
      </c>
      <c r="B74" s="322" t="str">
        <f t="shared" si="5"/>
        <v>Cooking Cream - كريمة طبخ</v>
      </c>
      <c r="C74" s="322" t="str">
        <f t="shared" si="5"/>
        <v>ml</v>
      </c>
      <c r="D74" s="323">
        <f t="shared" si="5"/>
        <v>505.31914893617017</v>
      </c>
      <c r="E74" s="125">
        <f t="shared" si="7"/>
        <v>10</v>
      </c>
      <c r="F74" s="126">
        <f t="shared" si="6"/>
        <v>1</v>
      </c>
      <c r="G74" s="118">
        <f t="shared" si="8"/>
        <v>5053.1914893617013</v>
      </c>
      <c r="H74" s="119">
        <f t="shared" si="9"/>
        <v>5053.1914893617013</v>
      </c>
    </row>
    <row r="75" spans="1:8" ht="14.25" customHeight="1" x14ac:dyDescent="0.3">
      <c r="A75" s="127" t="s">
        <v>95</v>
      </c>
      <c r="B75" s="322" t="str">
        <f t="shared" si="5"/>
        <v>Maggi Cubes - مكعبات ماجي</v>
      </c>
      <c r="C75" s="322" t="str">
        <f t="shared" si="5"/>
        <v>gm</v>
      </c>
      <c r="D75" s="323">
        <f t="shared" si="5"/>
        <v>8.0851063829787222</v>
      </c>
      <c r="E75" s="125">
        <f t="shared" si="7"/>
        <v>10</v>
      </c>
      <c r="F75" s="126">
        <f t="shared" si="6"/>
        <v>1</v>
      </c>
      <c r="G75" s="118">
        <f t="shared" si="8"/>
        <v>80.851063829787222</v>
      </c>
      <c r="H75" s="119">
        <f t="shared" si="9"/>
        <v>80.851063829787222</v>
      </c>
    </row>
    <row r="76" spans="1:8" ht="14.25" customHeight="1" x14ac:dyDescent="0.3">
      <c r="A76" s="127" t="s">
        <v>95</v>
      </c>
      <c r="B76" s="322" t="str">
        <f t="shared" si="5"/>
        <v>Salt - ملح</v>
      </c>
      <c r="C76" s="322" t="str">
        <f t="shared" si="5"/>
        <v>gm</v>
      </c>
      <c r="D76" s="323">
        <f t="shared" si="5"/>
        <v>5.0531914893617014</v>
      </c>
      <c r="E76" s="125">
        <f t="shared" si="7"/>
        <v>10</v>
      </c>
      <c r="F76" s="126">
        <f t="shared" si="6"/>
        <v>1</v>
      </c>
      <c r="G76" s="118">
        <f t="shared" si="8"/>
        <v>50.531914893617014</v>
      </c>
      <c r="H76" s="119">
        <f t="shared" si="9"/>
        <v>50.531914893617014</v>
      </c>
    </row>
    <row r="77" spans="1:8" ht="14.25" customHeight="1" x14ac:dyDescent="0.3">
      <c r="A77" s="127" t="s">
        <v>188</v>
      </c>
      <c r="B77" s="322" t="str">
        <f t="shared" si="5"/>
        <v>Corn Starch - نشا ذرة</v>
      </c>
      <c r="C77" s="322" t="str">
        <f t="shared" si="5"/>
        <v>gm</v>
      </c>
      <c r="D77" s="323">
        <f t="shared" si="5"/>
        <v>70.744680851063819</v>
      </c>
      <c r="E77" s="125">
        <f t="shared" si="7"/>
        <v>10</v>
      </c>
      <c r="F77" s="126">
        <f t="shared" si="6"/>
        <v>0.75</v>
      </c>
      <c r="G77" s="118">
        <f t="shared" si="8"/>
        <v>707.44680851063822</v>
      </c>
      <c r="H77" s="119">
        <f t="shared" si="9"/>
        <v>530.58510638297867</v>
      </c>
    </row>
    <row r="78" spans="1:8" ht="14.25" customHeight="1" x14ac:dyDescent="0.3">
      <c r="A78" s="127" t="s">
        <v>13</v>
      </c>
      <c r="B78" s="322" t="str">
        <f t="shared" si="5"/>
        <v>Mushroom - مشروم ابيض</v>
      </c>
      <c r="C78" s="322" t="str">
        <f t="shared" si="5"/>
        <v>gm</v>
      </c>
      <c r="D78" s="323">
        <f t="shared" si="5"/>
        <v>101.06382978723404</v>
      </c>
      <c r="E78" s="125">
        <f t="shared" si="7"/>
        <v>10</v>
      </c>
      <c r="F78" s="126">
        <f t="shared" si="6"/>
        <v>1</v>
      </c>
      <c r="G78" s="118">
        <f t="shared" si="8"/>
        <v>1010.6382978723404</v>
      </c>
      <c r="H78" s="119">
        <f t="shared" si="9"/>
        <v>1010.6382978723404</v>
      </c>
    </row>
    <row r="79" spans="1:8" ht="14.25" customHeight="1" x14ac:dyDescent="0.3">
      <c r="A79" s="127" t="s">
        <v>154</v>
      </c>
      <c r="B79" s="322" t="str">
        <f t="shared" si="5"/>
        <v>Butter - زبدة</v>
      </c>
      <c r="C79" s="322" t="str">
        <f t="shared" si="5"/>
        <v>gm</v>
      </c>
      <c r="D79" s="323">
        <f t="shared" si="5"/>
        <v>20.212765957446805</v>
      </c>
      <c r="E79" s="125">
        <f t="shared" si="7"/>
        <v>10</v>
      </c>
      <c r="F79" s="126">
        <f t="shared" si="6"/>
        <v>1</v>
      </c>
      <c r="G79" s="118">
        <f t="shared" si="8"/>
        <v>202.12765957446805</v>
      </c>
      <c r="H79" s="119">
        <f t="shared" si="9"/>
        <v>202.12765957446805</v>
      </c>
    </row>
    <row r="80" spans="1:8" ht="20.25" customHeight="1" x14ac:dyDescent="0.3">
      <c r="A80" s="127" t="s">
        <v>192</v>
      </c>
      <c r="B80" s="322" t="str">
        <f t="shared" si="5"/>
        <v>Sriracha Sauce - صوص سريراتشا</v>
      </c>
      <c r="C80" s="322" t="str">
        <f t="shared" si="5"/>
        <v>ml</v>
      </c>
      <c r="D80" s="323">
        <f t="shared" si="5"/>
        <v>15.159574468085106</v>
      </c>
      <c r="E80" s="125">
        <f t="shared" si="7"/>
        <v>10</v>
      </c>
      <c r="F80" s="126">
        <f t="shared" si="6"/>
        <v>0.9</v>
      </c>
      <c r="G80" s="118">
        <f t="shared" si="8"/>
        <v>151.59574468085106</v>
      </c>
      <c r="H80" s="119">
        <f t="shared" si="9"/>
        <v>136.43617021276594</v>
      </c>
    </row>
    <row r="81" spans="1:8" ht="14.25" customHeight="1" x14ac:dyDescent="0.3">
      <c r="B81" s="197" t="s">
        <v>356</v>
      </c>
      <c r="C81" s="199" t="s">
        <v>277</v>
      </c>
      <c r="E81" s="199" t="s">
        <v>292</v>
      </c>
      <c r="G81" s="878" t="s">
        <v>268</v>
      </c>
      <c r="H81" s="878" t="s">
        <v>714</v>
      </c>
    </row>
    <row r="82" spans="1:8" ht="28.5" customHeight="1" x14ac:dyDescent="0.4">
      <c r="B82" s="198">
        <f>$J$53</f>
        <v>15000</v>
      </c>
      <c r="C82" s="198">
        <f>E82+G82</f>
        <v>10000</v>
      </c>
      <c r="D82" s="915"/>
      <c r="E82" s="198">
        <f>$D$53*$S$44</f>
        <v>10000</v>
      </c>
      <c r="F82" s="919"/>
      <c r="G82" s="198">
        <f>$D$53*$T$44</f>
        <v>0</v>
      </c>
      <c r="H82" s="198">
        <f>B82+E82</f>
        <v>25000</v>
      </c>
    </row>
    <row r="83" spans="1:8" ht="14.25" customHeight="1" x14ac:dyDescent="0.3">
      <c r="B83" s="99"/>
      <c r="E83" s="99"/>
      <c r="F83" s="99"/>
    </row>
    <row r="84" spans="1:8" ht="14.25" customHeight="1" x14ac:dyDescent="0.3">
      <c r="B84" s="99"/>
      <c r="C84" s="99"/>
      <c r="D84" s="99"/>
      <c r="E84" s="99"/>
      <c r="F84" s="99"/>
      <c r="G84" s="99"/>
      <c r="H84" s="99"/>
    </row>
    <row r="85" spans="1:8" ht="14.25" customHeight="1" x14ac:dyDescent="0.3">
      <c r="B85" s="99"/>
      <c r="C85" s="99"/>
      <c r="D85" s="99"/>
      <c r="E85" s="99"/>
      <c r="F85" s="99"/>
      <c r="G85" s="99"/>
      <c r="H85" s="99"/>
    </row>
    <row r="86" spans="1:8" ht="17.75" customHeight="1" x14ac:dyDescent="0.3">
      <c r="B86" s="99"/>
      <c r="C86" s="99"/>
      <c r="D86" s="99"/>
      <c r="E86" s="99"/>
      <c r="F86" s="99"/>
      <c r="G86" s="99"/>
      <c r="H86" s="99"/>
    </row>
    <row r="87" spans="1:8" ht="18" customHeight="1" x14ac:dyDescent="0.3">
      <c r="A87" s="922"/>
      <c r="B87" s="1438" t="str">
        <f>"ستروغانوف باستا  2 / " &amp; COUNTIF($C$53:$C$55, "&gt;0")</f>
        <v>ستروغانوف باستا  2 / 2</v>
      </c>
      <c r="C87" s="1439"/>
      <c r="D87" s="1439"/>
      <c r="E87" s="1439"/>
      <c r="F87" s="1439"/>
      <c r="G87" s="1439"/>
      <c r="H87" s="1439"/>
    </row>
    <row r="88" spans="1:8" ht="25.5" customHeight="1" x14ac:dyDescent="0.3">
      <c r="A88" s="922"/>
      <c r="B88" s="1436" t="str">
        <f>"Stroganoff sauce for pasta  2 / " &amp; COUNTIF($C$53:$C$55, "&gt;0")</f>
        <v>Stroganoff sauce for pasta  2 / 2</v>
      </c>
      <c r="C88" s="1437"/>
      <c r="D88" s="1437"/>
      <c r="E88" s="1437"/>
      <c r="F88" s="1437"/>
      <c r="G88" s="1437"/>
      <c r="H88" s="1437"/>
    </row>
    <row r="89" spans="1:8" ht="43.5" customHeight="1" x14ac:dyDescent="0.25">
      <c r="A89" s="90"/>
      <c r="B89" s="242" t="s">
        <v>245</v>
      </c>
      <c r="C89" s="243" t="s">
        <v>246</v>
      </c>
      <c r="D89" s="244" t="s">
        <v>235</v>
      </c>
      <c r="E89" s="217" t="s">
        <v>238</v>
      </c>
      <c r="F89" s="217" t="s">
        <v>247</v>
      </c>
      <c r="G89" s="244" t="s">
        <v>248</v>
      </c>
      <c r="H89" s="217" t="s">
        <v>249</v>
      </c>
    </row>
    <row r="90" spans="1:8" ht="14.25" customHeight="1" x14ac:dyDescent="0.3">
      <c r="A90" s="127" t="s">
        <v>13</v>
      </c>
      <c r="B90" s="322" t="str">
        <f t="shared" ref="B90:D105" si="10">B5</f>
        <v>Pasta fusilli - مكرونة مبرومة</v>
      </c>
      <c r="C90" s="322" t="str">
        <f t="shared" si="10"/>
        <v>gm</v>
      </c>
      <c r="D90" s="323">
        <f t="shared" si="10"/>
        <v>600</v>
      </c>
      <c r="E90" s="125">
        <f>H54</f>
        <v>2.6280000000000001</v>
      </c>
      <c r="F90" s="126">
        <f t="shared" ref="F90:F105" si="11">F5</f>
        <v>1</v>
      </c>
      <c r="G90" s="118">
        <f>D90*E90</f>
        <v>1576.8000000000002</v>
      </c>
      <c r="H90" s="119">
        <f>G90*F90</f>
        <v>1576.8000000000002</v>
      </c>
    </row>
    <row r="91" spans="1:8" ht="14.25" customHeight="1" x14ac:dyDescent="0.3">
      <c r="A91" s="127" t="s">
        <v>13</v>
      </c>
      <c r="B91" s="322" t="str">
        <f t="shared" si="10"/>
        <v>Onion - بصل</v>
      </c>
      <c r="C91" s="322" t="str">
        <f t="shared" si="10"/>
        <v>gm</v>
      </c>
      <c r="D91" s="323">
        <f t="shared" si="10"/>
        <v>202.12765957446808</v>
      </c>
      <c r="E91" s="125">
        <f t="shared" ref="E91:E105" si="12">$C$54</f>
        <v>2.6280000000000001</v>
      </c>
      <c r="F91" s="126">
        <f t="shared" si="11"/>
        <v>0.95</v>
      </c>
      <c r="G91" s="118">
        <f t="shared" ref="G91:G105" si="13">D91*E91</f>
        <v>531.19148936170211</v>
      </c>
      <c r="H91" s="119">
        <f t="shared" ref="H91:H105" si="14">G91*F91</f>
        <v>504.63191489361697</v>
      </c>
    </row>
    <row r="92" spans="1:8" ht="14.25" customHeight="1" x14ac:dyDescent="0.3">
      <c r="A92" s="127" t="s">
        <v>13</v>
      </c>
      <c r="B92" s="322" t="str">
        <f t="shared" si="10"/>
        <v>Garlic - ثوم مقشر</v>
      </c>
      <c r="C92" s="322" t="str">
        <f t="shared" si="10"/>
        <v>gm</v>
      </c>
      <c r="D92" s="323">
        <f t="shared" si="10"/>
        <v>30.319148936170212</v>
      </c>
      <c r="E92" s="125">
        <f t="shared" si="12"/>
        <v>2.6280000000000001</v>
      </c>
      <c r="F92" s="126">
        <f t="shared" si="11"/>
        <v>0.95</v>
      </c>
      <c r="G92" s="118">
        <f t="shared" si="13"/>
        <v>79.678723404255322</v>
      </c>
      <c r="H92" s="119">
        <f t="shared" si="14"/>
        <v>75.69478723404255</v>
      </c>
    </row>
    <row r="93" spans="1:8" ht="14.25" customHeight="1" x14ac:dyDescent="0.3">
      <c r="A93" s="127" t="s">
        <v>192</v>
      </c>
      <c r="B93" s="322" t="str">
        <f t="shared" si="10"/>
        <v>Mustard - خردل</v>
      </c>
      <c r="C93" s="322" t="str">
        <f t="shared" si="10"/>
        <v>gm</v>
      </c>
      <c r="D93" s="323">
        <f t="shared" si="10"/>
        <v>20.212765957446805</v>
      </c>
      <c r="E93" s="125">
        <f t="shared" si="12"/>
        <v>2.6280000000000001</v>
      </c>
      <c r="F93" s="126">
        <f t="shared" si="11"/>
        <v>1</v>
      </c>
      <c r="G93" s="118">
        <f t="shared" si="13"/>
        <v>53.119148936170205</v>
      </c>
      <c r="H93" s="119">
        <f t="shared" si="14"/>
        <v>53.119148936170205</v>
      </c>
    </row>
    <row r="94" spans="1:8" ht="14.25" customHeight="1" x14ac:dyDescent="0.3">
      <c r="A94" s="127" t="s">
        <v>192</v>
      </c>
      <c r="B94" s="322" t="str">
        <f t="shared" si="10"/>
        <v>Tomato Paste - صلصة طماطم</v>
      </c>
      <c r="C94" s="322" t="str">
        <f t="shared" si="10"/>
        <v>gm</v>
      </c>
      <c r="D94" s="323">
        <f t="shared" si="10"/>
        <v>101.06382978723404</v>
      </c>
      <c r="E94" s="125">
        <f t="shared" si="12"/>
        <v>2.6280000000000001</v>
      </c>
      <c r="F94" s="126">
        <f t="shared" si="11"/>
        <v>1</v>
      </c>
      <c r="G94" s="118">
        <f t="shared" si="13"/>
        <v>265.59574468085106</v>
      </c>
      <c r="H94" s="119">
        <f t="shared" si="14"/>
        <v>265.59574468085106</v>
      </c>
    </row>
    <row r="95" spans="1:8" ht="14.25" customHeight="1" x14ac:dyDescent="0.3">
      <c r="A95" s="127" t="s">
        <v>215</v>
      </c>
      <c r="B95" s="322" t="str">
        <f t="shared" si="10"/>
        <v>Saffron yellow color powder - لون صفار زعفران بودر</v>
      </c>
      <c r="C95" s="322" t="str">
        <f t="shared" si="10"/>
        <v>gm</v>
      </c>
      <c r="D95" s="323">
        <f t="shared" si="10"/>
        <v>3.0319148936170208</v>
      </c>
      <c r="E95" s="125">
        <f t="shared" si="12"/>
        <v>2.6280000000000001</v>
      </c>
      <c r="F95" s="126">
        <f t="shared" si="11"/>
        <v>0.75</v>
      </c>
      <c r="G95" s="118">
        <f t="shared" si="13"/>
        <v>7.9678723404255312</v>
      </c>
      <c r="H95" s="119">
        <f t="shared" si="14"/>
        <v>5.9759042553191488</v>
      </c>
    </row>
    <row r="96" spans="1:8" ht="14.25" customHeight="1" x14ac:dyDescent="0.3">
      <c r="A96" s="127" t="s">
        <v>206</v>
      </c>
      <c r="B96" s="322" t="str">
        <f t="shared" si="10"/>
        <v>Water - ماء</v>
      </c>
      <c r="C96" s="322" t="str">
        <f t="shared" si="10"/>
        <v>ml</v>
      </c>
      <c r="D96" s="323">
        <f t="shared" si="10"/>
        <v>200</v>
      </c>
      <c r="E96" s="125">
        <f t="shared" si="12"/>
        <v>2.6280000000000001</v>
      </c>
      <c r="F96" s="126">
        <f t="shared" si="11"/>
        <v>1</v>
      </c>
      <c r="G96" s="118">
        <f t="shared" si="13"/>
        <v>525.6</v>
      </c>
      <c r="H96" s="119">
        <f t="shared" si="14"/>
        <v>525.6</v>
      </c>
    </row>
    <row r="97" spans="1:8" ht="14.25" customHeight="1" x14ac:dyDescent="0.3">
      <c r="A97" s="127" t="s">
        <v>95</v>
      </c>
      <c r="B97" s="322" t="str">
        <f t="shared" si="10"/>
        <v>Black Pepper Powder - فلفل أسود مطحون</v>
      </c>
      <c r="C97" s="322" t="str">
        <f t="shared" si="10"/>
        <v>gm</v>
      </c>
      <c r="D97" s="323">
        <f t="shared" si="10"/>
        <v>2.0212765957446805</v>
      </c>
      <c r="E97" s="125">
        <f t="shared" si="12"/>
        <v>2.6280000000000001</v>
      </c>
      <c r="F97" s="126">
        <f t="shared" si="11"/>
        <v>1</v>
      </c>
      <c r="G97" s="118">
        <f t="shared" si="13"/>
        <v>5.3119148936170211</v>
      </c>
      <c r="H97" s="119">
        <f t="shared" si="14"/>
        <v>5.3119148936170211</v>
      </c>
    </row>
    <row r="98" spans="1:8" ht="14.25" customHeight="1" x14ac:dyDescent="0.3">
      <c r="A98" s="127" t="s">
        <v>192</v>
      </c>
      <c r="B98" s="322" t="str">
        <f t="shared" si="10"/>
        <v>Demi Glaze Sauce - صوص ديمي غلاز</v>
      </c>
      <c r="C98" s="322" t="str">
        <f t="shared" si="10"/>
        <v>gm</v>
      </c>
      <c r="D98" s="323">
        <f t="shared" si="10"/>
        <v>25.26595744680851</v>
      </c>
      <c r="E98" s="125">
        <f t="shared" si="12"/>
        <v>2.6280000000000001</v>
      </c>
      <c r="F98" s="126">
        <f t="shared" si="11"/>
        <v>0.75</v>
      </c>
      <c r="G98" s="118">
        <f t="shared" si="13"/>
        <v>66.398936170212764</v>
      </c>
      <c r="H98" s="119">
        <f t="shared" si="14"/>
        <v>49.799202127659569</v>
      </c>
    </row>
    <row r="99" spans="1:8" ht="14.25" customHeight="1" x14ac:dyDescent="0.3">
      <c r="A99" s="127" t="s">
        <v>154</v>
      </c>
      <c r="B99" s="322" t="str">
        <f t="shared" si="10"/>
        <v>Cooking Cream - كريمة طبخ</v>
      </c>
      <c r="C99" s="322" t="str">
        <f t="shared" si="10"/>
        <v>ml</v>
      </c>
      <c r="D99" s="323">
        <f t="shared" si="10"/>
        <v>505.31914893617017</v>
      </c>
      <c r="E99" s="125">
        <f t="shared" si="12"/>
        <v>2.6280000000000001</v>
      </c>
      <c r="F99" s="126">
        <f t="shared" si="11"/>
        <v>1</v>
      </c>
      <c r="G99" s="118">
        <f t="shared" si="13"/>
        <v>1327.9787234042553</v>
      </c>
      <c r="H99" s="119">
        <f t="shared" si="14"/>
        <v>1327.9787234042553</v>
      </c>
    </row>
    <row r="100" spans="1:8" ht="14.25" customHeight="1" x14ac:dyDescent="0.3">
      <c r="A100" s="127" t="s">
        <v>95</v>
      </c>
      <c r="B100" s="322" t="str">
        <f t="shared" si="10"/>
        <v>Maggi Cubes - مكعبات ماجي</v>
      </c>
      <c r="C100" s="322" t="str">
        <f t="shared" si="10"/>
        <v>gm</v>
      </c>
      <c r="D100" s="323">
        <f t="shared" si="10"/>
        <v>8.0851063829787222</v>
      </c>
      <c r="E100" s="125">
        <f t="shared" si="12"/>
        <v>2.6280000000000001</v>
      </c>
      <c r="F100" s="126">
        <f t="shared" si="11"/>
        <v>1</v>
      </c>
      <c r="G100" s="118">
        <f t="shared" si="13"/>
        <v>21.247659574468084</v>
      </c>
      <c r="H100" s="119">
        <f t="shared" si="14"/>
        <v>21.247659574468084</v>
      </c>
    </row>
    <row r="101" spans="1:8" ht="14.25" customHeight="1" x14ac:dyDescent="0.3">
      <c r="A101" s="127" t="s">
        <v>95</v>
      </c>
      <c r="B101" s="322" t="str">
        <f t="shared" si="10"/>
        <v>Salt - ملح</v>
      </c>
      <c r="C101" s="322" t="str">
        <f t="shared" si="10"/>
        <v>gm</v>
      </c>
      <c r="D101" s="323">
        <f t="shared" si="10"/>
        <v>5.0531914893617014</v>
      </c>
      <c r="E101" s="125">
        <f t="shared" si="12"/>
        <v>2.6280000000000001</v>
      </c>
      <c r="F101" s="126">
        <f t="shared" si="11"/>
        <v>1</v>
      </c>
      <c r="G101" s="118">
        <f t="shared" si="13"/>
        <v>13.279787234042551</v>
      </c>
      <c r="H101" s="119">
        <f t="shared" si="14"/>
        <v>13.279787234042551</v>
      </c>
    </row>
    <row r="102" spans="1:8" ht="14.25" customHeight="1" x14ac:dyDescent="0.3">
      <c r="A102" s="127" t="s">
        <v>188</v>
      </c>
      <c r="B102" s="322" t="str">
        <f t="shared" si="10"/>
        <v>Corn Starch - نشا ذرة</v>
      </c>
      <c r="C102" s="322" t="str">
        <f t="shared" si="10"/>
        <v>gm</v>
      </c>
      <c r="D102" s="323">
        <f t="shared" si="10"/>
        <v>70.744680851063819</v>
      </c>
      <c r="E102" s="125">
        <f t="shared" si="12"/>
        <v>2.6280000000000001</v>
      </c>
      <c r="F102" s="126">
        <f t="shared" si="11"/>
        <v>0.75</v>
      </c>
      <c r="G102" s="118">
        <f t="shared" si="13"/>
        <v>185.91702127659573</v>
      </c>
      <c r="H102" s="119">
        <f t="shared" si="14"/>
        <v>139.4377659574468</v>
      </c>
    </row>
    <row r="103" spans="1:8" ht="14.25" customHeight="1" x14ac:dyDescent="0.3">
      <c r="A103" s="127" t="s">
        <v>13</v>
      </c>
      <c r="B103" s="322" t="str">
        <f t="shared" si="10"/>
        <v>Mushroom - مشروم ابيض</v>
      </c>
      <c r="C103" s="322" t="str">
        <f t="shared" si="10"/>
        <v>gm</v>
      </c>
      <c r="D103" s="323">
        <f t="shared" si="10"/>
        <v>101.06382978723404</v>
      </c>
      <c r="E103" s="125">
        <f t="shared" si="12"/>
        <v>2.6280000000000001</v>
      </c>
      <c r="F103" s="126">
        <f t="shared" si="11"/>
        <v>1</v>
      </c>
      <c r="G103" s="118">
        <f t="shared" si="13"/>
        <v>265.59574468085106</v>
      </c>
      <c r="H103" s="119">
        <f t="shared" si="14"/>
        <v>265.59574468085106</v>
      </c>
    </row>
    <row r="104" spans="1:8" x14ac:dyDescent="0.3">
      <c r="A104" s="127" t="s">
        <v>154</v>
      </c>
      <c r="B104" s="322" t="str">
        <f t="shared" si="10"/>
        <v>Butter - زبدة</v>
      </c>
      <c r="C104" s="322" t="str">
        <f t="shared" si="10"/>
        <v>gm</v>
      </c>
      <c r="D104" s="323">
        <f t="shared" si="10"/>
        <v>20.212765957446805</v>
      </c>
      <c r="E104" s="125">
        <f t="shared" si="12"/>
        <v>2.6280000000000001</v>
      </c>
      <c r="F104" s="126">
        <f t="shared" si="11"/>
        <v>1</v>
      </c>
      <c r="G104" s="118">
        <f t="shared" si="13"/>
        <v>53.119148936170205</v>
      </c>
      <c r="H104" s="119">
        <f t="shared" si="14"/>
        <v>53.119148936170205</v>
      </c>
    </row>
    <row r="105" spans="1:8" x14ac:dyDescent="0.3">
      <c r="A105" s="127" t="s">
        <v>192</v>
      </c>
      <c r="B105" s="322" t="str">
        <f t="shared" si="10"/>
        <v>Sriracha Sauce - صوص سريراتشا</v>
      </c>
      <c r="C105" s="322" t="str">
        <f t="shared" si="10"/>
        <v>ml</v>
      </c>
      <c r="D105" s="323">
        <f t="shared" si="10"/>
        <v>15.159574468085106</v>
      </c>
      <c r="E105" s="125">
        <f t="shared" si="12"/>
        <v>2.6280000000000001</v>
      </c>
      <c r="F105" s="126">
        <f t="shared" si="11"/>
        <v>0.9</v>
      </c>
      <c r="G105" s="118">
        <f t="shared" si="13"/>
        <v>39.839361702127661</v>
      </c>
      <c r="H105" s="119">
        <f t="shared" si="14"/>
        <v>35.855425531914896</v>
      </c>
    </row>
    <row r="106" spans="1:8" ht="18" x14ac:dyDescent="0.3">
      <c r="B106" s="197" t="s">
        <v>356</v>
      </c>
      <c r="C106" s="199" t="s">
        <v>277</v>
      </c>
      <c r="E106" s="199" t="s">
        <v>292</v>
      </c>
      <c r="G106" s="878" t="s">
        <v>268</v>
      </c>
      <c r="H106" s="878" t="s">
        <v>714</v>
      </c>
    </row>
    <row r="107" spans="1:8" ht="20" x14ac:dyDescent="0.4">
      <c r="B107" s="198">
        <f>$J$54</f>
        <v>3942</v>
      </c>
      <c r="C107" s="198">
        <f>E107+G107</f>
        <v>2628</v>
      </c>
      <c r="D107" s="915"/>
      <c r="E107" s="198">
        <f>$D$54*$S$44</f>
        <v>2628</v>
      </c>
      <c r="F107" s="919"/>
      <c r="G107" s="198">
        <f>$D$54*$T$44</f>
        <v>0</v>
      </c>
      <c r="H107" s="198">
        <f>B107+E107</f>
        <v>6570</v>
      </c>
    </row>
    <row r="109" spans="1:8" x14ac:dyDescent="0.3">
      <c r="A109" s="96"/>
      <c r="B109" s="1438" t="str">
        <f>"ستروغانوف باستا  3 / " &amp; COUNTIF($C$53:$C$55, "&gt;0")</f>
        <v>ستروغانوف باستا  3 / 2</v>
      </c>
      <c r="C109" s="1444"/>
      <c r="D109" s="1444"/>
      <c r="E109" s="1444"/>
      <c r="F109" s="1444"/>
      <c r="G109" s="1444"/>
      <c r="H109" s="1444"/>
    </row>
    <row r="110" spans="1:8" x14ac:dyDescent="0.3">
      <c r="A110" s="96"/>
      <c r="B110" s="1436" t="str">
        <f>"Stroganoff sauce for pasta  3 / " &amp; COUNTIF($C$53:$C$55, "&gt;0")</f>
        <v>Stroganoff sauce for pasta  3 / 2</v>
      </c>
      <c r="C110" s="1446"/>
      <c r="D110" s="1446"/>
      <c r="E110" s="1446"/>
      <c r="F110" s="1446"/>
      <c r="G110" s="1446"/>
      <c r="H110" s="1446"/>
    </row>
    <row r="111" spans="1:8" ht="26" x14ac:dyDescent="0.25">
      <c r="A111" s="90"/>
      <c r="B111" s="242" t="s">
        <v>245</v>
      </c>
      <c r="C111" s="243" t="s">
        <v>246</v>
      </c>
      <c r="D111" s="244" t="s">
        <v>235</v>
      </c>
      <c r="E111" s="217" t="s">
        <v>238</v>
      </c>
      <c r="F111" s="217" t="s">
        <v>247</v>
      </c>
      <c r="G111" s="244" t="s">
        <v>248</v>
      </c>
      <c r="H111" s="217" t="s">
        <v>249</v>
      </c>
    </row>
    <row r="112" spans="1:8" x14ac:dyDescent="0.3">
      <c r="A112" s="127" t="s">
        <v>13</v>
      </c>
      <c r="B112" s="322" t="str">
        <f t="shared" ref="B112:D127" si="15">B5</f>
        <v>Pasta fusilli - مكرونة مبرومة</v>
      </c>
      <c r="C112" s="322" t="str">
        <f t="shared" si="15"/>
        <v>gm</v>
      </c>
      <c r="D112" s="322">
        <f t="shared" si="15"/>
        <v>600</v>
      </c>
      <c r="E112" s="125">
        <f>H55</f>
        <v>0</v>
      </c>
      <c r="F112" s="126">
        <f>F5</f>
        <v>1</v>
      </c>
      <c r="G112" s="118">
        <f t="shared" ref="G112:G127" si="16">D112*E112</f>
        <v>0</v>
      </c>
      <c r="H112" s="119">
        <f t="shared" ref="H112:H127" si="17">G112*F112</f>
        <v>0</v>
      </c>
    </row>
    <row r="113" spans="1:8" x14ac:dyDescent="0.3">
      <c r="A113" s="127" t="s">
        <v>13</v>
      </c>
      <c r="B113" s="322" t="str">
        <f t="shared" si="15"/>
        <v>Onion - بصل</v>
      </c>
      <c r="C113" s="322" t="str">
        <f t="shared" si="15"/>
        <v>gm</v>
      </c>
      <c r="D113" s="323">
        <f t="shared" si="15"/>
        <v>202.12765957446808</v>
      </c>
      <c r="E113" s="125">
        <f t="shared" ref="E113:E127" si="18">$C$55</f>
        <v>0</v>
      </c>
      <c r="F113" s="126">
        <f t="shared" ref="F113:F127" si="19">F6</f>
        <v>0.95</v>
      </c>
      <c r="G113" s="118">
        <f t="shared" si="16"/>
        <v>0</v>
      </c>
      <c r="H113" s="119">
        <f t="shared" si="17"/>
        <v>0</v>
      </c>
    </row>
    <row r="114" spans="1:8" x14ac:dyDescent="0.3">
      <c r="A114" s="127" t="s">
        <v>13</v>
      </c>
      <c r="B114" s="322" t="str">
        <f t="shared" si="15"/>
        <v>Garlic - ثوم مقشر</v>
      </c>
      <c r="C114" s="322" t="str">
        <f t="shared" si="15"/>
        <v>gm</v>
      </c>
      <c r="D114" s="323">
        <f t="shared" si="15"/>
        <v>30.319148936170212</v>
      </c>
      <c r="E114" s="125">
        <f t="shared" si="18"/>
        <v>0</v>
      </c>
      <c r="F114" s="126">
        <f t="shared" si="19"/>
        <v>0.95</v>
      </c>
      <c r="G114" s="118">
        <f t="shared" si="16"/>
        <v>0</v>
      </c>
      <c r="H114" s="119">
        <f t="shared" si="17"/>
        <v>0</v>
      </c>
    </row>
    <row r="115" spans="1:8" x14ac:dyDescent="0.3">
      <c r="A115" s="127" t="s">
        <v>192</v>
      </c>
      <c r="B115" s="322" t="str">
        <f t="shared" si="15"/>
        <v>Mustard - خردل</v>
      </c>
      <c r="C115" s="322" t="str">
        <f t="shared" si="15"/>
        <v>gm</v>
      </c>
      <c r="D115" s="323">
        <f t="shared" si="15"/>
        <v>20.212765957446805</v>
      </c>
      <c r="E115" s="125">
        <f t="shared" si="18"/>
        <v>0</v>
      </c>
      <c r="F115" s="126">
        <f t="shared" si="19"/>
        <v>1</v>
      </c>
      <c r="G115" s="118">
        <f t="shared" si="16"/>
        <v>0</v>
      </c>
      <c r="H115" s="119">
        <f t="shared" si="17"/>
        <v>0</v>
      </c>
    </row>
    <row r="116" spans="1:8" x14ac:dyDescent="0.3">
      <c r="A116" s="127" t="s">
        <v>192</v>
      </c>
      <c r="B116" s="322" t="str">
        <f t="shared" si="15"/>
        <v>Tomato Paste - صلصة طماطم</v>
      </c>
      <c r="C116" s="322" t="str">
        <f t="shared" si="15"/>
        <v>gm</v>
      </c>
      <c r="D116" s="323">
        <f t="shared" si="15"/>
        <v>101.06382978723404</v>
      </c>
      <c r="E116" s="125">
        <f t="shared" si="18"/>
        <v>0</v>
      </c>
      <c r="F116" s="126">
        <f t="shared" si="19"/>
        <v>1</v>
      </c>
      <c r="G116" s="118">
        <f t="shared" si="16"/>
        <v>0</v>
      </c>
      <c r="H116" s="119">
        <f t="shared" si="17"/>
        <v>0</v>
      </c>
    </row>
    <row r="117" spans="1:8" x14ac:dyDescent="0.3">
      <c r="A117" s="127" t="s">
        <v>215</v>
      </c>
      <c r="B117" s="322" t="str">
        <f t="shared" si="15"/>
        <v>Saffron yellow color powder - لون صفار زعفران بودر</v>
      </c>
      <c r="C117" s="322" t="str">
        <f t="shared" si="15"/>
        <v>gm</v>
      </c>
      <c r="D117" s="323">
        <f t="shared" si="15"/>
        <v>3.0319148936170208</v>
      </c>
      <c r="E117" s="125">
        <f t="shared" si="18"/>
        <v>0</v>
      </c>
      <c r="F117" s="126">
        <f t="shared" si="19"/>
        <v>0.75</v>
      </c>
      <c r="G117" s="118">
        <f t="shared" si="16"/>
        <v>0</v>
      </c>
      <c r="H117" s="119">
        <f t="shared" si="17"/>
        <v>0</v>
      </c>
    </row>
    <row r="118" spans="1:8" x14ac:dyDescent="0.3">
      <c r="A118" s="127" t="s">
        <v>206</v>
      </c>
      <c r="B118" s="322" t="str">
        <f t="shared" si="15"/>
        <v>Water - ماء</v>
      </c>
      <c r="C118" s="322" t="str">
        <f t="shared" si="15"/>
        <v>ml</v>
      </c>
      <c r="D118" s="323">
        <f t="shared" si="15"/>
        <v>200</v>
      </c>
      <c r="E118" s="125">
        <f t="shared" si="18"/>
        <v>0</v>
      </c>
      <c r="F118" s="126">
        <f t="shared" si="19"/>
        <v>1</v>
      </c>
      <c r="G118" s="118">
        <f t="shared" si="16"/>
        <v>0</v>
      </c>
      <c r="H118" s="119">
        <f t="shared" si="17"/>
        <v>0</v>
      </c>
    </row>
    <row r="119" spans="1:8" x14ac:dyDescent="0.3">
      <c r="A119" s="127" t="s">
        <v>95</v>
      </c>
      <c r="B119" s="322" t="str">
        <f t="shared" si="15"/>
        <v>Black Pepper Powder - فلفل أسود مطحون</v>
      </c>
      <c r="C119" s="322" t="str">
        <f t="shared" si="15"/>
        <v>gm</v>
      </c>
      <c r="D119" s="323">
        <f t="shared" si="15"/>
        <v>2.0212765957446805</v>
      </c>
      <c r="E119" s="125">
        <f t="shared" si="18"/>
        <v>0</v>
      </c>
      <c r="F119" s="126">
        <f t="shared" si="19"/>
        <v>1</v>
      </c>
      <c r="G119" s="118">
        <f t="shared" si="16"/>
        <v>0</v>
      </c>
      <c r="H119" s="119">
        <f t="shared" si="17"/>
        <v>0</v>
      </c>
    </row>
    <row r="120" spans="1:8" x14ac:dyDescent="0.3">
      <c r="A120" s="127" t="s">
        <v>192</v>
      </c>
      <c r="B120" s="322" t="str">
        <f t="shared" si="15"/>
        <v>Demi Glaze Sauce - صوص ديمي غلاز</v>
      </c>
      <c r="C120" s="322" t="str">
        <f t="shared" si="15"/>
        <v>gm</v>
      </c>
      <c r="D120" s="323">
        <f t="shared" si="15"/>
        <v>25.26595744680851</v>
      </c>
      <c r="E120" s="125">
        <f t="shared" si="18"/>
        <v>0</v>
      </c>
      <c r="F120" s="126">
        <f t="shared" si="19"/>
        <v>0.75</v>
      </c>
      <c r="G120" s="118">
        <f t="shared" si="16"/>
        <v>0</v>
      </c>
      <c r="H120" s="119">
        <f t="shared" si="17"/>
        <v>0</v>
      </c>
    </row>
    <row r="121" spans="1:8" x14ac:dyDescent="0.3">
      <c r="A121" s="127" t="s">
        <v>154</v>
      </c>
      <c r="B121" s="322" t="str">
        <f t="shared" si="15"/>
        <v>Cooking Cream - كريمة طبخ</v>
      </c>
      <c r="C121" s="322" t="str">
        <f t="shared" si="15"/>
        <v>ml</v>
      </c>
      <c r="D121" s="323">
        <f t="shared" si="15"/>
        <v>505.31914893617017</v>
      </c>
      <c r="E121" s="125">
        <f t="shared" si="18"/>
        <v>0</v>
      </c>
      <c r="F121" s="126">
        <f t="shared" si="19"/>
        <v>1</v>
      </c>
      <c r="G121" s="118">
        <f t="shared" si="16"/>
        <v>0</v>
      </c>
      <c r="H121" s="119">
        <f t="shared" si="17"/>
        <v>0</v>
      </c>
    </row>
    <row r="122" spans="1:8" x14ac:dyDescent="0.3">
      <c r="A122" s="127" t="s">
        <v>95</v>
      </c>
      <c r="B122" s="322" t="str">
        <f t="shared" si="15"/>
        <v>Maggi Cubes - مكعبات ماجي</v>
      </c>
      <c r="C122" s="322" t="str">
        <f t="shared" si="15"/>
        <v>gm</v>
      </c>
      <c r="D122" s="323">
        <f t="shared" si="15"/>
        <v>8.0851063829787222</v>
      </c>
      <c r="E122" s="125">
        <f t="shared" si="18"/>
        <v>0</v>
      </c>
      <c r="F122" s="126">
        <f t="shared" si="19"/>
        <v>1</v>
      </c>
      <c r="G122" s="118">
        <f t="shared" si="16"/>
        <v>0</v>
      </c>
      <c r="H122" s="119">
        <f t="shared" si="17"/>
        <v>0</v>
      </c>
    </row>
    <row r="123" spans="1:8" x14ac:dyDescent="0.3">
      <c r="A123" s="127" t="s">
        <v>95</v>
      </c>
      <c r="B123" s="322" t="str">
        <f t="shared" si="15"/>
        <v>Salt - ملح</v>
      </c>
      <c r="C123" s="322" t="str">
        <f t="shared" si="15"/>
        <v>gm</v>
      </c>
      <c r="D123" s="323">
        <f t="shared" si="15"/>
        <v>5.0531914893617014</v>
      </c>
      <c r="E123" s="125">
        <f t="shared" si="18"/>
        <v>0</v>
      </c>
      <c r="F123" s="126">
        <f t="shared" si="19"/>
        <v>1</v>
      </c>
      <c r="G123" s="118">
        <f t="shared" si="16"/>
        <v>0</v>
      </c>
      <c r="H123" s="119">
        <f t="shared" si="17"/>
        <v>0</v>
      </c>
    </row>
    <row r="124" spans="1:8" x14ac:dyDescent="0.3">
      <c r="A124" s="127" t="s">
        <v>188</v>
      </c>
      <c r="B124" s="322" t="str">
        <f t="shared" si="15"/>
        <v>Corn Starch - نشا ذرة</v>
      </c>
      <c r="C124" s="322" t="str">
        <f t="shared" si="15"/>
        <v>gm</v>
      </c>
      <c r="D124" s="323">
        <f t="shared" si="15"/>
        <v>70.744680851063819</v>
      </c>
      <c r="E124" s="125">
        <f t="shared" si="18"/>
        <v>0</v>
      </c>
      <c r="F124" s="126">
        <f t="shared" si="19"/>
        <v>0.75</v>
      </c>
      <c r="G124" s="118">
        <f t="shared" si="16"/>
        <v>0</v>
      </c>
      <c r="H124" s="119">
        <f t="shared" si="17"/>
        <v>0</v>
      </c>
    </row>
    <row r="125" spans="1:8" x14ac:dyDescent="0.3">
      <c r="A125" s="127" t="s">
        <v>13</v>
      </c>
      <c r="B125" s="322" t="str">
        <f t="shared" si="15"/>
        <v>Mushroom - مشروم ابيض</v>
      </c>
      <c r="C125" s="322" t="str">
        <f t="shared" si="15"/>
        <v>gm</v>
      </c>
      <c r="D125" s="323">
        <f t="shared" si="15"/>
        <v>101.06382978723404</v>
      </c>
      <c r="E125" s="125">
        <f t="shared" si="18"/>
        <v>0</v>
      </c>
      <c r="F125" s="126">
        <f t="shared" si="19"/>
        <v>1</v>
      </c>
      <c r="G125" s="118">
        <f t="shared" si="16"/>
        <v>0</v>
      </c>
      <c r="H125" s="119">
        <f t="shared" si="17"/>
        <v>0</v>
      </c>
    </row>
    <row r="126" spans="1:8" x14ac:dyDescent="0.3">
      <c r="A126" s="127" t="s">
        <v>154</v>
      </c>
      <c r="B126" s="322" t="str">
        <f t="shared" si="15"/>
        <v>Butter - زبدة</v>
      </c>
      <c r="C126" s="322" t="str">
        <f t="shared" si="15"/>
        <v>gm</v>
      </c>
      <c r="D126" s="323">
        <f t="shared" si="15"/>
        <v>20.212765957446805</v>
      </c>
      <c r="E126" s="125">
        <f t="shared" si="18"/>
        <v>0</v>
      </c>
      <c r="F126" s="126">
        <f t="shared" si="19"/>
        <v>1</v>
      </c>
      <c r="G126" s="118">
        <f t="shared" si="16"/>
        <v>0</v>
      </c>
      <c r="H126" s="119">
        <f t="shared" si="17"/>
        <v>0</v>
      </c>
    </row>
    <row r="127" spans="1:8" x14ac:dyDescent="0.3">
      <c r="A127" s="127" t="s">
        <v>192</v>
      </c>
      <c r="B127" s="322" t="str">
        <f t="shared" si="15"/>
        <v>Sriracha Sauce - صوص سريراتشا</v>
      </c>
      <c r="C127" s="322" t="str">
        <f t="shared" si="15"/>
        <v>ml</v>
      </c>
      <c r="D127" s="323">
        <f t="shared" si="15"/>
        <v>15.159574468085106</v>
      </c>
      <c r="E127" s="125">
        <f t="shared" si="18"/>
        <v>0</v>
      </c>
      <c r="F127" s="126">
        <f t="shared" si="19"/>
        <v>0.9</v>
      </c>
      <c r="G127" s="118">
        <f t="shared" si="16"/>
        <v>0</v>
      </c>
      <c r="H127" s="119">
        <f t="shared" si="17"/>
        <v>0</v>
      </c>
    </row>
    <row r="128" spans="1:8" ht="18" x14ac:dyDescent="0.3">
      <c r="B128" s="197" t="s">
        <v>356</v>
      </c>
      <c r="C128" s="199" t="s">
        <v>277</v>
      </c>
      <c r="E128" s="199" t="s">
        <v>292</v>
      </c>
      <c r="G128" s="878" t="s">
        <v>268</v>
      </c>
      <c r="H128" s="878" t="s">
        <v>714</v>
      </c>
    </row>
    <row r="129" spans="2:8" ht="20" x14ac:dyDescent="0.4">
      <c r="B129" s="198">
        <f>$J$55</f>
        <v>0</v>
      </c>
      <c r="C129" s="198">
        <f>E129+G129</f>
        <v>0</v>
      </c>
      <c r="D129" s="915"/>
      <c r="E129" s="198">
        <f>$D$55*$S$44</f>
        <v>0</v>
      </c>
      <c r="F129" s="919"/>
      <c r="G129" s="198">
        <f>$D$55*$T$44</f>
        <v>0</v>
      </c>
      <c r="H129" s="198">
        <f>B129+E129</f>
        <v>0</v>
      </c>
    </row>
  </sheetData>
  <mergeCells count="9">
    <mergeCell ref="B2:H3"/>
    <mergeCell ref="B63:H63"/>
    <mergeCell ref="B109:H109"/>
    <mergeCell ref="B110:H110"/>
    <mergeCell ref="R26:U26"/>
    <mergeCell ref="B88:H88"/>
    <mergeCell ref="B62:H62"/>
    <mergeCell ref="R25:U25"/>
    <mergeCell ref="B87:H87"/>
  </mergeCells>
  <printOptions horizontalCentered="1"/>
  <pageMargins left="0.5" right="0.5" top="1" bottom="0.5" header="0.3" footer="0.511811023622047"/>
  <pageSetup paperSize="9" scale="31" orientation="portrait" r:id="rId1"/>
  <legacyDrawing r:id="rId2"/>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rgb="FF7C7C7C"/>
    <pageSetUpPr fitToPage="1"/>
  </sheetPr>
  <dimension ref="A1:AG77"/>
  <sheetViews>
    <sheetView topLeftCell="A13" zoomScale="70" zoomScaleNormal="70" workbookViewId="0">
      <selection activeCell="T95" sqref="T95"/>
    </sheetView>
  </sheetViews>
  <sheetFormatPr defaultColWidth="12.5" defaultRowHeight="14" x14ac:dyDescent="0.3"/>
  <cols>
    <col min="1" max="1" width="12.5" style="78" customWidth="1"/>
    <col min="2" max="2" width="37"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3.83203125" style="14" customWidth="1"/>
    <col min="15" max="17" width="12.5" style="14" customWidth="1"/>
    <col min="18" max="18" width="30.5" style="14" customWidth="1"/>
    <col min="19" max="19" width="12.5" style="14" customWidth="1"/>
    <col min="20" max="27" width="12.5" style="14"/>
    <col min="28" max="28" width="11.9140625" style="14" bestFit="1" customWidth="1"/>
    <col min="29" max="29" width="13.33203125" style="14" bestFit="1" customWidth="1"/>
    <col min="30" max="16384" width="12.5" style="14"/>
  </cols>
  <sheetData>
    <row r="1" spans="1:33" ht="35.25" customHeight="1" x14ac:dyDescent="0.3">
      <c r="B1" s="79" t="s">
        <v>235</v>
      </c>
      <c r="C1" s="80">
        <v>1000</v>
      </c>
      <c r="D1" s="81" t="s">
        <v>236</v>
      </c>
      <c r="E1" s="116">
        <f>T32</f>
        <v>5845.3846153846216</v>
      </c>
      <c r="F1" s="79" t="s">
        <v>237</v>
      </c>
      <c r="G1" s="80">
        <f>E1/C1</f>
        <v>5.8453846153846216</v>
      </c>
      <c r="H1" s="79" t="s">
        <v>238</v>
      </c>
      <c r="I1" s="282">
        <f>G1/K1</f>
        <v>5.9840886571056124</v>
      </c>
      <c r="J1" s="85" t="s">
        <v>239</v>
      </c>
      <c r="K1" s="326">
        <f>5.9/6.04</f>
        <v>0.97682119205298024</v>
      </c>
      <c r="L1" s="99"/>
      <c r="M1" s="88"/>
      <c r="N1" s="89"/>
      <c r="O1" s="90" t="s">
        <v>240</v>
      </c>
      <c r="P1" s="91" t="s">
        <v>293</v>
      </c>
      <c r="Q1" s="92" t="s">
        <v>242</v>
      </c>
      <c r="R1" s="91">
        <v>0.51</v>
      </c>
      <c r="Y1" s="90" t="s">
        <v>463</v>
      </c>
      <c r="Z1" s="835">
        <v>25330</v>
      </c>
      <c r="AA1" s="90" t="s">
        <v>578</v>
      </c>
      <c r="AB1" s="835">
        <v>0</v>
      </c>
      <c r="AC1" s="90" t="s">
        <v>567</v>
      </c>
      <c r="AD1" s="835">
        <v>167</v>
      </c>
      <c r="AE1" s="249"/>
      <c r="AF1" s="251"/>
      <c r="AG1" s="91"/>
    </row>
    <row r="2" spans="1:33" ht="12.75" customHeight="1" x14ac:dyDescent="0.3">
      <c r="A2" s="96"/>
      <c r="B2" s="1523" t="s">
        <v>103</v>
      </c>
      <c r="C2" s="1466"/>
      <c r="D2" s="1466"/>
      <c r="E2" s="1466"/>
      <c r="F2" s="1466"/>
      <c r="G2" s="1466"/>
      <c r="H2" s="1466"/>
      <c r="I2" s="1466"/>
      <c r="J2" s="1466"/>
      <c r="K2" s="1524"/>
      <c r="L2" s="292"/>
      <c r="M2" s="99"/>
      <c r="N2" s="99"/>
      <c r="O2" s="99"/>
      <c r="P2" s="99"/>
      <c r="Q2" s="99"/>
      <c r="R2" s="99"/>
      <c r="AE2" s="1457"/>
      <c r="AF2" s="1460"/>
      <c r="AG2" s="1460"/>
    </row>
    <row r="3" spans="1:33" ht="12.75" customHeight="1" x14ac:dyDescent="0.3">
      <c r="A3" s="96"/>
      <c r="B3" s="1444"/>
      <c r="C3" s="1444"/>
      <c r="D3" s="1444"/>
      <c r="E3" s="1444"/>
      <c r="F3" s="1444"/>
      <c r="G3" s="1444"/>
      <c r="H3" s="1444"/>
      <c r="I3" s="1444"/>
      <c r="J3" s="1444"/>
      <c r="K3" s="1489"/>
      <c r="L3" s="292"/>
      <c r="M3" s="99"/>
      <c r="N3" s="99"/>
      <c r="O3" s="99"/>
      <c r="P3" s="99"/>
      <c r="Q3" s="99"/>
      <c r="R3" s="99"/>
      <c r="AE3" s="1460"/>
      <c r="AF3" s="1460"/>
      <c r="AG3" s="1460"/>
    </row>
    <row r="4" spans="1:33" ht="35.25" customHeight="1" x14ac:dyDescent="0.25">
      <c r="A4" s="90" t="s">
        <v>1</v>
      </c>
      <c r="B4" s="90" t="s">
        <v>245</v>
      </c>
      <c r="C4" s="106" t="s">
        <v>246</v>
      </c>
      <c r="D4" s="90" t="s">
        <v>235</v>
      </c>
      <c r="E4" s="217" t="s">
        <v>238</v>
      </c>
      <c r="F4" s="107" t="s">
        <v>247</v>
      </c>
      <c r="G4" s="90" t="s">
        <v>248</v>
      </c>
      <c r="H4" s="106" t="s">
        <v>339</v>
      </c>
      <c r="I4" s="90" t="s">
        <v>250</v>
      </c>
      <c r="J4" s="90" t="s">
        <v>251</v>
      </c>
      <c r="K4" s="90" t="s">
        <v>252</v>
      </c>
      <c r="L4" s="90" t="s">
        <v>253</v>
      </c>
      <c r="M4" s="99"/>
      <c r="N4" s="99"/>
      <c r="O4" s="99"/>
      <c r="P4" s="99"/>
      <c r="AA4" s="250"/>
      <c r="AB4" s="252"/>
      <c r="AE4" s="250"/>
    </row>
    <row r="5" spans="1:33" ht="14.25" customHeight="1" x14ac:dyDescent="0.25">
      <c r="A5" s="265" t="s">
        <v>225</v>
      </c>
      <c r="B5" s="219" t="s">
        <v>227</v>
      </c>
      <c r="C5" s="114" t="s">
        <v>14</v>
      </c>
      <c r="D5" s="120">
        <f>I51/10</f>
        <v>6536.0784313725489</v>
      </c>
      <c r="E5" s="116">
        <f>H52</f>
        <v>5.8452677100304138</v>
      </c>
      <c r="F5" s="126">
        <v>1</v>
      </c>
      <c r="G5" s="118">
        <f t="shared" ref="G5:G15" si="0">D5*E5</f>
        <v>38205.128205128196</v>
      </c>
      <c r="H5" s="119">
        <f t="shared" ref="H5:H15" si="1">G5*F5</f>
        <v>38205.128205128196</v>
      </c>
      <c r="I5" s="80">
        <f>VLOOKUP(B5,All_Ingredients!$A$1:$F$149,6,FALSE())</f>
        <v>0.55000000000000004</v>
      </c>
      <c r="J5" s="118">
        <f>VLOOKUP(B5,All_Ingredients!$A$1:$J$149,10,FALSE())</f>
        <v>14.361111111111111</v>
      </c>
      <c r="K5" s="121">
        <f t="shared" ref="K5" si="2">(H5/I5)/1000</f>
        <v>69.463869463869443</v>
      </c>
      <c r="L5" s="121">
        <f t="shared" ref="L5" si="3">K5*J5</f>
        <v>997.57834757834723</v>
      </c>
      <c r="M5" s="99"/>
      <c r="N5" s="99"/>
      <c r="O5" s="99"/>
      <c r="P5" s="99"/>
      <c r="AA5" s="91"/>
      <c r="AB5" s="132"/>
      <c r="AE5" s="135"/>
    </row>
    <row r="6" spans="1:33" ht="14.25" customHeight="1" x14ac:dyDescent="0.3">
      <c r="A6" s="127" t="s">
        <v>13</v>
      </c>
      <c r="B6" s="22" t="s">
        <v>762</v>
      </c>
      <c r="C6" s="123" t="s">
        <v>14</v>
      </c>
      <c r="D6" s="124">
        <v>25</v>
      </c>
      <c r="E6" s="196">
        <f t="shared" ref="E6:E15" si="4">$I$1</f>
        <v>5.9840886571056124</v>
      </c>
      <c r="F6" s="126">
        <v>0.95</v>
      </c>
      <c r="G6" s="118">
        <f t="shared" si="0"/>
        <v>149.60221642764031</v>
      </c>
      <c r="H6" s="119">
        <f t="shared" si="1"/>
        <v>142.12210560625829</v>
      </c>
      <c r="I6" s="80">
        <f>VLOOKUP(B6,All_Ingredients!$A$1:$F$149,6,FALSE())</f>
        <v>1</v>
      </c>
      <c r="J6" s="118">
        <f>VLOOKUP(B6,All_Ingredients!$A$1:$J$149,10,FALSE())</f>
        <v>10.5</v>
      </c>
      <c r="K6" s="121">
        <f t="shared" ref="K6:K15" si="5">(H6/I6)/1000</f>
        <v>0.14212210560625829</v>
      </c>
      <c r="L6" s="121">
        <f t="shared" ref="L6:L15" si="6">K6*J6</f>
        <v>1.4922821088657121</v>
      </c>
    </row>
    <row r="7" spans="1:33" ht="14.25" customHeight="1" x14ac:dyDescent="0.3">
      <c r="A7" s="127" t="s">
        <v>13</v>
      </c>
      <c r="B7" s="22" t="s">
        <v>12</v>
      </c>
      <c r="C7" s="123" t="s">
        <v>14</v>
      </c>
      <c r="D7" s="124">
        <v>200</v>
      </c>
      <c r="E7" s="196">
        <f t="shared" si="4"/>
        <v>5.9840886571056124</v>
      </c>
      <c r="F7" s="126">
        <v>0.95</v>
      </c>
      <c r="G7" s="118">
        <f t="shared" si="0"/>
        <v>1196.8177314211225</v>
      </c>
      <c r="H7" s="119">
        <f t="shared" si="1"/>
        <v>1136.9768448500663</v>
      </c>
      <c r="I7" s="80">
        <f>VLOOKUP(B7,All_Ingredients!$A$1:$F$149,6,FALSE())</f>
        <v>0.9</v>
      </c>
      <c r="J7" s="118">
        <f>VLOOKUP(B7,All_Ingredients!$A$1:$J$149,10,FALSE())</f>
        <v>3</v>
      </c>
      <c r="K7" s="121">
        <f t="shared" si="5"/>
        <v>1.2633076053889625</v>
      </c>
      <c r="L7" s="121">
        <f t="shared" si="6"/>
        <v>3.7899228161668876</v>
      </c>
    </row>
    <row r="8" spans="1:33" ht="14.25" customHeight="1" x14ac:dyDescent="0.3">
      <c r="A8" s="127" t="s">
        <v>192</v>
      </c>
      <c r="B8" s="22" t="s">
        <v>202</v>
      </c>
      <c r="C8" s="123" t="s">
        <v>14</v>
      </c>
      <c r="D8" s="124">
        <v>50</v>
      </c>
      <c r="E8" s="196">
        <f t="shared" si="4"/>
        <v>5.9840886571056124</v>
      </c>
      <c r="F8" s="126">
        <v>1</v>
      </c>
      <c r="G8" s="118">
        <f t="shared" si="0"/>
        <v>299.20443285528063</v>
      </c>
      <c r="H8" s="119">
        <f t="shared" si="1"/>
        <v>299.20443285528063</v>
      </c>
      <c r="I8" s="80">
        <f>VLOOKUP(B8,All_Ingredients!$A$1:$F$149,6,FALSE())</f>
        <v>1</v>
      </c>
      <c r="J8" s="118">
        <f>VLOOKUP(B8,All_Ingredients!$A$1:$J$149,10,FALSE())</f>
        <v>63.333333333333336</v>
      </c>
      <c r="K8" s="121">
        <f t="shared" si="5"/>
        <v>0.29920443285528064</v>
      </c>
      <c r="L8" s="121">
        <f t="shared" si="6"/>
        <v>18.94961408083444</v>
      </c>
    </row>
    <row r="9" spans="1:33" ht="14.25" customHeight="1" x14ac:dyDescent="0.3">
      <c r="A9" s="127" t="s">
        <v>95</v>
      </c>
      <c r="B9" s="22" t="s">
        <v>100</v>
      </c>
      <c r="C9" s="123" t="s">
        <v>14</v>
      </c>
      <c r="D9" s="124">
        <v>5</v>
      </c>
      <c r="E9" s="196">
        <f t="shared" si="4"/>
        <v>5.9840886571056124</v>
      </c>
      <c r="F9" s="126">
        <v>1</v>
      </c>
      <c r="G9" s="118">
        <f t="shared" si="0"/>
        <v>29.920443285528062</v>
      </c>
      <c r="H9" s="119">
        <f t="shared" si="1"/>
        <v>29.920443285528062</v>
      </c>
      <c r="I9" s="80">
        <f>VLOOKUP(B9,All_Ingredients!$A$1:$F$149,6,FALSE())</f>
        <v>1</v>
      </c>
      <c r="J9" s="118">
        <f>VLOOKUP(B9,All_Ingredients!$A$1:$J$149,10,FALSE())</f>
        <v>31</v>
      </c>
      <c r="K9" s="121">
        <f t="shared" si="5"/>
        <v>2.9920443285528061E-2</v>
      </c>
      <c r="L9" s="121">
        <f t="shared" si="6"/>
        <v>0.92753374185136994</v>
      </c>
    </row>
    <row r="10" spans="1:33" ht="14.25" customHeight="1" x14ac:dyDescent="0.3">
      <c r="A10" s="127" t="s">
        <v>95</v>
      </c>
      <c r="B10" s="22" t="s">
        <v>140</v>
      </c>
      <c r="C10" s="123" t="s">
        <v>14</v>
      </c>
      <c r="D10" s="124">
        <v>8</v>
      </c>
      <c r="E10" s="196">
        <f t="shared" si="4"/>
        <v>5.9840886571056124</v>
      </c>
      <c r="F10" s="126">
        <v>0.75</v>
      </c>
      <c r="G10" s="118">
        <f t="shared" si="0"/>
        <v>47.8727092568449</v>
      </c>
      <c r="H10" s="119">
        <f t="shared" si="1"/>
        <v>35.904531942633675</v>
      </c>
      <c r="I10" s="80">
        <f>VLOOKUP(B10,All_Ingredients!$A$1:$F$149,6,FALSE())</f>
        <v>1</v>
      </c>
      <c r="J10" s="118">
        <f>VLOOKUP(B10,All_Ingredients!$A$1:$J$149,10,FALSE())</f>
        <v>15.277777777777779</v>
      </c>
      <c r="K10" s="121">
        <f t="shared" si="5"/>
        <v>3.5904531942633676E-2</v>
      </c>
      <c r="L10" s="121">
        <f t="shared" si="6"/>
        <v>0.5485414602346812</v>
      </c>
    </row>
    <row r="11" spans="1:33" ht="14.25" customHeight="1" x14ac:dyDescent="0.3">
      <c r="A11" s="127" t="s">
        <v>95</v>
      </c>
      <c r="B11" s="22" t="s">
        <v>94</v>
      </c>
      <c r="C11" s="123" t="s">
        <v>14</v>
      </c>
      <c r="D11" s="124">
        <v>5</v>
      </c>
      <c r="E11" s="196">
        <f t="shared" si="4"/>
        <v>5.9840886571056124</v>
      </c>
      <c r="F11" s="126">
        <v>1</v>
      </c>
      <c r="G11" s="118">
        <f t="shared" si="0"/>
        <v>29.920443285528062</v>
      </c>
      <c r="H11" s="119">
        <f t="shared" si="1"/>
        <v>29.920443285528062</v>
      </c>
      <c r="I11" s="80">
        <f>VLOOKUP(B11,All_Ingredients!$A$1:$F$149,6,FALSE())</f>
        <v>1</v>
      </c>
      <c r="J11" s="118">
        <f>VLOOKUP(B11,All_Ingredients!$A$1:$J$149,10,FALSE())</f>
        <v>0.74</v>
      </c>
      <c r="K11" s="121">
        <f t="shared" si="5"/>
        <v>2.9920443285528061E-2</v>
      </c>
      <c r="L11" s="121">
        <f t="shared" si="6"/>
        <v>2.2141128031290765E-2</v>
      </c>
    </row>
    <row r="12" spans="1:33" ht="14.25" customHeight="1" x14ac:dyDescent="0.3">
      <c r="A12" s="127" t="s">
        <v>13</v>
      </c>
      <c r="B12" s="22" t="s">
        <v>789</v>
      </c>
      <c r="C12" s="123" t="s">
        <v>14</v>
      </c>
      <c r="D12" s="124">
        <v>200</v>
      </c>
      <c r="E12" s="196">
        <f t="shared" si="4"/>
        <v>5.9840886571056124</v>
      </c>
      <c r="F12" s="126">
        <v>1</v>
      </c>
      <c r="G12" s="118">
        <f t="shared" si="0"/>
        <v>1196.8177314211225</v>
      </c>
      <c r="H12" s="119">
        <f t="shared" si="1"/>
        <v>1196.8177314211225</v>
      </c>
      <c r="I12" s="80">
        <f>VLOOKUP(B12,All_Ingredients!$A$1:$F$149,6,FALSE())</f>
        <v>1</v>
      </c>
      <c r="J12" s="118">
        <f>VLOOKUP(B12,All_Ingredients!$A$1:$J$149,10,FALSE())</f>
        <v>22</v>
      </c>
      <c r="K12" s="121">
        <f t="shared" si="5"/>
        <v>1.1968177314211226</v>
      </c>
      <c r="L12" s="121">
        <f t="shared" si="6"/>
        <v>26.329990091264698</v>
      </c>
    </row>
    <row r="13" spans="1:33" ht="14.25" customHeight="1" x14ac:dyDescent="0.3">
      <c r="A13" s="127" t="s">
        <v>13</v>
      </c>
      <c r="B13" s="22" t="s">
        <v>19</v>
      </c>
      <c r="C13" s="123" t="s">
        <v>14</v>
      </c>
      <c r="D13" s="124">
        <v>100</v>
      </c>
      <c r="E13" s="196">
        <f t="shared" si="4"/>
        <v>5.9840886571056124</v>
      </c>
      <c r="F13" s="126">
        <v>0.75</v>
      </c>
      <c r="G13" s="118">
        <f t="shared" si="0"/>
        <v>598.40886571056126</v>
      </c>
      <c r="H13" s="119">
        <f t="shared" si="1"/>
        <v>448.80664928292094</v>
      </c>
      <c r="I13" s="80">
        <f>VLOOKUP(B13,All_Ingredients!$A$1:$F$149,6,FALSE())</f>
        <v>0.84</v>
      </c>
      <c r="J13" s="118">
        <f>VLOOKUP(B13,All_Ingredients!$A$1:$J$149,10,FALSE())</f>
        <v>2.6</v>
      </c>
      <c r="K13" s="121">
        <f t="shared" si="5"/>
        <v>0.53429363009871544</v>
      </c>
      <c r="L13" s="121">
        <f t="shared" si="6"/>
        <v>1.3891634382566602</v>
      </c>
    </row>
    <row r="14" spans="1:33" ht="14.25" customHeight="1" x14ac:dyDescent="0.3">
      <c r="A14" s="127" t="s">
        <v>154</v>
      </c>
      <c r="B14" s="221" t="s">
        <v>167</v>
      </c>
      <c r="C14" s="123" t="s">
        <v>161</v>
      </c>
      <c r="D14" s="124">
        <v>700</v>
      </c>
      <c r="E14" s="196">
        <f t="shared" si="4"/>
        <v>5.9840886571056124</v>
      </c>
      <c r="F14" s="126">
        <v>1</v>
      </c>
      <c r="G14" s="118">
        <f t="shared" si="0"/>
        <v>4188.8620599739288</v>
      </c>
      <c r="H14" s="119">
        <f t="shared" si="1"/>
        <v>4188.8620599739288</v>
      </c>
      <c r="I14" s="80">
        <f>VLOOKUP(B14,All_Ingredients!$A$1:$F$149,6,FALSE())</f>
        <v>1</v>
      </c>
      <c r="J14" s="118">
        <f>VLOOKUP(B14,All_Ingredients!$A$1:$J$149,10,FALSE())</f>
        <v>12.666666666666666</v>
      </c>
      <c r="K14" s="121">
        <f t="shared" si="5"/>
        <v>4.1888620599739292</v>
      </c>
      <c r="L14" s="121">
        <f t="shared" si="6"/>
        <v>53.058919426336438</v>
      </c>
    </row>
    <row r="15" spans="1:33" ht="14.25" customHeight="1" x14ac:dyDescent="0.3">
      <c r="A15" s="127" t="s">
        <v>154</v>
      </c>
      <c r="B15" s="221" t="s">
        <v>153</v>
      </c>
      <c r="C15" s="123" t="s">
        <v>14</v>
      </c>
      <c r="D15" s="129">
        <v>40</v>
      </c>
      <c r="E15" s="196">
        <f t="shared" si="4"/>
        <v>5.9840886571056124</v>
      </c>
      <c r="F15" s="126">
        <v>1</v>
      </c>
      <c r="G15" s="118">
        <f t="shared" si="0"/>
        <v>239.3635462842245</v>
      </c>
      <c r="H15" s="119">
        <f t="shared" si="1"/>
        <v>239.3635462842245</v>
      </c>
      <c r="I15" s="80">
        <f>VLOOKUP(B15,All_Ingredients!$A$1:$F$149,6,FALSE())</f>
        <v>1</v>
      </c>
      <c r="J15" s="118">
        <f>VLOOKUP(B15,All_Ingredients!$A$1:$J$149,10,FALSE())</f>
        <v>30</v>
      </c>
      <c r="K15" s="121">
        <f t="shared" si="5"/>
        <v>0.23936354628422449</v>
      </c>
      <c r="L15" s="121">
        <f t="shared" si="6"/>
        <v>7.1809063885267346</v>
      </c>
    </row>
    <row r="17" spans="2:30" ht="14.25" customHeight="1" x14ac:dyDescent="0.3">
      <c r="L17" s="296"/>
    </row>
    <row r="18" spans="2:30" ht="14.25" customHeight="1" x14ac:dyDescent="0.3">
      <c r="L18" s="296"/>
    </row>
    <row r="19" spans="2:30" ht="14.25" customHeight="1" x14ac:dyDescent="0.3">
      <c r="L19" s="296"/>
    </row>
    <row r="20" spans="2:30" ht="14.25" customHeight="1" x14ac:dyDescent="0.3">
      <c r="L20" s="296"/>
    </row>
    <row r="21" spans="2:30" ht="14.25" customHeight="1" x14ac:dyDescent="0.3">
      <c r="L21" s="296"/>
    </row>
    <row r="22" spans="2:30" ht="14.25" customHeight="1" x14ac:dyDescent="0.3">
      <c r="L22" s="296"/>
    </row>
    <row r="23" spans="2:30" ht="23.75" customHeight="1" x14ac:dyDescent="0.3">
      <c r="B23" s="99"/>
      <c r="E23" s="99"/>
      <c r="F23" s="99"/>
      <c r="L23" s="296"/>
    </row>
    <row r="24" spans="2:30" ht="21.75" customHeight="1" x14ac:dyDescent="0.3">
      <c r="B24" s="99"/>
      <c r="E24" s="99"/>
      <c r="F24" s="99"/>
      <c r="L24" s="296"/>
      <c r="Z24" s="1208"/>
    </row>
    <row r="25" spans="2:30" ht="14.25" customHeight="1" x14ac:dyDescent="0.35">
      <c r="B25" s="99"/>
      <c r="E25" s="99"/>
      <c r="F25" s="99"/>
      <c r="L25" s="296"/>
      <c r="R25" s="1440" t="s">
        <v>420</v>
      </c>
      <c r="S25" s="1444"/>
      <c r="T25" s="1444"/>
      <c r="U25" s="1444"/>
      <c r="Z25" s="140" t="s">
        <v>256</v>
      </c>
      <c r="AA25" s="141">
        <v>1</v>
      </c>
      <c r="AB25" s="140" t="s">
        <v>253</v>
      </c>
      <c r="AC25" s="142">
        <f>AD30*AA25</f>
        <v>4.3903540069128458E-2</v>
      </c>
    </row>
    <row r="26" spans="2:30" ht="14.25" customHeight="1" x14ac:dyDescent="0.3">
      <c r="B26" s="99"/>
      <c r="E26" s="99"/>
      <c r="F26" s="99"/>
      <c r="L26" s="296"/>
      <c r="R26" s="1459" t="s">
        <v>301</v>
      </c>
      <c r="S26" s="1444"/>
      <c r="T26" s="1444"/>
      <c r="U26" s="1444"/>
    </row>
    <row r="27" spans="2:30" ht="14.25" customHeight="1" thickBot="1" x14ac:dyDescent="0.35">
      <c r="B27" s="863"/>
      <c r="C27" s="1522"/>
      <c r="D27" s="1522"/>
      <c r="E27" s="1522"/>
      <c r="F27" s="1522"/>
      <c r="G27" s="1522"/>
      <c r="H27" s="864"/>
      <c r="R27" s="144" t="s">
        <v>258</v>
      </c>
      <c r="S27" s="145" t="s">
        <v>302</v>
      </c>
      <c r="T27" s="145" t="s">
        <v>260</v>
      </c>
      <c r="U27" s="145" t="s">
        <v>261</v>
      </c>
      <c r="V27" s="145" t="s">
        <v>817</v>
      </c>
      <c r="Z27" s="140" t="s">
        <v>262</v>
      </c>
      <c r="AA27" s="146" t="s">
        <v>263</v>
      </c>
      <c r="AB27" s="146" t="s">
        <v>264</v>
      </c>
      <c r="AC27" s="1167" t="s">
        <v>817</v>
      </c>
      <c r="AD27" s="146" t="s">
        <v>266</v>
      </c>
    </row>
    <row r="28" spans="2:30" ht="14.25" customHeight="1" thickBot="1" x14ac:dyDescent="0.35">
      <c r="B28" s="865"/>
      <c r="C28" s="866"/>
      <c r="D28" s="867"/>
      <c r="E28" s="865"/>
      <c r="F28" s="865"/>
      <c r="G28" s="867"/>
      <c r="H28" s="868"/>
      <c r="R28" s="147" t="s">
        <v>267</v>
      </c>
      <c r="S28" s="754">
        <f>U28*S40</f>
        <v>19484.615384615379</v>
      </c>
      <c r="T28" s="754">
        <f>U28*U40</f>
        <v>5845.3846153846216</v>
      </c>
      <c r="U28" s="760">
        <f>$Z$1</f>
        <v>25330</v>
      </c>
      <c r="V28" s="148">
        <f>SUM(H37)</f>
        <v>11.690000000000001</v>
      </c>
      <c r="Z28" s="150"/>
      <c r="AA28" s="151">
        <f>AA25*$S$40</f>
        <v>0.76923076923076905</v>
      </c>
      <c r="AB28" s="151">
        <f>AA25*$U$40</f>
        <v>0.230769230769231</v>
      </c>
      <c r="AC28" s="1169"/>
      <c r="AD28" s="153">
        <f>SUM(AA28:AC28)</f>
        <v>1</v>
      </c>
    </row>
    <row r="29" spans="2:30" ht="14.25" customHeight="1" thickBot="1" x14ac:dyDescent="0.35">
      <c r="R29" s="147" t="s">
        <v>268</v>
      </c>
      <c r="S29" s="756"/>
      <c r="T29" s="754"/>
      <c r="U29" s="148" t="s">
        <v>314</v>
      </c>
      <c r="V29" s="148"/>
      <c r="Z29" s="150"/>
      <c r="AA29" s="155">
        <f>AA28/$AD$28</f>
        <v>0.76923076923076905</v>
      </c>
      <c r="AB29" s="155">
        <f>AB28/$AD$28</f>
        <v>0.230769230769231</v>
      </c>
      <c r="AC29" s="1173"/>
      <c r="AD29" s="155">
        <f>AD28/$AD$28</f>
        <v>1</v>
      </c>
    </row>
    <row r="30" spans="2:30" ht="14.25" customHeight="1" thickBot="1" x14ac:dyDescent="0.35">
      <c r="R30" s="147" t="s">
        <v>269</v>
      </c>
      <c r="S30" s="1318">
        <f>U30*S40</f>
        <v>0</v>
      </c>
      <c r="T30" s="754">
        <f>U30*U40</f>
        <v>0</v>
      </c>
      <c r="U30" s="760">
        <f>$AB$1</f>
        <v>0</v>
      </c>
      <c r="V30" s="1124"/>
      <c r="Z30" s="140" t="s">
        <v>270</v>
      </c>
      <c r="AA30" s="156">
        <f>S35/(S28)</f>
        <v>5.1198257080610016E-2</v>
      </c>
      <c r="AB30" s="157">
        <f>T35/T32</f>
        <v>1.9449364269572236E-2</v>
      </c>
      <c r="AC30" s="1180">
        <f>V35/U32</f>
        <v>3.1950560296395276E-5</v>
      </c>
      <c r="AD30" s="1182">
        <f>SUMPRODUCT(AA30:AB30,AA29:AB29)+AC30</f>
        <v>4.3903540069128458E-2</v>
      </c>
    </row>
    <row r="31" spans="2:30" ht="14.25" customHeight="1" thickBot="1" x14ac:dyDescent="0.35">
      <c r="R31" s="147" t="s">
        <v>271</v>
      </c>
      <c r="S31" s="154"/>
      <c r="T31" s="148"/>
      <c r="U31" s="148"/>
      <c r="V31" s="148"/>
    </row>
    <row r="32" spans="2:30" ht="14.25" customHeight="1" thickBot="1" x14ac:dyDescent="0.35">
      <c r="R32" s="159" t="s">
        <v>261</v>
      </c>
      <c r="S32" s="148">
        <f>SUM(S28:S30)</f>
        <v>19484.615384615379</v>
      </c>
      <c r="T32" s="148">
        <f>SUM(T28:T30)</f>
        <v>5845.3846153846216</v>
      </c>
      <c r="U32" s="148">
        <f>SUM(U28:U30)</f>
        <v>25330</v>
      </c>
      <c r="V32" s="148">
        <f>SUM(V28:V30)</f>
        <v>11.690000000000001</v>
      </c>
    </row>
    <row r="33" spans="2:23" ht="14.25" customHeight="1" thickBot="1" x14ac:dyDescent="0.35">
      <c r="R33" s="160" t="s">
        <v>272</v>
      </c>
      <c r="S33" s="154"/>
      <c r="T33" s="154"/>
      <c r="U33" s="154"/>
      <c r="V33" s="154"/>
    </row>
    <row r="34" spans="2:23" ht="14.25" customHeight="1" thickBot="1" x14ac:dyDescent="0.35">
      <c r="R34" s="161" t="s">
        <v>273</v>
      </c>
      <c r="S34" s="154"/>
      <c r="T34" s="148"/>
      <c r="U34" s="154"/>
      <c r="V34" s="154"/>
    </row>
    <row r="35" spans="2:23" ht="14.25" customHeight="1" thickBot="1" x14ac:dyDescent="0.35">
      <c r="B35" s="1484" t="s">
        <v>688</v>
      </c>
      <c r="C35" s="1484"/>
      <c r="D35" s="1484"/>
      <c r="E35" s="1484"/>
      <c r="F35" s="1484"/>
      <c r="G35" s="870"/>
      <c r="H35" s="870"/>
      <c r="I35" s="877"/>
      <c r="J35" s="877"/>
      <c r="K35" s="877"/>
      <c r="L35" s="877"/>
      <c r="R35" s="162" t="s">
        <v>253</v>
      </c>
      <c r="S35" s="163">
        <f>$L$5</f>
        <v>997.57834757834723</v>
      </c>
      <c r="T35" s="163">
        <f>SUM(L6:L15)</f>
        <v>113.68901468036891</v>
      </c>
      <c r="U35" s="1211">
        <f>S35+T35+V35</f>
        <v>1112.0766699510236</v>
      </c>
      <c r="V35" s="1184">
        <f>SUM(L37)</f>
        <v>0.80930769230769228</v>
      </c>
    </row>
    <row r="36" spans="2:23" ht="46.5" x14ac:dyDescent="0.3">
      <c r="B36" s="848" t="s">
        <v>245</v>
      </c>
      <c r="C36" s="848" t="s">
        <v>321</v>
      </c>
      <c r="D36" s="850" t="s">
        <v>645</v>
      </c>
      <c r="E36" s="847" t="s">
        <v>646</v>
      </c>
      <c r="F36" s="850" t="s">
        <v>647</v>
      </c>
      <c r="G36" s="870"/>
      <c r="H36" s="850" t="s">
        <v>647</v>
      </c>
      <c r="I36" s="850" t="s">
        <v>250</v>
      </c>
      <c r="J36" s="850" t="s">
        <v>251</v>
      </c>
      <c r="K36" s="850" t="s">
        <v>252</v>
      </c>
      <c r="L36" s="850" t="s">
        <v>253</v>
      </c>
    </row>
    <row r="37" spans="2:23" x14ac:dyDescent="0.3">
      <c r="B37" s="843" t="s">
        <v>716</v>
      </c>
      <c r="C37" s="844" t="s">
        <v>14</v>
      </c>
      <c r="D37" s="845">
        <v>7.0000000000000007E-2</v>
      </c>
      <c r="E37" s="843">
        <f>$AD$1</f>
        <v>167</v>
      </c>
      <c r="F37" s="843">
        <f>D37*E37</f>
        <v>11.690000000000001</v>
      </c>
      <c r="G37" s="869"/>
      <c r="H37" s="843">
        <f>F37</f>
        <v>11.690000000000001</v>
      </c>
      <c r="I37" s="843">
        <f>VLOOKUP(B37,All_Ingredients!$A$1:$F$149,6,FALSE())</f>
        <v>0.65</v>
      </c>
      <c r="J37" s="843">
        <f>VLOOKUP(B37,All_Ingredients!$A$1:$J$149,10,FALSE())</f>
        <v>45</v>
      </c>
      <c r="K37" s="843">
        <f>(H37/I37)/1000</f>
        <v>1.7984615384615384E-2</v>
      </c>
      <c r="L37" s="843">
        <f>K37*J37</f>
        <v>0.80930769230769228</v>
      </c>
    </row>
    <row r="39" spans="2:23" ht="14" customHeight="1" x14ac:dyDescent="0.3"/>
    <row r="40" spans="2:23" ht="14" customHeight="1" x14ac:dyDescent="0.3">
      <c r="R40" s="164" t="s">
        <v>274</v>
      </c>
      <c r="S40" s="165">
        <v>0.76923076923076905</v>
      </c>
      <c r="T40" s="164" t="s">
        <v>275</v>
      </c>
      <c r="U40" s="166">
        <v>0.230769230769231</v>
      </c>
      <c r="V40" s="167">
        <f>S40+U40</f>
        <v>1</v>
      </c>
    </row>
    <row r="41" spans="2:23" ht="14.25" customHeight="1" x14ac:dyDescent="0.3">
      <c r="U41" s="168"/>
    </row>
    <row r="42" spans="2:23" ht="14.25" customHeight="1" x14ac:dyDescent="0.3"/>
    <row r="43" spans="2:23" ht="14.25" customHeight="1" x14ac:dyDescent="0.3">
      <c r="Q43" s="169" t="s">
        <v>276</v>
      </c>
      <c r="R43" s="169" t="s">
        <v>277</v>
      </c>
      <c r="S43" s="169" t="s">
        <v>278</v>
      </c>
      <c r="T43" s="169" t="s">
        <v>279</v>
      </c>
      <c r="U43" s="169" t="s">
        <v>280</v>
      </c>
      <c r="V43" s="169" t="s">
        <v>281</v>
      </c>
      <c r="W43" s="257" t="s">
        <v>282</v>
      </c>
    </row>
    <row r="44" spans="2:23" ht="14.25" customHeight="1" x14ac:dyDescent="0.3">
      <c r="Q44" s="171">
        <v>43334</v>
      </c>
      <c r="R44" s="172">
        <f>D51</f>
        <v>10000</v>
      </c>
      <c r="S44" s="173">
        <v>1</v>
      </c>
      <c r="T44" s="173">
        <v>0</v>
      </c>
      <c r="U44" s="241">
        <f>R44*S44</f>
        <v>10000</v>
      </c>
      <c r="V44" s="175">
        <f>R44*T44</f>
        <v>0</v>
      </c>
      <c r="W44" s="259">
        <f>Q44-U44</f>
        <v>33334</v>
      </c>
    </row>
    <row r="50" spans="1:10" x14ac:dyDescent="0.3">
      <c r="B50" s="275"/>
      <c r="C50" s="144" t="s">
        <v>237</v>
      </c>
      <c r="D50" s="144" t="s">
        <v>283</v>
      </c>
      <c r="E50" s="99"/>
      <c r="F50" s="99"/>
      <c r="G50" s="144" t="s">
        <v>284</v>
      </c>
      <c r="H50" s="144" t="s">
        <v>237</v>
      </c>
      <c r="I50" s="144" t="s">
        <v>285</v>
      </c>
      <c r="J50" s="144" t="s">
        <v>286</v>
      </c>
    </row>
    <row r="51" spans="1:10" x14ac:dyDescent="0.3">
      <c r="B51" s="179" t="s">
        <v>287</v>
      </c>
      <c r="C51" s="180">
        <f>10/$K$1</f>
        <v>10.23728813559322</v>
      </c>
      <c r="D51" s="181">
        <f>$C$1*10</f>
        <v>10000</v>
      </c>
      <c r="E51" s="182"/>
      <c r="F51" s="99"/>
      <c r="G51" s="179" t="s">
        <v>287</v>
      </c>
      <c r="H51" s="276">
        <f>I51/$D$5</f>
        <v>10</v>
      </c>
      <c r="I51" s="180">
        <f>J51/$R$1</f>
        <v>65360.784313725489</v>
      </c>
      <c r="J51" s="180">
        <f>$W$44</f>
        <v>33334</v>
      </c>
    </row>
    <row r="52" spans="1:10" x14ac:dyDescent="0.3">
      <c r="B52" s="230" t="s">
        <v>266</v>
      </c>
      <c r="C52" s="231">
        <f>$I$1</f>
        <v>5.9840886571056124</v>
      </c>
      <c r="D52" s="232">
        <f>$E$1</f>
        <v>5845.3846153846216</v>
      </c>
      <c r="E52" s="99"/>
      <c r="F52" s="99"/>
      <c r="G52" s="147" t="s">
        <v>266</v>
      </c>
      <c r="H52" s="209">
        <f>I52/$D$5</f>
        <v>5.8452677100304138</v>
      </c>
      <c r="I52" s="175">
        <f>J52/$R$1</f>
        <v>38205.128205128196</v>
      </c>
      <c r="J52" s="183">
        <f>$S$32</f>
        <v>19484.615384615379</v>
      </c>
    </row>
    <row r="53" spans="1:10" x14ac:dyDescent="0.3">
      <c r="B53" s="230" t="s">
        <v>288</v>
      </c>
      <c r="C53" s="233">
        <f>MIN(C52, C51)</f>
        <v>5.9840886571056124</v>
      </c>
      <c r="D53" s="232">
        <f>(C53*$K$1)*$C$1</f>
        <v>5845.3846153846216</v>
      </c>
      <c r="E53" s="99"/>
      <c r="F53" s="99"/>
      <c r="G53" s="147" t="s">
        <v>288</v>
      </c>
      <c r="H53" s="186">
        <f>MIN(H52,H51)</f>
        <v>5.8452677100304138</v>
      </c>
      <c r="I53" s="175">
        <f>J53/$R$1</f>
        <v>38205.128205128196</v>
      </c>
      <c r="J53" s="175">
        <f>MIN(J52,J51)</f>
        <v>19484.615384615379</v>
      </c>
    </row>
    <row r="54" spans="1:10" x14ac:dyDescent="0.3">
      <c r="B54" s="230" t="s">
        <v>289</v>
      </c>
      <c r="C54" s="233">
        <f>MIN(MAX(C52-C53,0),C51)</f>
        <v>0</v>
      </c>
      <c r="D54" s="232">
        <f>(C54*$K$1)*$C$1</f>
        <v>0</v>
      </c>
      <c r="E54" s="99"/>
      <c r="F54" s="99"/>
      <c r="G54" s="147" t="s">
        <v>289</v>
      </c>
      <c r="H54" s="186">
        <f>MIN(MAX(H52-H53),H51)</f>
        <v>0</v>
      </c>
      <c r="I54" s="175">
        <f>J54/$R$1</f>
        <v>0</v>
      </c>
      <c r="J54" s="175">
        <f>MIN(MAX(J52-J53),J51)</f>
        <v>0</v>
      </c>
    </row>
    <row r="55" spans="1:10" x14ac:dyDescent="0.3">
      <c r="B55" s="230" t="s">
        <v>290</v>
      </c>
      <c r="C55" s="233">
        <f>MIN(MAX(C52-C53-C54,0),C51)</f>
        <v>0</v>
      </c>
      <c r="D55" s="232">
        <f>(C55*$K$1)*$C$1</f>
        <v>0</v>
      </c>
      <c r="E55" s="99"/>
      <c r="F55" s="99"/>
      <c r="G55" s="144" t="s">
        <v>290</v>
      </c>
      <c r="H55" s="186">
        <f>MIN(MAX(H52-H53-H54),H51)</f>
        <v>0</v>
      </c>
      <c r="I55" s="175">
        <f>J55/$R$1</f>
        <v>0</v>
      </c>
      <c r="J55" s="175">
        <f>MIN(MAX(J52-J53-J54),J51)</f>
        <v>0</v>
      </c>
    </row>
    <row r="62" spans="1:10" ht="17.75" customHeight="1" x14ac:dyDescent="0.3">
      <c r="A62" s="922"/>
      <c r="B62" s="1438" t="str">
        <f>"بيف امانسي   1 / " &amp; COUNTIF($C$53:$C$55, "&gt;0")</f>
        <v>بيف امانسي   1 / 1</v>
      </c>
      <c r="C62" s="1439"/>
      <c r="D62" s="1439"/>
      <c r="E62" s="1439"/>
      <c r="F62" s="1439"/>
      <c r="G62" s="1439"/>
      <c r="H62" s="1439"/>
    </row>
    <row r="63" spans="1:10" ht="17.75" customHeight="1" x14ac:dyDescent="0.3">
      <c r="A63" s="922"/>
      <c r="B63" s="1436" t="str">
        <f>"Beef Amansi   1 / " &amp; COUNTIF($C$53:$C$55, "&gt;0")</f>
        <v>Beef Amansi   1 / 1</v>
      </c>
      <c r="C63" s="1437"/>
      <c r="D63" s="1437"/>
      <c r="E63" s="1437"/>
      <c r="F63" s="1437"/>
      <c r="G63" s="1437"/>
      <c r="H63" s="1437"/>
    </row>
    <row r="64" spans="1:10" ht="25.5" customHeight="1" x14ac:dyDescent="0.25">
      <c r="A64" s="90"/>
      <c r="B64" s="242" t="s">
        <v>245</v>
      </c>
      <c r="C64" s="243" t="s">
        <v>246</v>
      </c>
      <c r="D64" s="244" t="s">
        <v>235</v>
      </c>
      <c r="E64" s="217" t="s">
        <v>238</v>
      </c>
      <c r="F64" s="217" t="s">
        <v>247</v>
      </c>
      <c r="G64" s="244" t="s">
        <v>248</v>
      </c>
      <c r="H64" s="217" t="s">
        <v>249</v>
      </c>
    </row>
    <row r="65" spans="1:8" ht="14.25" customHeight="1" x14ac:dyDescent="0.3">
      <c r="A65" s="127" t="s">
        <v>225</v>
      </c>
      <c r="B65" s="322" t="str">
        <f t="shared" ref="B65:D75" si="7">B5</f>
        <v>Indian Meat Alana  - لحم هندى ألانا</v>
      </c>
      <c r="C65" s="123" t="str">
        <f t="shared" si="7"/>
        <v>gm</v>
      </c>
      <c r="D65" s="115">
        <f t="shared" si="7"/>
        <v>6536.0784313725489</v>
      </c>
      <c r="E65" s="125">
        <f>H53</f>
        <v>5.8452677100304138</v>
      </c>
      <c r="F65" s="126">
        <f t="shared" ref="F65:F75" si="8">F5</f>
        <v>1</v>
      </c>
      <c r="G65" s="118">
        <f t="shared" ref="G65:G75" si="9">D65*E65</f>
        <v>38205.128205128196</v>
      </c>
      <c r="H65" s="119">
        <f t="shared" ref="H65:H75" si="10">G65*F65</f>
        <v>38205.128205128196</v>
      </c>
    </row>
    <row r="66" spans="1:8" ht="14.25" customHeight="1" x14ac:dyDescent="0.3">
      <c r="A66" s="127" t="s">
        <v>13</v>
      </c>
      <c r="B66" s="322" t="str">
        <f t="shared" si="7"/>
        <v>Garlic - ثوم مقشر</v>
      </c>
      <c r="C66" s="123" t="str">
        <f t="shared" si="7"/>
        <v>gm</v>
      </c>
      <c r="D66" s="124">
        <f t="shared" si="7"/>
        <v>25</v>
      </c>
      <c r="E66" s="125">
        <f>$C$53</f>
        <v>5.9840886571056124</v>
      </c>
      <c r="F66" s="126">
        <f t="shared" si="8"/>
        <v>0.95</v>
      </c>
      <c r="G66" s="118">
        <f t="shared" si="9"/>
        <v>149.60221642764031</v>
      </c>
      <c r="H66" s="119">
        <f t="shared" si="10"/>
        <v>142.12210560625829</v>
      </c>
    </row>
    <row r="67" spans="1:8" ht="14.25" customHeight="1" x14ac:dyDescent="0.3">
      <c r="A67" s="127" t="s">
        <v>13</v>
      </c>
      <c r="B67" s="322" t="str">
        <f t="shared" si="7"/>
        <v>Onion - بصل</v>
      </c>
      <c r="C67" s="123" t="str">
        <f t="shared" si="7"/>
        <v>gm</v>
      </c>
      <c r="D67" s="124">
        <f t="shared" si="7"/>
        <v>200</v>
      </c>
      <c r="E67" s="125">
        <f t="shared" ref="E67:E75" si="11">$C$53</f>
        <v>5.9840886571056124</v>
      </c>
      <c r="F67" s="126">
        <f t="shared" si="8"/>
        <v>0.95</v>
      </c>
      <c r="G67" s="118">
        <f t="shared" si="9"/>
        <v>1196.8177314211225</v>
      </c>
      <c r="H67" s="119">
        <f t="shared" si="10"/>
        <v>1136.9768448500663</v>
      </c>
    </row>
    <row r="68" spans="1:8" ht="14.25" customHeight="1" x14ac:dyDescent="0.3">
      <c r="A68" s="127" t="s">
        <v>192</v>
      </c>
      <c r="B68" s="322" t="str">
        <f t="shared" si="7"/>
        <v>Demi Glaze Sauce - صوص ديمي غلاز</v>
      </c>
      <c r="C68" s="123" t="str">
        <f t="shared" si="7"/>
        <v>gm</v>
      </c>
      <c r="D68" s="124">
        <f t="shared" si="7"/>
        <v>50</v>
      </c>
      <c r="E68" s="125">
        <f t="shared" si="11"/>
        <v>5.9840886571056124</v>
      </c>
      <c r="F68" s="126">
        <f t="shared" si="8"/>
        <v>1</v>
      </c>
      <c r="G68" s="118">
        <f t="shared" si="9"/>
        <v>299.20443285528063</v>
      </c>
      <c r="H68" s="119">
        <f t="shared" si="10"/>
        <v>299.20443285528063</v>
      </c>
    </row>
    <row r="69" spans="1:8" ht="14.25" customHeight="1" x14ac:dyDescent="0.3">
      <c r="A69" s="127" t="s">
        <v>95</v>
      </c>
      <c r="B69" s="322" t="str">
        <f t="shared" si="7"/>
        <v>Black Pepper Powder - فلفل أسود مطحون</v>
      </c>
      <c r="C69" s="123" t="str">
        <f t="shared" si="7"/>
        <v>gm</v>
      </c>
      <c r="D69" s="124">
        <f t="shared" si="7"/>
        <v>5</v>
      </c>
      <c r="E69" s="125">
        <f t="shared" si="11"/>
        <v>5.9840886571056124</v>
      </c>
      <c r="F69" s="126">
        <f t="shared" si="8"/>
        <v>1</v>
      </c>
      <c r="G69" s="118">
        <f t="shared" si="9"/>
        <v>29.920443285528062</v>
      </c>
      <c r="H69" s="119">
        <f t="shared" si="10"/>
        <v>29.920443285528062</v>
      </c>
    </row>
    <row r="70" spans="1:8" ht="14.25" customHeight="1" x14ac:dyDescent="0.3">
      <c r="A70" s="127" t="s">
        <v>95</v>
      </c>
      <c r="B70" s="322" t="str">
        <f t="shared" si="7"/>
        <v>Maggi Cubes - مكعبات ماجي</v>
      </c>
      <c r="C70" s="123" t="str">
        <f t="shared" si="7"/>
        <v>gm</v>
      </c>
      <c r="D70" s="124">
        <f t="shared" si="7"/>
        <v>8</v>
      </c>
      <c r="E70" s="125">
        <f t="shared" si="11"/>
        <v>5.9840886571056124</v>
      </c>
      <c r="F70" s="126">
        <f t="shared" si="8"/>
        <v>0.75</v>
      </c>
      <c r="G70" s="118">
        <f t="shared" si="9"/>
        <v>47.8727092568449</v>
      </c>
      <c r="H70" s="119">
        <f t="shared" si="10"/>
        <v>35.904531942633675</v>
      </c>
    </row>
    <row r="71" spans="1:8" ht="14.25" customHeight="1" x14ac:dyDescent="0.3">
      <c r="A71" s="127" t="s">
        <v>95</v>
      </c>
      <c r="B71" s="322" t="str">
        <f t="shared" si="7"/>
        <v>Salt - ملح</v>
      </c>
      <c r="C71" s="123" t="str">
        <f t="shared" si="7"/>
        <v>gm</v>
      </c>
      <c r="D71" s="124">
        <f t="shared" si="7"/>
        <v>5</v>
      </c>
      <c r="E71" s="125">
        <f t="shared" si="11"/>
        <v>5.9840886571056124</v>
      </c>
      <c r="F71" s="126">
        <f t="shared" si="8"/>
        <v>1</v>
      </c>
      <c r="G71" s="118">
        <f t="shared" si="9"/>
        <v>29.920443285528062</v>
      </c>
      <c r="H71" s="119">
        <f t="shared" si="10"/>
        <v>29.920443285528062</v>
      </c>
    </row>
    <row r="72" spans="1:8" ht="14.25" customHeight="1" x14ac:dyDescent="0.3">
      <c r="A72" s="127" t="s">
        <v>13</v>
      </c>
      <c r="B72" s="322" t="str">
        <f t="shared" si="7"/>
        <v>Mushroom - مشروم ابيض</v>
      </c>
      <c r="C72" s="123" t="str">
        <f t="shared" si="7"/>
        <v>gm</v>
      </c>
      <c r="D72" s="124">
        <f t="shared" si="7"/>
        <v>200</v>
      </c>
      <c r="E72" s="125">
        <f t="shared" si="11"/>
        <v>5.9840886571056124</v>
      </c>
      <c r="F72" s="126">
        <f t="shared" si="8"/>
        <v>1</v>
      </c>
      <c r="G72" s="118">
        <f t="shared" si="9"/>
        <v>1196.8177314211225</v>
      </c>
      <c r="H72" s="119">
        <f t="shared" si="10"/>
        <v>1196.8177314211225</v>
      </c>
    </row>
    <row r="73" spans="1:8" ht="14.25" customHeight="1" x14ac:dyDescent="0.3">
      <c r="A73" s="127" t="s">
        <v>13</v>
      </c>
      <c r="B73" s="322" t="str">
        <f t="shared" si="7"/>
        <v>Carrot - جزر</v>
      </c>
      <c r="C73" s="123" t="str">
        <f t="shared" si="7"/>
        <v>gm</v>
      </c>
      <c r="D73" s="124">
        <f t="shared" si="7"/>
        <v>100</v>
      </c>
      <c r="E73" s="125">
        <f t="shared" si="11"/>
        <v>5.9840886571056124</v>
      </c>
      <c r="F73" s="126">
        <f t="shared" si="8"/>
        <v>0.75</v>
      </c>
      <c r="G73" s="118">
        <f t="shared" si="9"/>
        <v>598.40886571056126</v>
      </c>
      <c r="H73" s="119">
        <f t="shared" si="10"/>
        <v>448.80664928292094</v>
      </c>
    </row>
    <row r="74" spans="1:8" ht="14.25" customHeight="1" x14ac:dyDescent="0.3">
      <c r="A74" s="127" t="s">
        <v>154</v>
      </c>
      <c r="B74" s="322" t="str">
        <f t="shared" si="7"/>
        <v>Cooking Cream - كريمة طبخ</v>
      </c>
      <c r="C74" s="123" t="str">
        <f t="shared" si="7"/>
        <v>ml</v>
      </c>
      <c r="D74" s="124">
        <f t="shared" si="7"/>
        <v>700</v>
      </c>
      <c r="E74" s="125">
        <f t="shared" si="11"/>
        <v>5.9840886571056124</v>
      </c>
      <c r="F74" s="126">
        <f t="shared" si="8"/>
        <v>1</v>
      </c>
      <c r="G74" s="118">
        <f t="shared" si="9"/>
        <v>4188.8620599739288</v>
      </c>
      <c r="H74" s="119">
        <f t="shared" si="10"/>
        <v>4188.8620599739288</v>
      </c>
    </row>
    <row r="75" spans="1:8" ht="14.25" customHeight="1" x14ac:dyDescent="0.3">
      <c r="A75" s="127" t="s">
        <v>154</v>
      </c>
      <c r="B75" s="322" t="str">
        <f t="shared" si="7"/>
        <v>Butter - زبدة</v>
      </c>
      <c r="C75" s="123" t="str">
        <f t="shared" si="7"/>
        <v>gm</v>
      </c>
      <c r="D75" s="124">
        <f t="shared" si="7"/>
        <v>40</v>
      </c>
      <c r="E75" s="125">
        <f t="shared" si="11"/>
        <v>5.9840886571056124</v>
      </c>
      <c r="F75" s="126">
        <f t="shared" si="8"/>
        <v>1</v>
      </c>
      <c r="G75" s="118">
        <f t="shared" si="9"/>
        <v>239.3635462842245</v>
      </c>
      <c r="H75" s="119">
        <f t="shared" si="10"/>
        <v>239.3635462842245</v>
      </c>
    </row>
    <row r="76" spans="1:8" ht="20.25" customHeight="1" x14ac:dyDescent="0.3">
      <c r="A76" s="210"/>
      <c r="B76" s="197" t="s">
        <v>291</v>
      </c>
      <c r="C76" s="199" t="s">
        <v>277</v>
      </c>
      <c r="E76" s="199" t="s">
        <v>292</v>
      </c>
      <c r="G76" s="878" t="s">
        <v>268</v>
      </c>
      <c r="H76" s="878" t="s">
        <v>703</v>
      </c>
    </row>
    <row r="77" spans="1:8" ht="20" x14ac:dyDescent="0.4">
      <c r="A77" s="210"/>
      <c r="B77" s="198">
        <f>$J$53</f>
        <v>19484.615384615379</v>
      </c>
      <c r="C77" s="198">
        <f>E77+G77</f>
        <v>5845.3846153846216</v>
      </c>
      <c r="D77" s="915"/>
      <c r="E77" s="198">
        <f>$D$53*$S$44</f>
        <v>5845.3846153846216</v>
      </c>
      <c r="F77" s="919"/>
      <c r="G77" s="198">
        <f>$D$53*$T$44</f>
        <v>0</v>
      </c>
      <c r="H77" s="198">
        <f>B77+E77</f>
        <v>25330</v>
      </c>
    </row>
  </sheetData>
  <mergeCells count="8">
    <mergeCell ref="B63:H63"/>
    <mergeCell ref="AE2:AG3"/>
    <mergeCell ref="R26:U26"/>
    <mergeCell ref="B62:H62"/>
    <mergeCell ref="R25:U25"/>
    <mergeCell ref="B2:K3"/>
    <mergeCell ref="C27:G27"/>
    <mergeCell ref="B35:F35"/>
  </mergeCells>
  <printOptions horizontalCentered="1"/>
  <pageMargins left="0.5" right="0.5" top="1" bottom="0.5" header="0.3" footer="0.511811023622047"/>
  <pageSetup paperSize="9" scale="31" orientation="portrait" r:id="rId1"/>
  <legacyDrawing r:id="rId2"/>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rgb="FF7C7C7C"/>
    <pageSetUpPr fitToPage="1"/>
  </sheetPr>
  <dimension ref="A1:AT107"/>
  <sheetViews>
    <sheetView topLeftCell="A9" zoomScale="70" zoomScaleNormal="70" workbookViewId="0">
      <selection activeCell="T95" sqref="T95"/>
    </sheetView>
  </sheetViews>
  <sheetFormatPr defaultColWidth="12.5" defaultRowHeight="14" x14ac:dyDescent="0.3"/>
  <cols>
    <col min="1" max="1" width="12.5" style="78" customWidth="1"/>
    <col min="2" max="2" width="33.5" style="14" customWidth="1"/>
    <col min="3" max="3" width="18.6640625" style="14" customWidth="1"/>
    <col min="4" max="4" width="19" style="14" customWidth="1"/>
    <col min="5" max="5" width="18.9140625" style="14" customWidth="1"/>
    <col min="6" max="6" width="23.08203125" style="14" customWidth="1"/>
    <col min="7" max="7" width="25.1640625" style="14" customWidth="1"/>
    <col min="8" max="8" width="36.1640625" style="14" customWidth="1"/>
    <col min="9" max="9" width="17.9140625" style="14" customWidth="1"/>
    <col min="10" max="11" width="12.5" style="14" customWidth="1"/>
    <col min="12" max="12" width="8.33203125" style="14" customWidth="1"/>
    <col min="13" max="14" width="4" style="14" customWidth="1"/>
    <col min="15" max="17" width="12.5" style="14" customWidth="1"/>
    <col min="18" max="18" width="32.83203125" style="14" customWidth="1"/>
    <col min="19" max="19" width="16.58203125" style="14" customWidth="1"/>
    <col min="20" max="27" width="12.5" style="14" customWidth="1"/>
    <col min="28" max="28" width="11.9140625" style="14" bestFit="1" customWidth="1"/>
    <col min="29" max="29" width="13.33203125" style="14" bestFit="1" customWidth="1"/>
    <col min="30" max="30" width="11.58203125" style="14" bestFit="1" customWidth="1"/>
    <col min="31" max="35" width="4.75" style="14" customWidth="1"/>
    <col min="36" max="36" width="33.83203125" style="14" customWidth="1"/>
    <col min="37" max="41" width="12.5" style="14"/>
    <col min="42" max="42" width="15.75" style="14" customWidth="1"/>
    <col min="43" max="16384" width="12.5" style="14"/>
  </cols>
  <sheetData>
    <row r="1" spans="1:46" ht="35.25" customHeight="1" x14ac:dyDescent="0.3">
      <c r="B1" s="79" t="s">
        <v>235</v>
      </c>
      <c r="C1" s="80">
        <v>1000</v>
      </c>
      <c r="D1" s="81" t="s">
        <v>236</v>
      </c>
      <c r="E1" s="82">
        <f>T32</f>
        <v>11607.692307692319</v>
      </c>
      <c r="F1" s="79" t="s">
        <v>237</v>
      </c>
      <c r="G1" s="80">
        <f>E1/C1</f>
        <v>11.60769230769232</v>
      </c>
      <c r="H1" s="79" t="s">
        <v>238</v>
      </c>
      <c r="I1" s="281">
        <f>(G1/K1)</f>
        <v>11.724941724941738</v>
      </c>
      <c r="J1" s="85" t="s">
        <v>239</v>
      </c>
      <c r="K1" s="282">
        <v>0.99</v>
      </c>
      <c r="L1" s="99"/>
      <c r="M1" s="88"/>
      <c r="N1" s="89"/>
      <c r="O1" s="90" t="s">
        <v>240</v>
      </c>
      <c r="P1" s="91" t="s">
        <v>336</v>
      </c>
      <c r="Q1" s="92" t="s">
        <v>242</v>
      </c>
      <c r="R1" s="91">
        <v>0.57999999999999996</v>
      </c>
      <c r="S1" s="99"/>
      <c r="Y1" s="90" t="s">
        <v>463</v>
      </c>
      <c r="Z1" s="835">
        <v>49800</v>
      </c>
      <c r="AA1" s="90" t="s">
        <v>578</v>
      </c>
      <c r="AB1" s="835">
        <v>500</v>
      </c>
      <c r="AC1" s="90" t="s">
        <v>567</v>
      </c>
      <c r="AD1" s="835">
        <v>352</v>
      </c>
      <c r="AE1" s="250"/>
      <c r="AF1" s="251"/>
      <c r="AG1" s="91"/>
      <c r="AJ1" s="93" t="s">
        <v>254</v>
      </c>
      <c r="AK1" s="93">
        <v>10000</v>
      </c>
      <c r="AL1" s="623" t="s">
        <v>503</v>
      </c>
      <c r="AM1" s="624">
        <f>$S$32</f>
        <v>38692.307692307681</v>
      </c>
      <c r="AN1" s="93" t="s">
        <v>243</v>
      </c>
      <c r="AO1" s="95">
        <f>($S$32/$R$1)/$AK$1</f>
        <v>6.6710875331564967</v>
      </c>
      <c r="AP1" s="94"/>
    </row>
    <row r="2" spans="1:46" ht="12.75" customHeight="1" x14ac:dyDescent="0.3">
      <c r="A2" s="96"/>
      <c r="B2" s="1450" t="s">
        <v>105</v>
      </c>
      <c r="C2" s="1460"/>
      <c r="D2" s="1460"/>
      <c r="E2" s="1460"/>
      <c r="F2" s="1460"/>
      <c r="G2" s="1460"/>
      <c r="H2" s="1460"/>
      <c r="I2" s="1460"/>
      <c r="J2" s="1460"/>
      <c r="K2" s="1462"/>
      <c r="L2" s="292"/>
      <c r="M2" s="99"/>
      <c r="N2" s="99"/>
      <c r="O2" s="99"/>
      <c r="P2" s="99"/>
      <c r="Q2" s="99"/>
      <c r="R2" s="99"/>
      <c r="S2" s="99"/>
      <c r="AC2" s="98"/>
      <c r="AD2" s="98"/>
      <c r="AE2" s="1457"/>
      <c r="AF2" s="1460"/>
      <c r="AG2" s="1460"/>
      <c r="AJ2" s="100"/>
      <c r="AK2" s="100"/>
      <c r="AL2" s="1442" t="s">
        <v>421</v>
      </c>
      <c r="AM2" s="1442"/>
      <c r="AN2" s="101"/>
      <c r="AO2" s="100"/>
      <c r="AP2" s="100"/>
    </row>
    <row r="3" spans="1:46" ht="12.75" customHeight="1" x14ac:dyDescent="0.3">
      <c r="A3" s="96"/>
      <c r="B3" s="1444"/>
      <c r="C3" s="1444"/>
      <c r="D3" s="1444"/>
      <c r="E3" s="1444"/>
      <c r="F3" s="1444"/>
      <c r="G3" s="1444"/>
      <c r="H3" s="1444"/>
      <c r="I3" s="1444"/>
      <c r="J3" s="1444"/>
      <c r="K3" s="1463"/>
      <c r="L3" s="292"/>
      <c r="M3" s="99"/>
      <c r="N3" s="99"/>
      <c r="O3" s="99"/>
      <c r="P3" s="99"/>
      <c r="Q3" s="99"/>
      <c r="R3" s="99"/>
      <c r="S3" s="99"/>
      <c r="AC3" s="98"/>
      <c r="AD3" s="98"/>
      <c r="AE3" s="1460"/>
      <c r="AF3" s="1460"/>
      <c r="AG3" s="1460"/>
      <c r="AJ3" s="372"/>
      <c r="AK3" s="103"/>
      <c r="AL3" s="104"/>
      <c r="AM3" s="104"/>
      <c r="AN3" s="104"/>
      <c r="AO3" s="103"/>
      <c r="AP3" s="103"/>
    </row>
    <row r="4" spans="1:46" ht="69" customHeight="1" x14ac:dyDescent="0.25">
      <c r="A4" s="90" t="s">
        <v>1</v>
      </c>
      <c r="B4" s="90" t="s">
        <v>245</v>
      </c>
      <c r="C4" s="106" t="s">
        <v>246</v>
      </c>
      <c r="D4" s="90" t="s">
        <v>235</v>
      </c>
      <c r="E4" s="107" t="s">
        <v>238</v>
      </c>
      <c r="F4" s="107" t="s">
        <v>247</v>
      </c>
      <c r="G4" s="90" t="s">
        <v>248</v>
      </c>
      <c r="H4" s="217" t="s">
        <v>249</v>
      </c>
      <c r="I4" s="90" t="s">
        <v>250</v>
      </c>
      <c r="J4" s="90" t="s">
        <v>251</v>
      </c>
      <c r="K4" s="90" t="s">
        <v>252</v>
      </c>
      <c r="L4" s="90" t="s">
        <v>253</v>
      </c>
      <c r="M4" s="99"/>
      <c r="N4" s="99"/>
      <c r="O4" s="99"/>
      <c r="P4" s="99"/>
      <c r="Q4" s="99"/>
      <c r="AA4" s="250"/>
      <c r="AB4" s="252"/>
      <c r="AC4" s="250"/>
      <c r="AD4" s="250"/>
      <c r="AE4" s="250"/>
      <c r="AJ4" s="109" t="s">
        <v>245</v>
      </c>
      <c r="AK4" s="110" t="s">
        <v>246</v>
      </c>
      <c r="AL4" s="109" t="s">
        <v>254</v>
      </c>
      <c r="AM4" s="109" t="s">
        <v>238</v>
      </c>
      <c r="AN4" s="109" t="s">
        <v>247</v>
      </c>
      <c r="AO4" s="109" t="s">
        <v>248</v>
      </c>
      <c r="AP4" s="111" t="s">
        <v>249</v>
      </c>
      <c r="AQ4" s="90" t="s">
        <v>250</v>
      </c>
      <c r="AR4" s="90" t="s">
        <v>251</v>
      </c>
      <c r="AS4" s="90" t="s">
        <v>252</v>
      </c>
      <c r="AT4" s="90" t="s">
        <v>253</v>
      </c>
    </row>
    <row r="5" spans="1:46" ht="14.25" customHeight="1" x14ac:dyDescent="0.25">
      <c r="A5" s="265" t="s">
        <v>225</v>
      </c>
      <c r="B5" s="491" t="s">
        <v>224</v>
      </c>
      <c r="C5" s="114" t="s">
        <v>14</v>
      </c>
      <c r="D5" s="120">
        <f>I51/H51</f>
        <v>5747.2413793103451</v>
      </c>
      <c r="E5" s="116">
        <f>H52</f>
        <v>11.607460158489134</v>
      </c>
      <c r="F5" s="126">
        <v>1</v>
      </c>
      <c r="G5" s="118">
        <f t="shared" ref="G5:G21" si="0">D5*E5</f>
        <v>66710.875331564966</v>
      </c>
      <c r="H5" s="119">
        <f t="shared" ref="H5:H21" si="1">G5*F5</f>
        <v>66710.875331564966</v>
      </c>
      <c r="I5" s="80">
        <f>VLOOKUP(B5,All_Ingredients!$A$1:$F$149,6,FALSE())</f>
        <v>0.86</v>
      </c>
      <c r="J5" s="118">
        <f>VLOOKUP(B5,All_Ingredients!$A$1:$J$149,10,FALSE())</f>
        <v>17.100000000000001</v>
      </c>
      <c r="K5" s="121">
        <f t="shared" ref="K5" si="2">(H5/I5)/1000</f>
        <v>77.570785269261592</v>
      </c>
      <c r="L5" s="121">
        <f t="shared" ref="L5" si="3">K5*J5</f>
        <v>1326.4604281043732</v>
      </c>
      <c r="M5" s="99"/>
      <c r="N5" s="99"/>
      <c r="O5" s="99"/>
      <c r="P5" s="99"/>
      <c r="Q5" s="99"/>
      <c r="AA5" s="91"/>
      <c r="AB5" s="132"/>
      <c r="AC5" s="253"/>
      <c r="AD5" s="134"/>
      <c r="AE5" s="135"/>
      <c r="AJ5" s="373" t="s">
        <v>224</v>
      </c>
      <c r="AK5" s="123" t="s">
        <v>231</v>
      </c>
      <c r="AL5" s="374">
        <v>10</v>
      </c>
      <c r="AM5" s="375">
        <f t="shared" ref="AM5:AM17" si="4">$AO$1</f>
        <v>6.6710875331564967</v>
      </c>
      <c r="AN5" s="376">
        <v>1</v>
      </c>
      <c r="AO5" s="377">
        <f t="shared" ref="AO5:AO17" si="5">AL5*AM5</f>
        <v>66.710875331564964</v>
      </c>
      <c r="AP5" s="378">
        <f t="shared" ref="AP5:AP17" si="6">AO5*AN5</f>
        <v>66.710875331564964</v>
      </c>
      <c r="AQ5" s="294"/>
      <c r="AR5" s="1152"/>
      <c r="AS5" s="174"/>
      <c r="AT5" s="1153"/>
    </row>
    <row r="6" spans="1:46" ht="14.25" customHeight="1" x14ac:dyDescent="0.3">
      <c r="A6" s="127" t="s">
        <v>13</v>
      </c>
      <c r="B6" s="221" t="s">
        <v>12</v>
      </c>
      <c r="C6" s="123" t="s">
        <v>14</v>
      </c>
      <c r="D6" s="124">
        <v>200</v>
      </c>
      <c r="E6" s="196">
        <f t="shared" ref="E6:E21" si="7">$I$1</f>
        <v>11.724941724941738</v>
      </c>
      <c r="F6" s="126">
        <v>0.95</v>
      </c>
      <c r="G6" s="118">
        <f t="shared" si="0"/>
        <v>2344.9883449883478</v>
      </c>
      <c r="H6" s="119">
        <f t="shared" si="1"/>
        <v>2227.7389277389302</v>
      </c>
      <c r="I6" s="80">
        <f>VLOOKUP(B6,All_Ingredients!$A$1:$F$149,6,FALSE())</f>
        <v>0.9</v>
      </c>
      <c r="J6" s="118">
        <f>VLOOKUP(B6,All_Ingredients!$A$1:$J$149,10,FALSE())</f>
        <v>3</v>
      </c>
      <c r="K6" s="121">
        <f t="shared" ref="K6:K21" si="8">(H6/I6)/1000</f>
        <v>2.4752654752654779</v>
      </c>
      <c r="L6" s="121">
        <f t="shared" ref="L6:L21" si="9">K6*J6</f>
        <v>7.4257964257964337</v>
      </c>
      <c r="AJ6" s="373" t="s">
        <v>55</v>
      </c>
      <c r="AK6" s="123" t="s">
        <v>14</v>
      </c>
      <c r="AL6" s="374">
        <v>500</v>
      </c>
      <c r="AM6" s="375">
        <f t="shared" si="4"/>
        <v>6.6710875331564967</v>
      </c>
      <c r="AN6" s="376">
        <v>1</v>
      </c>
      <c r="AO6" s="377">
        <f t="shared" si="5"/>
        <v>3335.5437665782483</v>
      </c>
      <c r="AP6" s="378">
        <f t="shared" si="6"/>
        <v>3335.5437665782483</v>
      </c>
      <c r="AQ6" s="1153">
        <f>VLOOKUP(AJ6,Marination_Ordering!$A:$J,6,FALSE)</f>
        <v>0.87</v>
      </c>
      <c r="AR6" s="1153">
        <f>VLOOKUP(AJ6,Marination_Ordering!$A:$J,10,FALSE)</f>
        <v>3.2</v>
      </c>
      <c r="AS6" s="174">
        <f>AP6/AQ6</f>
        <v>3833.9583523887914</v>
      </c>
      <c r="AT6" s="1153">
        <f>AR6*(AS6/1000)</f>
        <v>12.268666727644133</v>
      </c>
    </row>
    <row r="7" spans="1:46" ht="14.25" customHeight="1" x14ac:dyDescent="0.3">
      <c r="A7" s="127" t="s">
        <v>13</v>
      </c>
      <c r="B7" s="221" t="s">
        <v>17</v>
      </c>
      <c r="C7" s="123" t="s">
        <v>14</v>
      </c>
      <c r="D7" s="124">
        <v>500</v>
      </c>
      <c r="E7" s="196">
        <f t="shared" si="7"/>
        <v>11.724941724941738</v>
      </c>
      <c r="F7" s="126">
        <v>0.95</v>
      </c>
      <c r="G7" s="118">
        <f t="shared" si="0"/>
        <v>5862.4708624708692</v>
      </c>
      <c r="H7" s="119">
        <f t="shared" si="1"/>
        <v>5569.3473193473255</v>
      </c>
      <c r="I7" s="80">
        <f>VLOOKUP(B7,All_Ingredients!$A$1:$F$149,6,FALSE())</f>
        <v>0.98</v>
      </c>
      <c r="J7" s="118">
        <f>VLOOKUP(B7,All_Ingredients!$A$1:$J$149,10,FALSE())</f>
        <v>3.5</v>
      </c>
      <c r="K7" s="121">
        <f t="shared" si="8"/>
        <v>5.6830074687217609</v>
      </c>
      <c r="L7" s="121">
        <f t="shared" si="9"/>
        <v>19.890526140526163</v>
      </c>
      <c r="AJ7" s="373" t="s">
        <v>762</v>
      </c>
      <c r="AK7" s="123" t="s">
        <v>14</v>
      </c>
      <c r="AL7" s="374">
        <v>300</v>
      </c>
      <c r="AM7" s="375">
        <f t="shared" si="4"/>
        <v>6.6710875331564967</v>
      </c>
      <c r="AN7" s="376">
        <v>1</v>
      </c>
      <c r="AO7" s="377">
        <f t="shared" si="5"/>
        <v>2001.326259946949</v>
      </c>
      <c r="AP7" s="378">
        <f t="shared" si="6"/>
        <v>2001.326259946949</v>
      </c>
      <c r="AQ7" s="1153">
        <f>VLOOKUP(AJ7,Marination_Ordering!$A:$J,6,FALSE)</f>
        <v>1</v>
      </c>
      <c r="AR7" s="1153">
        <f>VLOOKUP(AJ7,Marination_Ordering!$A:$J,10,FALSE)</f>
        <v>10.5</v>
      </c>
      <c r="AS7" s="174">
        <f t="shared" ref="AS7:AS9" si="10">AP7/AQ7</f>
        <v>2001.326259946949</v>
      </c>
      <c r="AT7" s="1153">
        <f t="shared" ref="AT7:AT9" si="11">AR7*(AS7/1000)</f>
        <v>21.013925729442963</v>
      </c>
    </row>
    <row r="8" spans="1:46" ht="14.25" customHeight="1" x14ac:dyDescent="0.3">
      <c r="A8" s="127" t="s">
        <v>56</v>
      </c>
      <c r="B8" s="221" t="s">
        <v>55</v>
      </c>
      <c r="C8" s="123" t="s">
        <v>14</v>
      </c>
      <c r="D8" s="124">
        <v>25</v>
      </c>
      <c r="E8" s="196">
        <f t="shared" si="7"/>
        <v>11.724941724941738</v>
      </c>
      <c r="F8" s="126">
        <v>1</v>
      </c>
      <c r="G8" s="118">
        <f t="shared" si="0"/>
        <v>293.12354312354347</v>
      </c>
      <c r="H8" s="119">
        <f t="shared" si="1"/>
        <v>293.12354312354347</v>
      </c>
      <c r="I8" s="80">
        <f>VLOOKUP(B8,All_Ingredients!$A$1:$F$149,6,FALSE())</f>
        <v>0.87</v>
      </c>
      <c r="J8" s="118">
        <f>VLOOKUP(B8,All_Ingredients!$A$1:$J$149,10,FALSE())</f>
        <v>7</v>
      </c>
      <c r="K8" s="121">
        <f t="shared" si="8"/>
        <v>0.33692361278568217</v>
      </c>
      <c r="L8" s="121">
        <f t="shared" si="9"/>
        <v>2.3584652894997751</v>
      </c>
      <c r="AJ8" s="373" t="s">
        <v>106</v>
      </c>
      <c r="AK8" s="123" t="s">
        <v>14</v>
      </c>
      <c r="AL8" s="374">
        <v>10</v>
      </c>
      <c r="AM8" s="375">
        <f t="shared" si="4"/>
        <v>6.6710875331564967</v>
      </c>
      <c r="AN8" s="376">
        <v>1</v>
      </c>
      <c r="AO8" s="377">
        <f t="shared" si="5"/>
        <v>66.710875331564964</v>
      </c>
      <c r="AP8" s="378">
        <f t="shared" si="6"/>
        <v>66.710875331564964</v>
      </c>
      <c r="AQ8" s="1153">
        <f>VLOOKUP(AJ8,Marination_Ordering!$A:$J,6,FALSE)</f>
        <v>1</v>
      </c>
      <c r="AR8" s="1153">
        <f>VLOOKUP(AJ8,Marination_Ordering!$A:$J,10,FALSE)</f>
        <v>15</v>
      </c>
      <c r="AS8" s="174">
        <f t="shared" si="10"/>
        <v>66.710875331564964</v>
      </c>
      <c r="AT8" s="1153">
        <f t="shared" si="11"/>
        <v>1.0006631299734743</v>
      </c>
    </row>
    <row r="9" spans="1:46" ht="14.25" customHeight="1" x14ac:dyDescent="0.3">
      <c r="A9" s="127" t="s">
        <v>13</v>
      </c>
      <c r="B9" s="221" t="s">
        <v>762</v>
      </c>
      <c r="C9" s="123" t="s">
        <v>14</v>
      </c>
      <c r="D9" s="124">
        <v>40</v>
      </c>
      <c r="E9" s="196">
        <f t="shared" si="7"/>
        <v>11.724941724941738</v>
      </c>
      <c r="F9" s="126">
        <v>1</v>
      </c>
      <c r="G9" s="118">
        <f t="shared" si="0"/>
        <v>468.99766899766951</v>
      </c>
      <c r="H9" s="119">
        <f t="shared" si="1"/>
        <v>468.99766899766951</v>
      </c>
      <c r="I9" s="80">
        <f>VLOOKUP(B9,All_Ingredients!$A$1:$F$149,6,FALSE())</f>
        <v>1</v>
      </c>
      <c r="J9" s="118">
        <f>VLOOKUP(B9,All_Ingredients!$A$1:$J$149,10,FALSE())</f>
        <v>10.5</v>
      </c>
      <c r="K9" s="121">
        <f t="shared" si="8"/>
        <v>0.46899766899766948</v>
      </c>
      <c r="L9" s="121">
        <f t="shared" si="9"/>
        <v>4.9244755244755298</v>
      </c>
      <c r="AJ9" s="373" t="s">
        <v>108</v>
      </c>
      <c r="AK9" s="123" t="s">
        <v>14</v>
      </c>
      <c r="AL9" s="374">
        <v>150</v>
      </c>
      <c r="AM9" s="375">
        <f t="shared" si="4"/>
        <v>6.6710875331564967</v>
      </c>
      <c r="AN9" s="376">
        <v>1</v>
      </c>
      <c r="AO9" s="377">
        <f t="shared" si="5"/>
        <v>1000.6631299734745</v>
      </c>
      <c r="AP9" s="378">
        <f t="shared" si="6"/>
        <v>1000.6631299734745</v>
      </c>
      <c r="AQ9" s="1153">
        <f>VLOOKUP(AJ9,Marination_Ordering!$A:$J,6,FALSE)</f>
        <v>1</v>
      </c>
      <c r="AR9" s="1153">
        <f>VLOOKUP(AJ9,Marination_Ordering!$A:$J,10,FALSE)</f>
        <v>8</v>
      </c>
      <c r="AS9" s="174">
        <f t="shared" si="10"/>
        <v>1000.6631299734745</v>
      </c>
      <c r="AT9" s="1153">
        <f t="shared" si="11"/>
        <v>8.0053050397877961</v>
      </c>
    </row>
    <row r="10" spans="1:46" ht="14.25" customHeight="1" x14ac:dyDescent="0.3">
      <c r="A10" s="127" t="s">
        <v>95</v>
      </c>
      <c r="B10" s="221" t="s">
        <v>119</v>
      </c>
      <c r="C10" s="123" t="s">
        <v>14</v>
      </c>
      <c r="D10" s="124">
        <v>5</v>
      </c>
      <c r="E10" s="196">
        <f t="shared" si="7"/>
        <v>11.724941724941738</v>
      </c>
      <c r="F10" s="126">
        <v>0.75</v>
      </c>
      <c r="G10" s="118">
        <f t="shared" si="0"/>
        <v>58.624708624708688</v>
      </c>
      <c r="H10" s="119">
        <f t="shared" si="1"/>
        <v>43.968531468531516</v>
      </c>
      <c r="I10" s="80">
        <f>VLOOKUP(B10,All_Ingredients!$A$1:$F$149,6,FALSE())</f>
        <v>1</v>
      </c>
      <c r="J10" s="118">
        <f>VLOOKUP(B10,All_Ingredients!$A$1:$J$149,10,FALSE())</f>
        <v>15</v>
      </c>
      <c r="K10" s="121">
        <f t="shared" si="8"/>
        <v>4.3968531468531517E-2</v>
      </c>
      <c r="L10" s="121">
        <f t="shared" si="9"/>
        <v>0.65952797202797275</v>
      </c>
      <c r="AJ10" s="373" t="s">
        <v>94</v>
      </c>
      <c r="AK10" s="123" t="s">
        <v>14</v>
      </c>
      <c r="AL10" s="374">
        <v>30</v>
      </c>
      <c r="AM10" s="375">
        <f t="shared" si="4"/>
        <v>6.6710875331564967</v>
      </c>
      <c r="AN10" s="376">
        <v>1</v>
      </c>
      <c r="AO10" s="377">
        <f t="shared" si="5"/>
        <v>200.13262599469491</v>
      </c>
      <c r="AP10" s="378">
        <f t="shared" si="6"/>
        <v>200.13262599469491</v>
      </c>
      <c r="AQ10" s="1153">
        <f>VLOOKUP(AJ10,Marination_Ordering!$A:$J,6,FALSE)</f>
        <v>1</v>
      </c>
      <c r="AR10" s="1153">
        <f>VLOOKUP(AJ10,Marination_Ordering!$A:$J,10,FALSE)</f>
        <v>0.74</v>
      </c>
      <c r="AS10" s="174">
        <f t="shared" ref="AS10:AS17" si="12">AP10/AQ10</f>
        <v>200.13262599469491</v>
      </c>
      <c r="AT10" s="1153">
        <f t="shared" ref="AT10:AT17" si="13">AR10*(AS10/1000)</f>
        <v>0.14809814323607423</v>
      </c>
    </row>
    <row r="11" spans="1:46" ht="14.25" customHeight="1" x14ac:dyDescent="0.3">
      <c r="A11" s="127" t="s">
        <v>95</v>
      </c>
      <c r="B11" s="221" t="s">
        <v>106</v>
      </c>
      <c r="C11" s="123" t="s">
        <v>14</v>
      </c>
      <c r="D11" s="124">
        <v>15</v>
      </c>
      <c r="E11" s="196">
        <f t="shared" si="7"/>
        <v>11.724941724941738</v>
      </c>
      <c r="F11" s="126">
        <v>1</v>
      </c>
      <c r="G11" s="118">
        <f t="shared" si="0"/>
        <v>175.87412587412607</v>
      </c>
      <c r="H11" s="119">
        <f t="shared" si="1"/>
        <v>175.87412587412607</v>
      </c>
      <c r="I11" s="80">
        <f>VLOOKUP(B11,All_Ingredients!$A$1:$F$149,6,FALSE())</f>
        <v>1</v>
      </c>
      <c r="J11" s="118">
        <f>VLOOKUP(B11,All_Ingredients!$A$1:$J$149,10,FALSE())</f>
        <v>15</v>
      </c>
      <c r="K11" s="121">
        <f t="shared" si="8"/>
        <v>0.17587412587412607</v>
      </c>
      <c r="L11" s="121">
        <f t="shared" si="9"/>
        <v>2.638111888111891</v>
      </c>
      <c r="AJ11" s="373" t="s">
        <v>100</v>
      </c>
      <c r="AK11" s="123" t="s">
        <v>14</v>
      </c>
      <c r="AL11" s="374">
        <v>10</v>
      </c>
      <c r="AM11" s="375">
        <f t="shared" si="4"/>
        <v>6.6710875331564967</v>
      </c>
      <c r="AN11" s="376">
        <v>1</v>
      </c>
      <c r="AO11" s="377">
        <f t="shared" si="5"/>
        <v>66.710875331564964</v>
      </c>
      <c r="AP11" s="378">
        <f t="shared" si="6"/>
        <v>66.710875331564964</v>
      </c>
      <c r="AQ11" s="1153">
        <f>VLOOKUP(AJ11,Marination_Ordering!$A:$J,6,FALSE)</f>
        <v>1</v>
      </c>
      <c r="AR11" s="1153">
        <f>VLOOKUP(AJ11,Marination_Ordering!$A:$J,10,FALSE)</f>
        <v>31</v>
      </c>
      <c r="AS11" s="174">
        <f t="shared" si="12"/>
        <v>66.710875331564964</v>
      </c>
      <c r="AT11" s="1153">
        <f t="shared" si="13"/>
        <v>2.0680371352785136</v>
      </c>
    </row>
    <row r="12" spans="1:46" ht="14.25" customHeight="1" x14ac:dyDescent="0.3">
      <c r="A12" s="127" t="s">
        <v>95</v>
      </c>
      <c r="B12" s="221" t="s">
        <v>136</v>
      </c>
      <c r="C12" s="123" t="s">
        <v>14</v>
      </c>
      <c r="D12" s="124">
        <v>25</v>
      </c>
      <c r="E12" s="196">
        <f t="shared" si="7"/>
        <v>11.724941724941738</v>
      </c>
      <c r="F12" s="126">
        <v>0.75</v>
      </c>
      <c r="G12" s="118">
        <f t="shared" si="0"/>
        <v>293.12354312354347</v>
      </c>
      <c r="H12" s="119">
        <f t="shared" si="1"/>
        <v>219.84265734265762</v>
      </c>
      <c r="I12" s="80">
        <f>VLOOKUP(B12,All_Ingredients!$A$1:$F$149,6,FALSE())</f>
        <v>1</v>
      </c>
      <c r="J12" s="118">
        <f>VLOOKUP(B12,All_Ingredients!$A$1:$J$149,10,FALSE())</f>
        <v>43</v>
      </c>
      <c r="K12" s="121">
        <f t="shared" si="8"/>
        <v>0.21984265734265762</v>
      </c>
      <c r="L12" s="121">
        <f t="shared" si="9"/>
        <v>9.4532342657342774</v>
      </c>
      <c r="AJ12" s="373" t="s">
        <v>114</v>
      </c>
      <c r="AK12" s="123" t="s">
        <v>14</v>
      </c>
      <c r="AL12" s="374">
        <v>25</v>
      </c>
      <c r="AM12" s="375">
        <f t="shared" si="4"/>
        <v>6.6710875331564967</v>
      </c>
      <c r="AN12" s="376">
        <v>1</v>
      </c>
      <c r="AO12" s="377">
        <f t="shared" si="5"/>
        <v>166.77718832891242</v>
      </c>
      <c r="AP12" s="378">
        <f t="shared" si="6"/>
        <v>166.77718832891242</v>
      </c>
      <c r="AQ12" s="1153">
        <f>VLOOKUP(AJ12,Marination_Ordering!$A:$J,6,FALSE)</f>
        <v>1</v>
      </c>
      <c r="AR12" s="1153">
        <f>VLOOKUP(AJ12,Marination_Ordering!$A:$J,10,FALSE)</f>
        <v>20</v>
      </c>
      <c r="AS12" s="174">
        <f t="shared" si="12"/>
        <v>166.77718832891242</v>
      </c>
      <c r="AT12" s="1153">
        <f t="shared" si="13"/>
        <v>3.3355437665782484</v>
      </c>
    </row>
    <row r="13" spans="1:46" ht="14.25" customHeight="1" x14ac:dyDescent="0.3">
      <c r="A13" s="127" t="s">
        <v>154</v>
      </c>
      <c r="B13" s="221" t="s">
        <v>169</v>
      </c>
      <c r="C13" s="123" t="s">
        <v>14</v>
      </c>
      <c r="D13" s="124">
        <v>300</v>
      </c>
      <c r="E13" s="196">
        <f t="shared" si="7"/>
        <v>11.724941724941738</v>
      </c>
      <c r="F13" s="126">
        <v>1</v>
      </c>
      <c r="G13" s="118">
        <f t="shared" si="0"/>
        <v>3517.4825174825214</v>
      </c>
      <c r="H13" s="119">
        <f t="shared" si="1"/>
        <v>3517.4825174825214</v>
      </c>
      <c r="I13" s="80">
        <f>VLOOKUP(B13,All_Ingredients!$A$1:$F$149,6,FALSE())</f>
        <v>1</v>
      </c>
      <c r="J13" s="118">
        <f>VLOOKUP(B13,All_Ingredients!$A$1:$J$149,10,FALSE())</f>
        <v>13.545454545454545</v>
      </c>
      <c r="K13" s="121">
        <f t="shared" si="8"/>
        <v>3.5174825174825215</v>
      </c>
      <c r="L13" s="121">
        <f t="shared" si="9"/>
        <v>47.645899554990514</v>
      </c>
      <c r="AJ13" s="373" t="s">
        <v>214</v>
      </c>
      <c r="AK13" s="123" t="s">
        <v>161</v>
      </c>
      <c r="AL13" s="374">
        <v>500</v>
      </c>
      <c r="AM13" s="375">
        <f t="shared" si="4"/>
        <v>6.6710875331564967</v>
      </c>
      <c r="AN13" s="376">
        <v>1</v>
      </c>
      <c r="AO13" s="377">
        <f t="shared" si="5"/>
        <v>3335.5437665782483</v>
      </c>
      <c r="AP13" s="378">
        <f t="shared" si="6"/>
        <v>3335.5437665782483</v>
      </c>
      <c r="AQ13" s="1153">
        <f>VLOOKUP(AJ13,Marination_Ordering!$A:$J,6,FALSE)</f>
        <v>1</v>
      </c>
      <c r="AR13" s="1153">
        <f>VLOOKUP(AJ13,Marination_Ordering!$A:$J,10,FALSE)</f>
        <v>5</v>
      </c>
      <c r="AS13" s="174">
        <f t="shared" si="12"/>
        <v>3335.5437665782483</v>
      </c>
      <c r="AT13" s="1153">
        <f t="shared" si="13"/>
        <v>16.677718832891241</v>
      </c>
    </row>
    <row r="14" spans="1:46" ht="14.25" customHeight="1" x14ac:dyDescent="0.3">
      <c r="A14" s="127" t="s">
        <v>154</v>
      </c>
      <c r="B14" s="221" t="s">
        <v>167</v>
      </c>
      <c r="C14" s="123" t="s">
        <v>161</v>
      </c>
      <c r="D14" s="124">
        <v>300</v>
      </c>
      <c r="E14" s="196">
        <f t="shared" si="7"/>
        <v>11.724941724941738</v>
      </c>
      <c r="F14" s="126">
        <v>1</v>
      </c>
      <c r="G14" s="118">
        <f t="shared" si="0"/>
        <v>3517.4825174825214</v>
      </c>
      <c r="H14" s="119">
        <f t="shared" si="1"/>
        <v>3517.4825174825214</v>
      </c>
      <c r="I14" s="80">
        <f>VLOOKUP(B14,All_Ingredients!$A$1:$F$149,6,FALSE())</f>
        <v>1</v>
      </c>
      <c r="J14" s="118">
        <f>VLOOKUP(B14,All_Ingredients!$A$1:$J$149,10,FALSE())</f>
        <v>12.666666666666666</v>
      </c>
      <c r="K14" s="121">
        <f t="shared" si="8"/>
        <v>3.5174825174825215</v>
      </c>
      <c r="L14" s="121">
        <f t="shared" si="9"/>
        <v>44.554778554778601</v>
      </c>
      <c r="AJ14" s="373" t="s">
        <v>164</v>
      </c>
      <c r="AK14" s="123" t="s">
        <v>14</v>
      </c>
      <c r="AL14" s="374">
        <v>50</v>
      </c>
      <c r="AM14" s="375">
        <f t="shared" si="4"/>
        <v>6.6710875331564967</v>
      </c>
      <c r="AN14" s="376">
        <v>1</v>
      </c>
      <c r="AO14" s="377">
        <f t="shared" si="5"/>
        <v>333.55437665782483</v>
      </c>
      <c r="AP14" s="378">
        <f t="shared" si="6"/>
        <v>333.55437665782483</v>
      </c>
      <c r="AQ14" s="1153">
        <f>VLOOKUP(AJ14,Marination_Ordering!$A:$J,6,FALSE)</f>
        <v>1</v>
      </c>
      <c r="AR14" s="1153">
        <f>VLOOKUP(AJ14,Marination_Ordering!$A:$J,10,FALSE)</f>
        <v>6.6959999999999997</v>
      </c>
      <c r="AS14" s="174">
        <f t="shared" si="12"/>
        <v>333.55437665782483</v>
      </c>
      <c r="AT14" s="1153">
        <f t="shared" si="13"/>
        <v>2.2334801061007949</v>
      </c>
    </row>
    <row r="15" spans="1:46" ht="14.25" customHeight="1" x14ac:dyDescent="0.3">
      <c r="A15" s="127" t="s">
        <v>62</v>
      </c>
      <c r="B15" s="221" t="s">
        <v>61</v>
      </c>
      <c r="C15" s="123" t="s">
        <v>14</v>
      </c>
      <c r="D15" s="124">
        <v>30</v>
      </c>
      <c r="E15" s="196">
        <f t="shared" si="7"/>
        <v>11.724941724941738</v>
      </c>
      <c r="F15" s="126">
        <v>1</v>
      </c>
      <c r="G15" s="118">
        <f t="shared" si="0"/>
        <v>351.74825174825213</v>
      </c>
      <c r="H15" s="119">
        <f t="shared" si="1"/>
        <v>351.74825174825213</v>
      </c>
      <c r="I15" s="80">
        <f>VLOOKUP(B15,All_Ingredients!$A$1:$F$149,6,FALSE())</f>
        <v>0.94</v>
      </c>
      <c r="J15" s="118">
        <f>VLOOKUP(B15,All_Ingredients!$A$1:$J$149,10,FALSE())</f>
        <v>3.6363636363636367</v>
      </c>
      <c r="K15" s="121">
        <f t="shared" si="8"/>
        <v>0.37420026781728949</v>
      </c>
      <c r="L15" s="121">
        <f t="shared" si="9"/>
        <v>1.3607282466083255</v>
      </c>
      <c r="AJ15" s="373" t="s">
        <v>153</v>
      </c>
      <c r="AK15" s="123" t="s">
        <v>14</v>
      </c>
      <c r="AL15" s="374">
        <v>100</v>
      </c>
      <c r="AM15" s="375">
        <f t="shared" si="4"/>
        <v>6.6710875331564967</v>
      </c>
      <c r="AN15" s="376">
        <v>1</v>
      </c>
      <c r="AO15" s="377">
        <f t="shared" si="5"/>
        <v>667.10875331564966</v>
      </c>
      <c r="AP15" s="378">
        <f t="shared" si="6"/>
        <v>667.10875331564966</v>
      </c>
      <c r="AQ15" s="1153">
        <f>VLOOKUP(AJ15,Marination_Ordering!$A:$J,6,FALSE)</f>
        <v>1</v>
      </c>
      <c r="AR15" s="1153">
        <f>VLOOKUP(AJ15,Marination_Ordering!$A:$J,10,FALSE)</f>
        <v>30</v>
      </c>
      <c r="AS15" s="174">
        <f t="shared" si="12"/>
        <v>667.10875331564966</v>
      </c>
      <c r="AT15" s="1153">
        <f t="shared" si="13"/>
        <v>20.013262599469492</v>
      </c>
    </row>
    <row r="16" spans="1:46" ht="14.25" customHeight="1" x14ac:dyDescent="0.3">
      <c r="A16" s="127" t="s">
        <v>62</v>
      </c>
      <c r="B16" s="221" t="s">
        <v>69</v>
      </c>
      <c r="C16" s="123" t="s">
        <v>14</v>
      </c>
      <c r="D16" s="124">
        <v>25</v>
      </c>
      <c r="E16" s="196">
        <f t="shared" si="7"/>
        <v>11.724941724941738</v>
      </c>
      <c r="F16" s="126">
        <v>1</v>
      </c>
      <c r="G16" s="118">
        <f t="shared" si="0"/>
        <v>293.12354312354347</v>
      </c>
      <c r="H16" s="119">
        <f t="shared" si="1"/>
        <v>293.12354312354347</v>
      </c>
      <c r="I16" s="80">
        <f>VLOOKUP(B16,All_Ingredients!$A$1:$F$149,6,FALSE())</f>
        <v>0.43</v>
      </c>
      <c r="J16" s="118">
        <f>VLOOKUP(B16,All_Ingredients!$A$1:$J$149,10,FALSE())</f>
        <v>3.333333333333333</v>
      </c>
      <c r="K16" s="121">
        <f t="shared" si="8"/>
        <v>0.68168265842684528</v>
      </c>
      <c r="L16" s="121">
        <f t="shared" si="9"/>
        <v>2.2722755280894842</v>
      </c>
      <c r="AJ16" s="373" t="s">
        <v>216</v>
      </c>
      <c r="AK16" s="123" t="s">
        <v>14</v>
      </c>
      <c r="AL16" s="374">
        <v>2</v>
      </c>
      <c r="AM16" s="375">
        <f t="shared" si="4"/>
        <v>6.6710875331564967</v>
      </c>
      <c r="AN16" s="376">
        <v>1</v>
      </c>
      <c r="AO16" s="377">
        <f t="shared" si="5"/>
        <v>13.342175066312993</v>
      </c>
      <c r="AP16" s="378">
        <f t="shared" si="6"/>
        <v>13.342175066312993</v>
      </c>
      <c r="AQ16" s="1153">
        <f>VLOOKUP(AJ16,Marination_Ordering!$A:$J,6,FALSE)</f>
        <v>1</v>
      </c>
      <c r="AR16" s="1153">
        <f>VLOOKUP(AJ16,Marination_Ordering!$A:$J,10,FALSE)</f>
        <v>35</v>
      </c>
      <c r="AS16" s="174">
        <f t="shared" si="12"/>
        <v>13.342175066312993</v>
      </c>
      <c r="AT16" s="1153">
        <f t="shared" si="13"/>
        <v>0.46697612732095473</v>
      </c>
    </row>
    <row r="17" spans="1:46" ht="14.25" customHeight="1" x14ac:dyDescent="0.3">
      <c r="A17" s="127" t="s">
        <v>95</v>
      </c>
      <c r="B17" s="221" t="s">
        <v>94</v>
      </c>
      <c r="C17" s="123" t="s">
        <v>14</v>
      </c>
      <c r="D17" s="124">
        <v>11</v>
      </c>
      <c r="E17" s="196">
        <f t="shared" si="7"/>
        <v>11.724941724941738</v>
      </c>
      <c r="F17" s="126">
        <v>0.75</v>
      </c>
      <c r="G17" s="118">
        <f t="shared" si="0"/>
        <v>128.97435897435912</v>
      </c>
      <c r="H17" s="119">
        <f t="shared" si="1"/>
        <v>96.73076923076934</v>
      </c>
      <c r="I17" s="80">
        <f>VLOOKUP(B17,All_Ingredients!$A$1:$F$149,6,FALSE())</f>
        <v>1</v>
      </c>
      <c r="J17" s="118">
        <f>VLOOKUP(B17,All_Ingredients!$A$1:$J$149,10,FALSE())</f>
        <v>0.74</v>
      </c>
      <c r="K17" s="121">
        <f t="shared" si="8"/>
        <v>9.6730769230769342E-2</v>
      </c>
      <c r="L17" s="121">
        <f t="shared" si="9"/>
        <v>7.1580769230769309E-2</v>
      </c>
      <c r="AJ17" s="373" t="s">
        <v>210</v>
      </c>
      <c r="AK17" s="123" t="s">
        <v>161</v>
      </c>
      <c r="AL17" s="374">
        <v>100</v>
      </c>
      <c r="AM17" s="375">
        <f t="shared" si="4"/>
        <v>6.6710875331564967</v>
      </c>
      <c r="AN17" s="376">
        <v>1</v>
      </c>
      <c r="AO17" s="377">
        <f t="shared" si="5"/>
        <v>667.10875331564966</v>
      </c>
      <c r="AP17" s="378">
        <f t="shared" si="6"/>
        <v>667.10875331564966</v>
      </c>
      <c r="AQ17" s="1153">
        <f>VLOOKUP(AJ17,Marination_Ordering!$A:$J,6,FALSE)</f>
        <v>1</v>
      </c>
      <c r="AR17" s="1153">
        <f>VLOOKUP(AJ17,Marination_Ordering!$A:$J,10,FALSE)</f>
        <v>2.1621621621621623</v>
      </c>
      <c r="AS17" s="174">
        <f t="shared" si="12"/>
        <v>667.10875331564966</v>
      </c>
      <c r="AT17" s="1153">
        <f t="shared" si="13"/>
        <v>1.4423973044662697</v>
      </c>
    </row>
    <row r="18" spans="1:46" ht="14.25" customHeight="1" x14ac:dyDescent="0.3">
      <c r="A18" s="127" t="s">
        <v>95</v>
      </c>
      <c r="B18" s="221" t="s">
        <v>114</v>
      </c>
      <c r="C18" s="123" t="s">
        <v>14</v>
      </c>
      <c r="D18" s="124">
        <v>5</v>
      </c>
      <c r="E18" s="196">
        <f t="shared" si="7"/>
        <v>11.724941724941738</v>
      </c>
      <c r="F18" s="126">
        <v>0.75</v>
      </c>
      <c r="G18" s="118">
        <f t="shared" si="0"/>
        <v>58.624708624708688</v>
      </c>
      <c r="H18" s="119">
        <f t="shared" si="1"/>
        <v>43.968531468531516</v>
      </c>
      <c r="I18" s="80">
        <f>VLOOKUP(B18,All_Ingredients!$A$1:$F$149,6,FALSE())</f>
        <v>1</v>
      </c>
      <c r="J18" s="118">
        <f>VLOOKUP(B18,All_Ingredients!$A$1:$J$149,10,FALSE())</f>
        <v>20</v>
      </c>
      <c r="K18" s="121">
        <f t="shared" si="8"/>
        <v>4.3968531468531517E-2</v>
      </c>
      <c r="L18" s="121">
        <f t="shared" si="9"/>
        <v>0.87937062937063037</v>
      </c>
      <c r="Q18"/>
    </row>
    <row r="19" spans="1:46" ht="14.25" customHeight="1" x14ac:dyDescent="0.3">
      <c r="A19" s="127" t="s">
        <v>95</v>
      </c>
      <c r="B19" s="221" t="s">
        <v>108</v>
      </c>
      <c r="C19" s="123" t="s">
        <v>14</v>
      </c>
      <c r="D19" s="124">
        <v>15</v>
      </c>
      <c r="E19" s="196">
        <f t="shared" si="7"/>
        <v>11.724941724941738</v>
      </c>
      <c r="F19" s="126">
        <v>1</v>
      </c>
      <c r="G19" s="118">
        <f t="shared" si="0"/>
        <v>175.87412587412607</v>
      </c>
      <c r="H19" s="119">
        <f t="shared" si="1"/>
        <v>175.87412587412607</v>
      </c>
      <c r="I19" s="80">
        <f>VLOOKUP(B19,All_Ingredients!$A$1:$F$149,6,FALSE())</f>
        <v>1</v>
      </c>
      <c r="J19" s="118">
        <f>VLOOKUP(B19,All_Ingredients!$A$1:$J$149,10,FALSE())</f>
        <v>8</v>
      </c>
      <c r="K19" s="121">
        <f t="shared" si="8"/>
        <v>0.17587412587412607</v>
      </c>
      <c r="L19" s="121">
        <f t="shared" si="9"/>
        <v>1.4069930069930086</v>
      </c>
    </row>
    <row r="20" spans="1:46" ht="14.25" customHeight="1" x14ac:dyDescent="0.3">
      <c r="A20" s="127" t="s">
        <v>215</v>
      </c>
      <c r="B20" s="221" t="s">
        <v>216</v>
      </c>
      <c r="C20" s="123" t="s">
        <v>14</v>
      </c>
      <c r="D20" s="124">
        <v>3</v>
      </c>
      <c r="E20" s="196">
        <f t="shared" si="7"/>
        <v>11.724941724941738</v>
      </c>
      <c r="F20" s="126">
        <v>0.75</v>
      </c>
      <c r="G20" s="118">
        <f t="shared" si="0"/>
        <v>35.174825174825216</v>
      </c>
      <c r="H20" s="119">
        <f t="shared" si="1"/>
        <v>26.381118881118912</v>
      </c>
      <c r="I20" s="80">
        <f>VLOOKUP(B20,All_Ingredients!$A$1:$F$149,6,FALSE())</f>
        <v>1</v>
      </c>
      <c r="J20" s="118">
        <f>VLOOKUP(B20,All_Ingredients!$A$1:$J$149,10,FALSE())</f>
        <v>35</v>
      </c>
      <c r="K20" s="121">
        <f t="shared" si="8"/>
        <v>2.6381118881118912E-2</v>
      </c>
      <c r="L20" s="121">
        <f t="shared" si="9"/>
        <v>0.9233391608391619</v>
      </c>
    </row>
    <row r="21" spans="1:46" ht="14.25" customHeight="1" x14ac:dyDescent="0.3">
      <c r="A21" s="127" t="s">
        <v>154</v>
      </c>
      <c r="B21" s="221" t="s">
        <v>153</v>
      </c>
      <c r="C21" s="123" t="s">
        <v>14</v>
      </c>
      <c r="D21" s="124">
        <v>60</v>
      </c>
      <c r="E21" s="196">
        <f t="shared" si="7"/>
        <v>11.724941724941738</v>
      </c>
      <c r="F21" s="126">
        <v>1</v>
      </c>
      <c r="G21" s="118">
        <f t="shared" si="0"/>
        <v>703.49650349650426</v>
      </c>
      <c r="H21" s="119">
        <f t="shared" si="1"/>
        <v>703.49650349650426</v>
      </c>
      <c r="I21" s="80">
        <f>VLOOKUP(B21,All_Ingredients!$A$1:$F$149,6,FALSE())</f>
        <v>1</v>
      </c>
      <c r="J21" s="118">
        <f>VLOOKUP(B21,All_Ingredients!$A$1:$J$149,10,FALSE())</f>
        <v>30</v>
      </c>
      <c r="K21" s="121">
        <f t="shared" si="8"/>
        <v>0.70349650349650428</v>
      </c>
      <c r="L21" s="121">
        <f t="shared" si="9"/>
        <v>21.104895104895128</v>
      </c>
    </row>
    <row r="22" spans="1:46" ht="14.25" customHeight="1" x14ac:dyDescent="0.3">
      <c r="B22" s="99"/>
      <c r="C22" s="170"/>
      <c r="D22" s="170"/>
      <c r="E22" s="99"/>
      <c r="F22" s="99"/>
      <c r="G22" s="170"/>
      <c r="L22" s="296"/>
    </row>
    <row r="23" spans="1:46" ht="14.25" customHeight="1" x14ac:dyDescent="0.3">
      <c r="L23" s="296"/>
      <c r="Q23" s="413"/>
    </row>
    <row r="24" spans="1:46" ht="14.25" customHeight="1" x14ac:dyDescent="0.3">
      <c r="L24" s="296"/>
      <c r="Z24" s="1208"/>
    </row>
    <row r="25" spans="1:46" ht="14.25" customHeight="1" x14ac:dyDescent="0.35">
      <c r="L25" s="296"/>
      <c r="R25" s="1440" t="s">
        <v>421</v>
      </c>
      <c r="S25" s="1444"/>
      <c r="T25" s="1444"/>
      <c r="U25" s="1444"/>
      <c r="V25" s="1132"/>
      <c r="Z25" s="140" t="s">
        <v>256</v>
      </c>
      <c r="AA25" s="141">
        <v>1</v>
      </c>
      <c r="AB25" s="140" t="s">
        <v>253</v>
      </c>
      <c r="AC25" s="1282">
        <f>(AA25*AD30)+(Z30*(AA28/R1))</f>
        <v>3.1499211669232155E-2</v>
      </c>
    </row>
    <row r="26" spans="1:46" ht="14.25" customHeight="1" x14ac:dyDescent="0.3">
      <c r="L26" s="296"/>
      <c r="R26" s="1459" t="s">
        <v>301</v>
      </c>
      <c r="S26" s="1444"/>
      <c r="T26" s="1444"/>
      <c r="U26" s="1444"/>
      <c r="V26" s="1132"/>
    </row>
    <row r="27" spans="1:46" ht="14.25" customHeight="1" thickBot="1" x14ac:dyDescent="0.35">
      <c r="R27" s="144" t="s">
        <v>258</v>
      </c>
      <c r="S27" s="145" t="s">
        <v>259</v>
      </c>
      <c r="T27" s="145" t="s">
        <v>260</v>
      </c>
      <c r="U27" s="145" t="s">
        <v>261</v>
      </c>
      <c r="V27" s="145" t="s">
        <v>808</v>
      </c>
      <c r="W27" s="145" t="s">
        <v>817</v>
      </c>
      <c r="Y27" s="140" t="s">
        <v>262</v>
      </c>
      <c r="Z27" s="146" t="s">
        <v>808</v>
      </c>
      <c r="AA27" s="146" t="s">
        <v>263</v>
      </c>
      <c r="AB27" s="146" t="s">
        <v>264</v>
      </c>
      <c r="AC27" s="1167" t="s">
        <v>817</v>
      </c>
      <c r="AD27" s="146" t="s">
        <v>266</v>
      </c>
    </row>
    <row r="28" spans="1:46" ht="14.25" customHeight="1" thickBot="1" x14ac:dyDescent="0.35">
      <c r="R28" s="147" t="s">
        <v>267</v>
      </c>
      <c r="S28" s="754">
        <f>U28*S40</f>
        <v>38307.692307692298</v>
      </c>
      <c r="T28" s="754">
        <f>U28*U40</f>
        <v>11492.307692307704</v>
      </c>
      <c r="U28" s="760">
        <f>$Z$1</f>
        <v>49800</v>
      </c>
      <c r="V28" s="148">
        <f>SUM(AP6:AP17)</f>
        <v>11854.522546419095</v>
      </c>
      <c r="W28" s="148">
        <f>H37</f>
        <v>24.64</v>
      </c>
      <c r="Y28" s="150"/>
      <c r="Z28" s="1186"/>
      <c r="AA28" s="151">
        <f>AA25*$S$40</f>
        <v>0.76923076923076905</v>
      </c>
      <c r="AB28" s="151">
        <f>AA25-AA28</f>
        <v>0.23076923076923095</v>
      </c>
      <c r="AC28" s="1169"/>
      <c r="AD28" s="153">
        <f>SUM(AA28:AC28)</f>
        <v>1</v>
      </c>
    </row>
    <row r="29" spans="1:46" ht="22.25" customHeight="1" thickBot="1" x14ac:dyDescent="0.35">
      <c r="B29" s="99"/>
      <c r="E29" s="99"/>
      <c r="F29" s="99"/>
      <c r="R29" s="147" t="s">
        <v>268</v>
      </c>
      <c r="S29" s="756"/>
      <c r="T29" s="754"/>
      <c r="U29" s="148">
        <f>T29</f>
        <v>0</v>
      </c>
      <c r="V29" s="148"/>
      <c r="W29" s="148"/>
      <c r="Y29" s="150"/>
      <c r="Z29" s="1186"/>
      <c r="AA29" s="155">
        <f>AA28/$AD$28</f>
        <v>0.76923076923076905</v>
      </c>
      <c r="AB29" s="155">
        <f>AB28/$AD$28</f>
        <v>0.23076923076923095</v>
      </c>
      <c r="AC29" s="1173"/>
      <c r="AD29" s="155">
        <f>AD28/$AD$28</f>
        <v>1</v>
      </c>
    </row>
    <row r="30" spans="1:46" ht="17.25" customHeight="1" thickBot="1" x14ac:dyDescent="0.35">
      <c r="R30" s="147" t="s">
        <v>422</v>
      </c>
      <c r="S30" s="1318">
        <f>U30*S40</f>
        <v>384.61538461538453</v>
      </c>
      <c r="T30" s="754">
        <f>U30*U40</f>
        <v>115.3846153846155</v>
      </c>
      <c r="U30" s="760">
        <f>$AB$1</f>
        <v>500</v>
      </c>
      <c r="V30" s="1124"/>
      <c r="W30" s="1124"/>
      <c r="Y30" s="140" t="s">
        <v>270</v>
      </c>
      <c r="Z30" s="1281">
        <f>V35/(S32/R1)</f>
        <v>1.3292296675986332E-3</v>
      </c>
      <c r="AA30" s="156">
        <f>S35/(S32)</f>
        <v>3.4282277465918207E-2</v>
      </c>
      <c r="AB30" s="157">
        <f>T35/T32</f>
        <v>1.4436116466571091E-2</v>
      </c>
      <c r="AC30" s="1180">
        <f>W35/U32</f>
        <v>3.3913442422388742E-5</v>
      </c>
      <c r="AD30" s="1182">
        <f>SUMPRODUCT(AA30:AB30,AA29:AB29)+AC30</f>
        <v>2.9736307600798952E-2</v>
      </c>
    </row>
    <row r="31" spans="1:46" ht="14.25" customHeight="1" thickBot="1" x14ac:dyDescent="0.35">
      <c r="R31" s="147" t="s">
        <v>423</v>
      </c>
      <c r="S31" s="154"/>
      <c r="T31" s="148"/>
      <c r="U31" s="148"/>
      <c r="V31" s="148"/>
      <c r="W31" s="148"/>
    </row>
    <row r="32" spans="1:46" ht="14.25" customHeight="1" thickBot="1" x14ac:dyDescent="0.35">
      <c r="R32" s="159" t="s">
        <v>261</v>
      </c>
      <c r="S32" s="148">
        <f>SUM(S28:S30)</f>
        <v>38692.307692307681</v>
      </c>
      <c r="T32" s="148">
        <f>SUM(T28:T30)</f>
        <v>11607.692307692319</v>
      </c>
      <c r="U32" s="148">
        <f>SUM(U28:U30)</f>
        <v>50300</v>
      </c>
      <c r="V32" s="148"/>
      <c r="W32" s="148">
        <f>SUM(W28:W30)</f>
        <v>24.64</v>
      </c>
    </row>
    <row r="33" spans="2:24" ht="14.25" customHeight="1" thickBot="1" x14ac:dyDescent="0.35">
      <c r="B33" s="99"/>
      <c r="E33" s="99"/>
      <c r="F33" s="99"/>
      <c r="G33" s="869"/>
      <c r="R33" s="160" t="s">
        <v>272</v>
      </c>
      <c r="S33" s="154"/>
      <c r="T33" s="154"/>
      <c r="U33" s="154"/>
      <c r="V33" s="154"/>
      <c r="W33" s="154"/>
    </row>
    <row r="34" spans="2:24" ht="14.25" customHeight="1" thickBot="1" x14ac:dyDescent="0.35">
      <c r="B34" s="99"/>
      <c r="E34" s="99"/>
      <c r="F34" s="99"/>
      <c r="R34" s="161" t="s">
        <v>273</v>
      </c>
      <c r="S34" s="154"/>
      <c r="T34" s="148"/>
      <c r="U34" s="154"/>
      <c r="V34" s="154"/>
      <c r="W34" s="154"/>
    </row>
    <row r="35" spans="2:24" ht="14.25" customHeight="1" thickBot="1" x14ac:dyDescent="0.35">
      <c r="B35" s="1484" t="s">
        <v>689</v>
      </c>
      <c r="C35" s="1484"/>
      <c r="D35" s="1484"/>
      <c r="E35" s="1484"/>
      <c r="F35" s="1484"/>
      <c r="G35" s="870"/>
      <c r="H35" s="870"/>
      <c r="I35" s="877"/>
      <c r="J35" s="877"/>
      <c r="K35" s="877"/>
      <c r="L35" s="877"/>
      <c r="R35" s="162" t="s">
        <v>253</v>
      </c>
      <c r="S35" s="163">
        <f>$L$5</f>
        <v>1326.4604281043732</v>
      </c>
      <c r="T35" s="163">
        <f>SUM(L6:L21)</f>
        <v>167.56999806196768</v>
      </c>
      <c r="U35" s="163">
        <f>S35+T35+V35+W35</f>
        <v>1584.4103469623769</v>
      </c>
      <c r="V35" s="1125">
        <f>SUM(AT6:AT17)</f>
        <v>88.674074642189964</v>
      </c>
      <c r="W35" s="1184">
        <f>L37</f>
        <v>1.7058461538461538</v>
      </c>
    </row>
    <row r="36" spans="2:24" ht="14.25" customHeight="1" x14ac:dyDescent="0.3">
      <c r="B36" s="848" t="s">
        <v>245</v>
      </c>
      <c r="C36" s="848" t="s">
        <v>321</v>
      </c>
      <c r="D36" s="850" t="s">
        <v>645</v>
      </c>
      <c r="E36" s="847" t="s">
        <v>646</v>
      </c>
      <c r="F36" s="850" t="s">
        <v>647</v>
      </c>
      <c r="G36" s="870"/>
      <c r="H36" s="850" t="s">
        <v>647</v>
      </c>
      <c r="I36" s="850" t="s">
        <v>250</v>
      </c>
      <c r="J36" s="850" t="s">
        <v>251</v>
      </c>
      <c r="K36" s="850" t="s">
        <v>252</v>
      </c>
      <c r="L36" s="850" t="s">
        <v>253</v>
      </c>
    </row>
    <row r="37" spans="2:24" ht="14.25" customHeight="1" x14ac:dyDescent="0.3">
      <c r="B37" s="843" t="s">
        <v>716</v>
      </c>
      <c r="C37" s="844" t="s">
        <v>14</v>
      </c>
      <c r="D37" s="845">
        <v>7.0000000000000007E-2</v>
      </c>
      <c r="E37" s="843">
        <f>$AD$1</f>
        <v>352</v>
      </c>
      <c r="F37" s="843">
        <f>D37*E37</f>
        <v>24.64</v>
      </c>
      <c r="G37" s="869"/>
      <c r="H37" s="843">
        <f>F37</f>
        <v>24.64</v>
      </c>
      <c r="I37" s="843">
        <f>VLOOKUP(B37,All_Ingredients!$A$1:$F$149,6,FALSE())</f>
        <v>0.65</v>
      </c>
      <c r="J37" s="843">
        <f>VLOOKUP(B37,All_Ingredients!$A$1:$J$149,10,FALSE())</f>
        <v>45</v>
      </c>
      <c r="K37" s="843">
        <f>(H37/I37)/1000</f>
        <v>3.7907692307692309E-2</v>
      </c>
      <c r="L37" s="843">
        <f>K37*J37</f>
        <v>1.7058461538461538</v>
      </c>
    </row>
    <row r="38" spans="2:24" ht="14.25" customHeight="1" x14ac:dyDescent="0.3">
      <c r="F38"/>
      <c r="G38"/>
    </row>
    <row r="39" spans="2:24" ht="14.25" customHeight="1" x14ac:dyDescent="0.3">
      <c r="F39"/>
      <c r="G39"/>
    </row>
    <row r="40" spans="2:24" ht="18.75" customHeight="1" x14ac:dyDescent="0.3">
      <c r="G40"/>
      <c r="R40" s="164" t="s">
        <v>274</v>
      </c>
      <c r="S40" s="165">
        <v>0.76923076923076905</v>
      </c>
      <c r="T40" s="164" t="s">
        <v>275</v>
      </c>
      <c r="U40" s="166">
        <v>0.230769230769231</v>
      </c>
      <c r="V40" s="167">
        <f>S40+U40</f>
        <v>1</v>
      </c>
    </row>
    <row r="41" spans="2:24" ht="14.25" customHeight="1" x14ac:dyDescent="0.3">
      <c r="G41"/>
      <c r="U41" s="168"/>
    </row>
    <row r="43" spans="2:24" ht="14.25" customHeight="1" x14ac:dyDescent="0.3">
      <c r="Q43" s="169" t="s">
        <v>276</v>
      </c>
      <c r="R43" s="169" t="s">
        <v>277</v>
      </c>
      <c r="S43" s="169" t="s">
        <v>278</v>
      </c>
      <c r="T43" s="169" t="s">
        <v>279</v>
      </c>
      <c r="U43" s="169" t="s">
        <v>280</v>
      </c>
      <c r="V43" s="169" t="s">
        <v>281</v>
      </c>
      <c r="W43" s="169" t="s">
        <v>282</v>
      </c>
      <c r="X43" s="169" t="s">
        <v>311</v>
      </c>
    </row>
    <row r="44" spans="2:24" ht="14.25" customHeight="1" x14ac:dyDescent="0.3">
      <c r="Q44" s="171">
        <v>43334</v>
      </c>
      <c r="R44" s="172">
        <f>D51</f>
        <v>10000</v>
      </c>
      <c r="S44" s="173">
        <v>1</v>
      </c>
      <c r="T44" s="173">
        <v>0</v>
      </c>
      <c r="U44" s="241">
        <f>R44*S44</f>
        <v>10000</v>
      </c>
      <c r="V44" s="175">
        <f>R44*T44</f>
        <v>0</v>
      </c>
      <c r="W44" s="175">
        <f>Q44-U44</f>
        <v>33334</v>
      </c>
      <c r="X44" s="175">
        <f>W44/$R$1</f>
        <v>57472.413793103449</v>
      </c>
    </row>
    <row r="50" spans="1:10" x14ac:dyDescent="0.3">
      <c r="B50" s="144"/>
      <c r="C50" s="144" t="s">
        <v>237</v>
      </c>
      <c r="D50" s="144" t="s">
        <v>283</v>
      </c>
      <c r="E50" s="99"/>
      <c r="F50" s="99"/>
      <c r="G50" s="144" t="s">
        <v>284</v>
      </c>
      <c r="H50" s="144" t="s">
        <v>237</v>
      </c>
      <c r="I50" s="144" t="s">
        <v>285</v>
      </c>
      <c r="J50" s="144" t="s">
        <v>286</v>
      </c>
    </row>
    <row r="51" spans="1:10" ht="14" customHeight="1" x14ac:dyDescent="0.3">
      <c r="B51" s="179" t="s">
        <v>287</v>
      </c>
      <c r="C51" s="180">
        <f>10/$K$1</f>
        <v>10.1010101010101</v>
      </c>
      <c r="D51" s="181">
        <f>$C$1*10</f>
        <v>10000</v>
      </c>
      <c r="E51" s="182"/>
      <c r="F51" s="99"/>
      <c r="G51" s="179" t="s">
        <v>287</v>
      </c>
      <c r="H51" s="276">
        <v>10</v>
      </c>
      <c r="I51" s="180">
        <f>J51/$R$1</f>
        <v>57472.413793103449</v>
      </c>
      <c r="J51" s="180">
        <f>$W$44</f>
        <v>33334</v>
      </c>
    </row>
    <row r="52" spans="1:10" ht="14" customHeight="1" x14ac:dyDescent="0.3">
      <c r="B52" s="230" t="s">
        <v>266</v>
      </c>
      <c r="C52" s="231">
        <f>$I$1</f>
        <v>11.724941724941738</v>
      </c>
      <c r="D52" s="232">
        <f>$E$1</f>
        <v>11607.692307692319</v>
      </c>
      <c r="E52" s="99"/>
      <c r="F52" s="99"/>
      <c r="G52" s="147" t="s">
        <v>266</v>
      </c>
      <c r="H52" s="209">
        <f>I52/$D$5</f>
        <v>11.607460158489134</v>
      </c>
      <c r="I52" s="175">
        <f>J52/$R$1</f>
        <v>66710.875331564966</v>
      </c>
      <c r="J52" s="183">
        <f>$S$32</f>
        <v>38692.307692307681</v>
      </c>
    </row>
    <row r="53" spans="1:10" x14ac:dyDescent="0.3">
      <c r="B53" s="230" t="s">
        <v>288</v>
      </c>
      <c r="C53" s="233">
        <f>MIN(C52, C51)</f>
        <v>10.1010101010101</v>
      </c>
      <c r="D53" s="232">
        <f>(C53*$K$1)*$C$1</f>
        <v>10000</v>
      </c>
      <c r="E53" s="99"/>
      <c r="F53" s="99"/>
      <c r="G53" s="147" t="s">
        <v>288</v>
      </c>
      <c r="H53" s="186">
        <f>MIN(H52,H51)</f>
        <v>10</v>
      </c>
      <c r="I53" s="175">
        <f>J53/$R$1</f>
        <v>57472.413793103449</v>
      </c>
      <c r="J53" s="175">
        <f>MIN(J52,J51)</f>
        <v>33334</v>
      </c>
    </row>
    <row r="54" spans="1:10" x14ac:dyDescent="0.3">
      <c r="B54" s="230" t="s">
        <v>289</v>
      </c>
      <c r="C54" s="233">
        <f>MIN(MAX(C52-C53,0),C51)</f>
        <v>1.6239316239316377</v>
      </c>
      <c r="D54" s="232">
        <f>(C54*$K$1)*$C$1</f>
        <v>1607.6923076923213</v>
      </c>
      <c r="E54" s="99"/>
      <c r="F54" s="99"/>
      <c r="G54" s="147" t="s">
        <v>289</v>
      </c>
      <c r="H54" s="186">
        <f>MIN(MAX(H52-H53),H51)</f>
        <v>1.6074601584891344</v>
      </c>
      <c r="I54" s="175">
        <f>J54/$R$1</f>
        <v>9238.461538461519</v>
      </c>
      <c r="J54" s="175">
        <f>MIN(MAX(J52-J53),J51)</f>
        <v>5358.3076923076806</v>
      </c>
    </row>
    <row r="55" spans="1:10" x14ac:dyDescent="0.3">
      <c r="B55" s="230" t="s">
        <v>290</v>
      </c>
      <c r="C55" s="233">
        <f>MIN(MAX(C52-C53-C54,0),C51)</f>
        <v>0</v>
      </c>
      <c r="D55" s="232">
        <f>(C55*$K$1)*$C$1</f>
        <v>0</v>
      </c>
      <c r="E55" s="99"/>
      <c r="F55" s="99"/>
      <c r="G55" s="144" t="s">
        <v>290</v>
      </c>
      <c r="H55" s="186">
        <f>MIN(MAX(H52-H53-H54),H51)</f>
        <v>0</v>
      </c>
      <c r="I55" s="175">
        <f>J55/$R$1</f>
        <v>0</v>
      </c>
      <c r="J55" s="175">
        <f>MIN(MAX(J52-J53-J54),J51)</f>
        <v>0</v>
      </c>
    </row>
    <row r="62" spans="1:10" ht="17.75" customHeight="1" x14ac:dyDescent="0.3">
      <c r="A62" s="922"/>
      <c r="B62" s="1438" t="str">
        <f>"دجاج تكا  1 / " &amp; COUNTIF($C$53:$C$55, "&gt;0")</f>
        <v>دجاج تكا  1 / 2</v>
      </c>
      <c r="C62" s="1439"/>
      <c r="D62" s="1439"/>
      <c r="E62" s="1439"/>
      <c r="F62" s="1439"/>
      <c r="G62" s="1439"/>
      <c r="H62" s="1439"/>
    </row>
    <row r="63" spans="1:10" ht="17.75" customHeight="1" x14ac:dyDescent="0.3">
      <c r="A63" s="922"/>
      <c r="B63" s="1436" t="str">
        <f>"Chicken Tikka  1 / " &amp; COUNTIF($C$53:$C$55, "&gt;0")</f>
        <v>Chicken Tikka  1 / 2</v>
      </c>
      <c r="C63" s="1437"/>
      <c r="D63" s="1437"/>
      <c r="E63" s="1437"/>
      <c r="F63" s="1437"/>
      <c r="G63" s="1437"/>
      <c r="H63" s="1437"/>
    </row>
    <row r="64" spans="1:10" ht="25.5" customHeight="1" x14ac:dyDescent="0.25">
      <c r="A64" s="90"/>
      <c r="B64" s="242" t="s">
        <v>245</v>
      </c>
      <c r="C64" s="243" t="s">
        <v>246</v>
      </c>
      <c r="D64" s="244" t="s">
        <v>235</v>
      </c>
      <c r="E64" s="217" t="s">
        <v>238</v>
      </c>
      <c r="F64" s="217" t="s">
        <v>247</v>
      </c>
      <c r="G64" s="244" t="s">
        <v>248</v>
      </c>
      <c r="H64" s="217" t="s">
        <v>249</v>
      </c>
    </row>
    <row r="65" spans="1:8" ht="14.25" customHeight="1" x14ac:dyDescent="0.3">
      <c r="A65" s="127" t="s">
        <v>225</v>
      </c>
      <c r="B65" s="293" t="str">
        <f t="shared" ref="B65:D81" si="14">B5</f>
        <v>Chicken - دجاج</v>
      </c>
      <c r="C65" s="293" t="str">
        <f t="shared" si="14"/>
        <v>gm</v>
      </c>
      <c r="D65" s="416">
        <f t="shared" si="14"/>
        <v>5747.2413793103451</v>
      </c>
      <c r="E65" s="125">
        <f>H53</f>
        <v>10</v>
      </c>
      <c r="F65" s="126">
        <f t="shared" ref="F65:F81" si="15">F5</f>
        <v>1</v>
      </c>
      <c r="G65" s="118">
        <f t="shared" ref="G65:G81" si="16">D65*E65</f>
        <v>57472.413793103449</v>
      </c>
      <c r="H65" s="119">
        <f t="shared" ref="H65:H81" si="17">G65*F65</f>
        <v>57472.413793103449</v>
      </c>
    </row>
    <row r="66" spans="1:8" ht="14.25" customHeight="1" x14ac:dyDescent="0.3">
      <c r="A66" s="127" t="s">
        <v>13</v>
      </c>
      <c r="B66" s="293" t="str">
        <f t="shared" si="14"/>
        <v>Onion - بصل</v>
      </c>
      <c r="C66" s="293" t="str">
        <f t="shared" si="14"/>
        <v>gm</v>
      </c>
      <c r="D66" s="293">
        <f t="shared" si="14"/>
        <v>200</v>
      </c>
      <c r="E66" s="125">
        <f>$C$53</f>
        <v>10.1010101010101</v>
      </c>
      <c r="F66" s="126">
        <f t="shared" si="15"/>
        <v>0.95</v>
      </c>
      <c r="G66" s="118">
        <f t="shared" si="16"/>
        <v>2020.2020202020201</v>
      </c>
      <c r="H66" s="119">
        <f t="shared" si="17"/>
        <v>1919.1919191919189</v>
      </c>
    </row>
    <row r="67" spans="1:8" ht="14.25" customHeight="1" x14ac:dyDescent="0.3">
      <c r="A67" s="127" t="s">
        <v>13</v>
      </c>
      <c r="B67" s="293" t="str">
        <f t="shared" si="14"/>
        <v>Tomato - طماطم</v>
      </c>
      <c r="C67" s="293" t="str">
        <f t="shared" si="14"/>
        <v>gm</v>
      </c>
      <c r="D67" s="293">
        <f t="shared" si="14"/>
        <v>500</v>
      </c>
      <c r="E67" s="125">
        <f t="shared" ref="E67:E81" si="18">$C$53</f>
        <v>10.1010101010101</v>
      </c>
      <c r="F67" s="126">
        <f t="shared" si="15"/>
        <v>0.95</v>
      </c>
      <c r="G67" s="118">
        <f t="shared" si="16"/>
        <v>5050.5050505050503</v>
      </c>
      <c r="H67" s="119">
        <f t="shared" si="17"/>
        <v>4797.9797979797977</v>
      </c>
    </row>
    <row r="68" spans="1:8" ht="14.25" customHeight="1" x14ac:dyDescent="0.3">
      <c r="A68" s="127" t="s">
        <v>56</v>
      </c>
      <c r="B68" s="293" t="str">
        <f t="shared" si="14"/>
        <v>Ginger - زنجبيل</v>
      </c>
      <c r="C68" s="293" t="str">
        <f t="shared" si="14"/>
        <v>gm</v>
      </c>
      <c r="D68" s="293">
        <f t="shared" si="14"/>
        <v>25</v>
      </c>
      <c r="E68" s="125">
        <f t="shared" si="18"/>
        <v>10.1010101010101</v>
      </c>
      <c r="F68" s="126">
        <f t="shared" si="15"/>
        <v>1</v>
      </c>
      <c r="G68" s="118">
        <f t="shared" si="16"/>
        <v>252.52525252525251</v>
      </c>
      <c r="H68" s="119">
        <f t="shared" si="17"/>
        <v>252.52525252525251</v>
      </c>
    </row>
    <row r="69" spans="1:8" ht="14.25" customHeight="1" x14ac:dyDescent="0.3">
      <c r="A69" s="127" t="s">
        <v>13</v>
      </c>
      <c r="B69" s="293" t="str">
        <f t="shared" si="14"/>
        <v>Garlic - ثوم مقشر</v>
      </c>
      <c r="C69" s="293" t="str">
        <f t="shared" si="14"/>
        <v>gm</v>
      </c>
      <c r="D69" s="293">
        <f t="shared" si="14"/>
        <v>40</v>
      </c>
      <c r="E69" s="125">
        <f t="shared" si="18"/>
        <v>10.1010101010101</v>
      </c>
      <c r="F69" s="126">
        <f t="shared" si="15"/>
        <v>1</v>
      </c>
      <c r="G69" s="118">
        <f t="shared" si="16"/>
        <v>404.04040404040404</v>
      </c>
      <c r="H69" s="119">
        <f t="shared" si="17"/>
        <v>404.04040404040404</v>
      </c>
    </row>
    <row r="70" spans="1:8" ht="14.25" customHeight="1" x14ac:dyDescent="0.3">
      <c r="A70" s="127" t="s">
        <v>95</v>
      </c>
      <c r="B70" s="293" t="str">
        <f t="shared" si="14"/>
        <v>Turmeric - كركم</v>
      </c>
      <c r="C70" s="293" t="str">
        <f t="shared" si="14"/>
        <v>gm</v>
      </c>
      <c r="D70" s="293">
        <f t="shared" si="14"/>
        <v>5</v>
      </c>
      <c r="E70" s="125">
        <f t="shared" si="18"/>
        <v>10.1010101010101</v>
      </c>
      <c r="F70" s="126">
        <f t="shared" si="15"/>
        <v>0.75</v>
      </c>
      <c r="G70" s="118">
        <f t="shared" si="16"/>
        <v>50.505050505050505</v>
      </c>
      <c r="H70" s="119">
        <f t="shared" si="17"/>
        <v>37.878787878787875</v>
      </c>
    </row>
    <row r="71" spans="1:8" ht="14.25" customHeight="1" x14ac:dyDescent="0.3">
      <c r="A71" s="127" t="s">
        <v>95</v>
      </c>
      <c r="B71" s="293" t="str">
        <f t="shared" si="14"/>
        <v>Cumin Powder - كمون مطحون</v>
      </c>
      <c r="C71" s="293" t="str">
        <f t="shared" si="14"/>
        <v>gm</v>
      </c>
      <c r="D71" s="293">
        <f t="shared" si="14"/>
        <v>15</v>
      </c>
      <c r="E71" s="125">
        <f t="shared" si="18"/>
        <v>10.1010101010101</v>
      </c>
      <c r="F71" s="126">
        <f t="shared" si="15"/>
        <v>1</v>
      </c>
      <c r="G71" s="118">
        <f t="shared" si="16"/>
        <v>151.5151515151515</v>
      </c>
      <c r="H71" s="119">
        <f t="shared" si="17"/>
        <v>151.5151515151515</v>
      </c>
    </row>
    <row r="72" spans="1:8" ht="14.25" customHeight="1" x14ac:dyDescent="0.3">
      <c r="A72" s="127" t="s">
        <v>95</v>
      </c>
      <c r="B72" s="293" t="str">
        <f t="shared" si="14"/>
        <v>Biryani Masala - بهارات برياني</v>
      </c>
      <c r="C72" s="293" t="str">
        <f t="shared" si="14"/>
        <v>gm</v>
      </c>
      <c r="D72" s="293">
        <f t="shared" si="14"/>
        <v>25</v>
      </c>
      <c r="E72" s="125">
        <f t="shared" si="18"/>
        <v>10.1010101010101</v>
      </c>
      <c r="F72" s="126">
        <f t="shared" si="15"/>
        <v>0.75</v>
      </c>
      <c r="G72" s="118">
        <f t="shared" si="16"/>
        <v>252.52525252525251</v>
      </c>
      <c r="H72" s="119">
        <f t="shared" si="17"/>
        <v>189.39393939393938</v>
      </c>
    </row>
    <row r="73" spans="1:8" ht="14" customHeight="1" x14ac:dyDescent="0.3">
      <c r="A73" s="127" t="s">
        <v>154</v>
      </c>
      <c r="B73" s="293" t="str">
        <f t="shared" si="14"/>
        <v>Labneh - لبنة</v>
      </c>
      <c r="C73" s="293" t="str">
        <f t="shared" si="14"/>
        <v>gm</v>
      </c>
      <c r="D73" s="293">
        <f t="shared" si="14"/>
        <v>300</v>
      </c>
      <c r="E73" s="125">
        <f t="shared" si="18"/>
        <v>10.1010101010101</v>
      </c>
      <c r="F73" s="126">
        <f t="shared" si="15"/>
        <v>1</v>
      </c>
      <c r="G73" s="118">
        <f t="shared" si="16"/>
        <v>3030.30303030303</v>
      </c>
      <c r="H73" s="119">
        <f t="shared" si="17"/>
        <v>3030.30303030303</v>
      </c>
    </row>
    <row r="74" spans="1:8" ht="14" customHeight="1" x14ac:dyDescent="0.3">
      <c r="A74" s="127" t="s">
        <v>154</v>
      </c>
      <c r="B74" s="293" t="str">
        <f t="shared" si="14"/>
        <v>Cooking Cream - كريمة طبخ</v>
      </c>
      <c r="C74" s="293" t="str">
        <f t="shared" si="14"/>
        <v>ml</v>
      </c>
      <c r="D74" s="293">
        <f t="shared" si="14"/>
        <v>300</v>
      </c>
      <c r="E74" s="125">
        <f t="shared" si="18"/>
        <v>10.1010101010101</v>
      </c>
      <c r="F74" s="126">
        <f t="shared" si="15"/>
        <v>1</v>
      </c>
      <c r="G74" s="118">
        <f t="shared" si="16"/>
        <v>3030.30303030303</v>
      </c>
      <c r="H74" s="119">
        <f t="shared" si="17"/>
        <v>3030.30303030303</v>
      </c>
    </row>
    <row r="75" spans="1:8" ht="14.25" customHeight="1" x14ac:dyDescent="0.3">
      <c r="A75" s="127" t="s">
        <v>62</v>
      </c>
      <c r="B75" s="293" t="str">
        <f t="shared" si="14"/>
        <v>Coriander Leaves - كزبرة خضراء</v>
      </c>
      <c r="C75" s="293" t="str">
        <f t="shared" si="14"/>
        <v>gm</v>
      </c>
      <c r="D75" s="293">
        <f t="shared" si="14"/>
        <v>30</v>
      </c>
      <c r="E75" s="125">
        <f t="shared" si="18"/>
        <v>10.1010101010101</v>
      </c>
      <c r="F75" s="126">
        <f t="shared" si="15"/>
        <v>1</v>
      </c>
      <c r="G75" s="118">
        <f t="shared" si="16"/>
        <v>303.030303030303</v>
      </c>
      <c r="H75" s="119">
        <f t="shared" si="17"/>
        <v>303.030303030303</v>
      </c>
    </row>
    <row r="76" spans="1:8" ht="14.25" customHeight="1" x14ac:dyDescent="0.3">
      <c r="A76" s="127" t="s">
        <v>62</v>
      </c>
      <c r="B76" s="293" t="str">
        <f t="shared" si="14"/>
        <v>Mint Leaves - نعناع طازج</v>
      </c>
      <c r="C76" s="293" t="str">
        <f t="shared" si="14"/>
        <v>gm</v>
      </c>
      <c r="D76" s="293">
        <f t="shared" si="14"/>
        <v>25</v>
      </c>
      <c r="E76" s="125">
        <f t="shared" si="18"/>
        <v>10.1010101010101</v>
      </c>
      <c r="F76" s="126">
        <f t="shared" si="15"/>
        <v>1</v>
      </c>
      <c r="G76" s="118">
        <f t="shared" si="16"/>
        <v>252.52525252525251</v>
      </c>
      <c r="H76" s="119">
        <f t="shared" si="17"/>
        <v>252.52525252525251</v>
      </c>
    </row>
    <row r="77" spans="1:8" ht="14.25" customHeight="1" x14ac:dyDescent="0.3">
      <c r="A77" s="127" t="s">
        <v>95</v>
      </c>
      <c r="B77" s="293" t="str">
        <f t="shared" si="14"/>
        <v>Salt - ملح</v>
      </c>
      <c r="C77" s="293" t="str">
        <f t="shared" si="14"/>
        <v>gm</v>
      </c>
      <c r="D77" s="293">
        <f t="shared" si="14"/>
        <v>11</v>
      </c>
      <c r="E77" s="125">
        <f t="shared" si="18"/>
        <v>10.1010101010101</v>
      </c>
      <c r="F77" s="126">
        <f t="shared" si="15"/>
        <v>0.75</v>
      </c>
      <c r="G77" s="118">
        <f t="shared" si="16"/>
        <v>111.1111111111111</v>
      </c>
      <c r="H77" s="119">
        <f t="shared" si="17"/>
        <v>83.333333333333329</v>
      </c>
    </row>
    <row r="78" spans="1:8" ht="14.25" customHeight="1" x14ac:dyDescent="0.3">
      <c r="A78" s="127" t="s">
        <v>95</v>
      </c>
      <c r="B78" s="293" t="str">
        <f t="shared" si="14"/>
        <v>Red Chilli Powder - شطة حمراء مطحونة</v>
      </c>
      <c r="C78" s="293" t="str">
        <f t="shared" si="14"/>
        <v>gm</v>
      </c>
      <c r="D78" s="293">
        <f t="shared" si="14"/>
        <v>5</v>
      </c>
      <c r="E78" s="125">
        <f t="shared" si="18"/>
        <v>10.1010101010101</v>
      </c>
      <c r="F78" s="126">
        <f t="shared" si="15"/>
        <v>0.75</v>
      </c>
      <c r="G78" s="118">
        <f t="shared" si="16"/>
        <v>50.505050505050505</v>
      </c>
      <c r="H78" s="119">
        <f t="shared" si="17"/>
        <v>37.878787878787875</v>
      </c>
    </row>
    <row r="79" spans="1:8" ht="14.25" customHeight="1" x14ac:dyDescent="0.3">
      <c r="A79" s="127" t="s">
        <v>95</v>
      </c>
      <c r="B79" s="293" t="str">
        <f t="shared" si="14"/>
        <v>Coriander Powder - كزبرة مطحونة</v>
      </c>
      <c r="C79" s="293" t="str">
        <f t="shared" si="14"/>
        <v>gm</v>
      </c>
      <c r="D79" s="293">
        <f t="shared" si="14"/>
        <v>15</v>
      </c>
      <c r="E79" s="125">
        <f t="shared" si="18"/>
        <v>10.1010101010101</v>
      </c>
      <c r="F79" s="126">
        <f t="shared" si="15"/>
        <v>1</v>
      </c>
      <c r="G79" s="118">
        <f t="shared" si="16"/>
        <v>151.5151515151515</v>
      </c>
      <c r="H79" s="119">
        <f t="shared" si="17"/>
        <v>151.5151515151515</v>
      </c>
    </row>
    <row r="80" spans="1:8" ht="14.25" customHeight="1" x14ac:dyDescent="0.3">
      <c r="A80" s="127" t="s">
        <v>215</v>
      </c>
      <c r="B80" s="293" t="str">
        <f t="shared" si="14"/>
        <v>Orange Color - لون برتقالي</v>
      </c>
      <c r="C80" s="293" t="str">
        <f t="shared" si="14"/>
        <v>gm</v>
      </c>
      <c r="D80" s="293">
        <f t="shared" si="14"/>
        <v>3</v>
      </c>
      <c r="E80" s="125">
        <f t="shared" si="18"/>
        <v>10.1010101010101</v>
      </c>
      <c r="F80" s="126">
        <f t="shared" si="15"/>
        <v>0.75</v>
      </c>
      <c r="G80" s="118">
        <f t="shared" si="16"/>
        <v>30.303030303030301</v>
      </c>
      <c r="H80" s="119">
        <f t="shared" si="17"/>
        <v>22.727272727272727</v>
      </c>
    </row>
    <row r="81" spans="1:8" ht="14.25" customHeight="1" x14ac:dyDescent="0.3">
      <c r="A81" s="127" t="s">
        <v>154</v>
      </c>
      <c r="B81" s="293" t="str">
        <f t="shared" si="14"/>
        <v>Butter - زبدة</v>
      </c>
      <c r="C81" s="293" t="str">
        <f t="shared" si="14"/>
        <v>gm</v>
      </c>
      <c r="D81" s="293">
        <f t="shared" si="14"/>
        <v>60</v>
      </c>
      <c r="E81" s="125">
        <f t="shared" si="18"/>
        <v>10.1010101010101</v>
      </c>
      <c r="F81" s="126">
        <f t="shared" si="15"/>
        <v>1</v>
      </c>
      <c r="G81" s="118">
        <f t="shared" si="16"/>
        <v>606.06060606060601</v>
      </c>
      <c r="H81" s="119">
        <f t="shared" si="17"/>
        <v>606.06060606060601</v>
      </c>
    </row>
    <row r="82" spans="1:8" ht="20.25" customHeight="1" x14ac:dyDescent="0.3">
      <c r="A82" s="210"/>
      <c r="B82" s="197" t="s">
        <v>291</v>
      </c>
      <c r="C82" s="199" t="s">
        <v>277</v>
      </c>
      <c r="E82" s="199" t="s">
        <v>292</v>
      </c>
      <c r="G82" s="878" t="s">
        <v>268</v>
      </c>
      <c r="H82" s="878" t="s">
        <v>703</v>
      </c>
    </row>
    <row r="83" spans="1:8" ht="21.5" customHeight="1" x14ac:dyDescent="0.4">
      <c r="A83" s="210"/>
      <c r="B83" s="198">
        <f>$J$53</f>
        <v>33334</v>
      </c>
      <c r="C83" s="198">
        <f>E83+G83</f>
        <v>10000</v>
      </c>
      <c r="D83" s="208"/>
      <c r="E83" s="198">
        <f>$D$53*$S$44</f>
        <v>10000</v>
      </c>
      <c r="F83" s="99"/>
      <c r="G83" s="201">
        <f>$D$53*$T$44</f>
        <v>0</v>
      </c>
      <c r="H83" s="916">
        <f>B83+E83</f>
        <v>43334</v>
      </c>
    </row>
    <row r="84" spans="1:8" ht="14.25" customHeight="1" x14ac:dyDescent="0.3">
      <c r="B84" s="99"/>
      <c r="E84" s="99"/>
      <c r="F84" s="99"/>
    </row>
    <row r="85" spans="1:8" ht="14.25" customHeight="1" x14ac:dyDescent="0.3">
      <c r="B85" s="99"/>
      <c r="C85" s="99"/>
      <c r="D85" s="99"/>
      <c r="E85" s="99"/>
      <c r="F85" s="99"/>
      <c r="G85" s="99"/>
      <c r="H85" s="99"/>
    </row>
    <row r="86" spans="1:8" ht="17.75" customHeight="1" x14ac:dyDescent="0.3">
      <c r="A86" s="922"/>
      <c r="B86" s="1438" t="str">
        <f>"دجاج تكا  2 / " &amp; COUNTIF($C$53:$C$55, "&gt;0")</f>
        <v>دجاج تكا  2 / 2</v>
      </c>
      <c r="C86" s="1439"/>
      <c r="D86" s="1439"/>
      <c r="E86" s="1439"/>
      <c r="F86" s="1439"/>
      <c r="G86" s="1439"/>
      <c r="H86" s="1439"/>
    </row>
    <row r="87" spans="1:8" ht="17.75" customHeight="1" x14ac:dyDescent="0.3">
      <c r="A87" s="922"/>
      <c r="B87" s="1436" t="str">
        <f>"Chicken Tikka  2 / " &amp; COUNTIF($C$53:$C$55, "&gt;0")</f>
        <v>Chicken Tikka  2 / 2</v>
      </c>
      <c r="C87" s="1437"/>
      <c r="D87" s="1437"/>
      <c r="E87" s="1437"/>
      <c r="F87" s="1437"/>
      <c r="G87" s="1437"/>
      <c r="H87" s="1437"/>
    </row>
    <row r="88" spans="1:8" ht="25.5" customHeight="1" x14ac:dyDescent="0.25">
      <c r="A88" s="90"/>
      <c r="B88" s="242" t="s">
        <v>245</v>
      </c>
      <c r="C88" s="243" t="s">
        <v>246</v>
      </c>
      <c r="D88" s="244" t="s">
        <v>235</v>
      </c>
      <c r="E88" s="217" t="s">
        <v>238</v>
      </c>
      <c r="F88" s="217" t="s">
        <v>247</v>
      </c>
      <c r="G88" s="244" t="s">
        <v>248</v>
      </c>
      <c r="H88" s="217" t="s">
        <v>249</v>
      </c>
    </row>
    <row r="89" spans="1:8" ht="14.25" customHeight="1" x14ac:dyDescent="0.3">
      <c r="A89" s="127" t="s">
        <v>225</v>
      </c>
      <c r="B89" s="293" t="str">
        <f t="shared" ref="B89:D105" si="19">B5</f>
        <v>Chicken - دجاج</v>
      </c>
      <c r="C89" s="293" t="str">
        <f t="shared" si="19"/>
        <v>gm</v>
      </c>
      <c r="D89" s="416">
        <f t="shared" si="19"/>
        <v>5747.2413793103451</v>
      </c>
      <c r="E89" s="125">
        <f>H54</f>
        <v>1.6074601584891344</v>
      </c>
      <c r="F89" s="126">
        <f t="shared" ref="F89:F105" si="20">F5</f>
        <v>1</v>
      </c>
      <c r="G89" s="118">
        <f t="shared" ref="G89:G105" si="21">D89*E89</f>
        <v>9238.461538461519</v>
      </c>
      <c r="H89" s="119">
        <f t="shared" ref="H89:H105" si="22">G89*F89</f>
        <v>9238.461538461519</v>
      </c>
    </row>
    <row r="90" spans="1:8" ht="14.25" customHeight="1" x14ac:dyDescent="0.3">
      <c r="A90" s="127" t="s">
        <v>13</v>
      </c>
      <c r="B90" s="293" t="str">
        <f t="shared" si="19"/>
        <v>Onion - بصل</v>
      </c>
      <c r="C90" s="293" t="str">
        <f t="shared" si="19"/>
        <v>gm</v>
      </c>
      <c r="D90" s="293">
        <f t="shared" si="19"/>
        <v>200</v>
      </c>
      <c r="E90" s="125">
        <f t="shared" ref="E90:E105" si="23">$C$54</f>
        <v>1.6239316239316377</v>
      </c>
      <c r="F90" s="126">
        <f t="shared" si="20"/>
        <v>0.95</v>
      </c>
      <c r="G90" s="118">
        <f t="shared" si="21"/>
        <v>324.78632478632755</v>
      </c>
      <c r="H90" s="119">
        <f t="shared" si="22"/>
        <v>308.54700854701116</v>
      </c>
    </row>
    <row r="91" spans="1:8" ht="14.25" customHeight="1" x14ac:dyDescent="0.3">
      <c r="A91" s="127" t="s">
        <v>13</v>
      </c>
      <c r="B91" s="293" t="str">
        <f t="shared" si="19"/>
        <v>Tomato - طماطم</v>
      </c>
      <c r="C91" s="293" t="str">
        <f t="shared" si="19"/>
        <v>gm</v>
      </c>
      <c r="D91" s="293">
        <f t="shared" si="19"/>
        <v>500</v>
      </c>
      <c r="E91" s="125">
        <f t="shared" si="23"/>
        <v>1.6239316239316377</v>
      </c>
      <c r="F91" s="126">
        <f t="shared" si="20"/>
        <v>0.95</v>
      </c>
      <c r="G91" s="118">
        <f t="shared" si="21"/>
        <v>811.96581196581883</v>
      </c>
      <c r="H91" s="119">
        <f t="shared" si="22"/>
        <v>771.36752136752784</v>
      </c>
    </row>
    <row r="92" spans="1:8" ht="14.25" customHeight="1" x14ac:dyDescent="0.3">
      <c r="A92" s="127" t="s">
        <v>56</v>
      </c>
      <c r="B92" s="293" t="str">
        <f t="shared" si="19"/>
        <v>Ginger - زنجبيل</v>
      </c>
      <c r="C92" s="293" t="str">
        <f t="shared" si="19"/>
        <v>gm</v>
      </c>
      <c r="D92" s="293">
        <f t="shared" si="19"/>
        <v>25</v>
      </c>
      <c r="E92" s="125">
        <f t="shared" si="23"/>
        <v>1.6239316239316377</v>
      </c>
      <c r="F92" s="126">
        <f t="shared" si="20"/>
        <v>1</v>
      </c>
      <c r="G92" s="118">
        <f t="shared" si="21"/>
        <v>40.598290598290944</v>
      </c>
      <c r="H92" s="119">
        <f t="shared" si="22"/>
        <v>40.598290598290944</v>
      </c>
    </row>
    <row r="93" spans="1:8" ht="14.25" customHeight="1" x14ac:dyDescent="0.3">
      <c r="A93" s="127" t="s">
        <v>13</v>
      </c>
      <c r="B93" s="293" t="str">
        <f t="shared" si="19"/>
        <v>Garlic - ثوم مقشر</v>
      </c>
      <c r="C93" s="293" t="str">
        <f t="shared" si="19"/>
        <v>gm</v>
      </c>
      <c r="D93" s="293">
        <f t="shared" si="19"/>
        <v>40</v>
      </c>
      <c r="E93" s="125">
        <f t="shared" si="23"/>
        <v>1.6239316239316377</v>
      </c>
      <c r="F93" s="126">
        <f t="shared" si="20"/>
        <v>1</v>
      </c>
      <c r="G93" s="118">
        <f t="shared" si="21"/>
        <v>64.957264957265508</v>
      </c>
      <c r="H93" s="119">
        <f t="shared" si="22"/>
        <v>64.957264957265508</v>
      </c>
    </row>
    <row r="94" spans="1:8" ht="14.25" customHeight="1" x14ac:dyDescent="0.3">
      <c r="A94" s="127" t="s">
        <v>95</v>
      </c>
      <c r="B94" s="293" t="str">
        <f t="shared" si="19"/>
        <v>Turmeric - كركم</v>
      </c>
      <c r="C94" s="293" t="str">
        <f t="shared" si="19"/>
        <v>gm</v>
      </c>
      <c r="D94" s="293">
        <f t="shared" si="19"/>
        <v>5</v>
      </c>
      <c r="E94" s="125">
        <f t="shared" si="23"/>
        <v>1.6239316239316377</v>
      </c>
      <c r="F94" s="126">
        <f t="shared" si="20"/>
        <v>0.75</v>
      </c>
      <c r="G94" s="118">
        <f t="shared" si="21"/>
        <v>8.1196581196581885</v>
      </c>
      <c r="H94" s="119">
        <f t="shared" si="22"/>
        <v>6.0897435897436409</v>
      </c>
    </row>
    <row r="95" spans="1:8" ht="14.25" customHeight="1" x14ac:dyDescent="0.3">
      <c r="A95" s="127" t="s">
        <v>95</v>
      </c>
      <c r="B95" s="293" t="str">
        <f t="shared" si="19"/>
        <v>Cumin Powder - كمون مطحون</v>
      </c>
      <c r="C95" s="293" t="str">
        <f t="shared" si="19"/>
        <v>gm</v>
      </c>
      <c r="D95" s="293">
        <f t="shared" si="19"/>
        <v>15</v>
      </c>
      <c r="E95" s="125">
        <f t="shared" si="23"/>
        <v>1.6239316239316377</v>
      </c>
      <c r="F95" s="126">
        <f t="shared" si="20"/>
        <v>1</v>
      </c>
      <c r="G95" s="118">
        <f t="shared" si="21"/>
        <v>24.358974358974564</v>
      </c>
      <c r="H95" s="119">
        <f t="shared" si="22"/>
        <v>24.358974358974564</v>
      </c>
    </row>
    <row r="96" spans="1:8" ht="14.25" customHeight="1" x14ac:dyDescent="0.3">
      <c r="A96" s="127" t="s">
        <v>95</v>
      </c>
      <c r="B96" s="293" t="str">
        <f t="shared" si="19"/>
        <v>Biryani Masala - بهارات برياني</v>
      </c>
      <c r="C96" s="293" t="str">
        <f t="shared" si="19"/>
        <v>gm</v>
      </c>
      <c r="D96" s="293">
        <f t="shared" si="19"/>
        <v>25</v>
      </c>
      <c r="E96" s="125">
        <f t="shared" si="23"/>
        <v>1.6239316239316377</v>
      </c>
      <c r="F96" s="126">
        <f t="shared" si="20"/>
        <v>0.75</v>
      </c>
      <c r="G96" s="118">
        <f t="shared" si="21"/>
        <v>40.598290598290944</v>
      </c>
      <c r="H96" s="119">
        <f t="shared" si="22"/>
        <v>30.448717948718208</v>
      </c>
    </row>
    <row r="97" spans="1:10" ht="14.25" customHeight="1" x14ac:dyDescent="0.3">
      <c r="A97" s="127" t="s">
        <v>154</v>
      </c>
      <c r="B97" s="293" t="str">
        <f t="shared" si="19"/>
        <v>Labneh - لبنة</v>
      </c>
      <c r="C97" s="293" t="str">
        <f t="shared" si="19"/>
        <v>gm</v>
      </c>
      <c r="D97" s="293">
        <f t="shared" si="19"/>
        <v>300</v>
      </c>
      <c r="E97" s="125">
        <f t="shared" si="23"/>
        <v>1.6239316239316377</v>
      </c>
      <c r="F97" s="126">
        <f t="shared" si="20"/>
        <v>1</v>
      </c>
      <c r="G97" s="118">
        <f t="shared" si="21"/>
        <v>487.17948717949133</v>
      </c>
      <c r="H97" s="119">
        <f t="shared" si="22"/>
        <v>487.17948717949133</v>
      </c>
    </row>
    <row r="98" spans="1:10" ht="14.25" customHeight="1" x14ac:dyDescent="0.3">
      <c r="A98" s="127" t="s">
        <v>154</v>
      </c>
      <c r="B98" s="293" t="str">
        <f t="shared" si="19"/>
        <v>Cooking Cream - كريمة طبخ</v>
      </c>
      <c r="C98" s="293" t="str">
        <f t="shared" si="19"/>
        <v>ml</v>
      </c>
      <c r="D98" s="293">
        <f t="shared" si="19"/>
        <v>300</v>
      </c>
      <c r="E98" s="125">
        <f t="shared" si="23"/>
        <v>1.6239316239316377</v>
      </c>
      <c r="F98" s="126">
        <f t="shared" si="20"/>
        <v>1</v>
      </c>
      <c r="G98" s="118">
        <f t="shared" si="21"/>
        <v>487.17948717949133</v>
      </c>
      <c r="H98" s="119">
        <f t="shared" si="22"/>
        <v>487.17948717949133</v>
      </c>
    </row>
    <row r="99" spans="1:10" ht="14.25" customHeight="1" x14ac:dyDescent="0.3">
      <c r="A99" s="127" t="s">
        <v>62</v>
      </c>
      <c r="B99" s="293" t="str">
        <f t="shared" si="19"/>
        <v>Coriander Leaves - كزبرة خضراء</v>
      </c>
      <c r="C99" s="293" t="str">
        <f t="shared" si="19"/>
        <v>gm</v>
      </c>
      <c r="D99" s="293">
        <f t="shared" si="19"/>
        <v>30</v>
      </c>
      <c r="E99" s="125">
        <f t="shared" si="23"/>
        <v>1.6239316239316377</v>
      </c>
      <c r="F99" s="126">
        <f t="shared" si="20"/>
        <v>1</v>
      </c>
      <c r="G99" s="118">
        <f t="shared" si="21"/>
        <v>48.717948717949128</v>
      </c>
      <c r="H99" s="119">
        <f t="shared" si="22"/>
        <v>48.717948717949128</v>
      </c>
    </row>
    <row r="100" spans="1:10" ht="14.25" customHeight="1" x14ac:dyDescent="0.3">
      <c r="A100" s="127" t="s">
        <v>62</v>
      </c>
      <c r="B100" s="293" t="str">
        <f t="shared" si="19"/>
        <v>Mint Leaves - نعناع طازج</v>
      </c>
      <c r="C100" s="293" t="str">
        <f t="shared" si="19"/>
        <v>gm</v>
      </c>
      <c r="D100" s="293">
        <f t="shared" si="19"/>
        <v>25</v>
      </c>
      <c r="E100" s="125">
        <f t="shared" si="23"/>
        <v>1.6239316239316377</v>
      </c>
      <c r="F100" s="126">
        <f t="shared" si="20"/>
        <v>1</v>
      </c>
      <c r="G100" s="118">
        <f t="shared" si="21"/>
        <v>40.598290598290944</v>
      </c>
      <c r="H100" s="119">
        <f t="shared" si="22"/>
        <v>40.598290598290944</v>
      </c>
    </row>
    <row r="101" spans="1:10" ht="14.25" customHeight="1" x14ac:dyDescent="0.3">
      <c r="A101" s="127" t="s">
        <v>95</v>
      </c>
      <c r="B101" s="293" t="str">
        <f t="shared" si="19"/>
        <v>Salt - ملح</v>
      </c>
      <c r="C101" s="293" t="str">
        <f t="shared" si="19"/>
        <v>gm</v>
      </c>
      <c r="D101" s="293">
        <f t="shared" si="19"/>
        <v>11</v>
      </c>
      <c r="E101" s="125">
        <f t="shared" si="23"/>
        <v>1.6239316239316377</v>
      </c>
      <c r="F101" s="126">
        <f t="shared" si="20"/>
        <v>0.75</v>
      </c>
      <c r="G101" s="118">
        <f t="shared" si="21"/>
        <v>17.863247863248013</v>
      </c>
      <c r="H101" s="119">
        <f t="shared" si="22"/>
        <v>13.39743589743601</v>
      </c>
    </row>
    <row r="102" spans="1:10" ht="14.25" customHeight="1" x14ac:dyDescent="0.3">
      <c r="A102" s="127" t="s">
        <v>95</v>
      </c>
      <c r="B102" s="293" t="str">
        <f t="shared" si="19"/>
        <v>Red Chilli Powder - شطة حمراء مطحونة</v>
      </c>
      <c r="C102" s="293" t="str">
        <f t="shared" si="19"/>
        <v>gm</v>
      </c>
      <c r="D102" s="293">
        <f t="shared" si="19"/>
        <v>5</v>
      </c>
      <c r="E102" s="125">
        <f t="shared" si="23"/>
        <v>1.6239316239316377</v>
      </c>
      <c r="F102" s="126">
        <f t="shared" si="20"/>
        <v>0.75</v>
      </c>
      <c r="G102" s="118">
        <f t="shared" si="21"/>
        <v>8.1196581196581885</v>
      </c>
      <c r="H102" s="119">
        <f t="shared" si="22"/>
        <v>6.0897435897436409</v>
      </c>
    </row>
    <row r="103" spans="1:10" ht="14.25" customHeight="1" x14ac:dyDescent="0.3">
      <c r="A103" s="127" t="s">
        <v>95</v>
      </c>
      <c r="B103" s="293" t="str">
        <f t="shared" si="19"/>
        <v>Coriander Powder - كزبرة مطحونة</v>
      </c>
      <c r="C103" s="293" t="str">
        <f t="shared" si="19"/>
        <v>gm</v>
      </c>
      <c r="D103" s="293">
        <f t="shared" si="19"/>
        <v>15</v>
      </c>
      <c r="E103" s="125">
        <f t="shared" si="23"/>
        <v>1.6239316239316377</v>
      </c>
      <c r="F103" s="126">
        <f t="shared" si="20"/>
        <v>1</v>
      </c>
      <c r="G103" s="118">
        <f t="shared" si="21"/>
        <v>24.358974358974564</v>
      </c>
      <c r="H103" s="119">
        <f t="shared" si="22"/>
        <v>24.358974358974564</v>
      </c>
    </row>
    <row r="104" spans="1:10" ht="14.25" customHeight="1" x14ac:dyDescent="0.3">
      <c r="A104" s="127" t="s">
        <v>215</v>
      </c>
      <c r="B104" s="293" t="str">
        <f t="shared" si="19"/>
        <v>Orange Color - لون برتقالي</v>
      </c>
      <c r="C104" s="293" t="str">
        <f t="shared" si="19"/>
        <v>gm</v>
      </c>
      <c r="D104" s="293">
        <f t="shared" si="19"/>
        <v>3</v>
      </c>
      <c r="E104" s="125">
        <f t="shared" si="23"/>
        <v>1.6239316239316377</v>
      </c>
      <c r="F104" s="126">
        <f t="shared" si="20"/>
        <v>0.75</v>
      </c>
      <c r="G104" s="118">
        <f t="shared" si="21"/>
        <v>4.8717948717949131</v>
      </c>
      <c r="H104" s="119">
        <f t="shared" si="22"/>
        <v>3.6538461538461848</v>
      </c>
    </row>
    <row r="105" spans="1:10" ht="14.25" customHeight="1" x14ac:dyDescent="0.3">
      <c r="A105" s="127" t="s">
        <v>154</v>
      </c>
      <c r="B105" s="293" t="str">
        <f t="shared" si="19"/>
        <v>Butter - زبدة</v>
      </c>
      <c r="C105" s="293" t="str">
        <f t="shared" si="19"/>
        <v>gm</v>
      </c>
      <c r="D105" s="293">
        <f t="shared" si="19"/>
        <v>60</v>
      </c>
      <c r="E105" s="125">
        <f t="shared" si="23"/>
        <v>1.6239316239316377</v>
      </c>
      <c r="F105" s="126">
        <f t="shared" si="20"/>
        <v>1</v>
      </c>
      <c r="G105" s="118">
        <f t="shared" si="21"/>
        <v>97.435897435898255</v>
      </c>
      <c r="H105" s="119">
        <f t="shared" si="22"/>
        <v>97.435897435898255</v>
      </c>
    </row>
    <row r="106" spans="1:10" ht="20.25" customHeight="1" x14ac:dyDescent="0.4">
      <c r="A106" s="210"/>
      <c r="B106" s="197" t="s">
        <v>291</v>
      </c>
      <c r="C106" s="199" t="s">
        <v>277</v>
      </c>
      <c r="E106" s="199" t="s">
        <v>292</v>
      </c>
      <c r="G106" s="878" t="s">
        <v>268</v>
      </c>
      <c r="H106" s="878" t="s">
        <v>703</v>
      </c>
      <c r="I106" s="203"/>
      <c r="J106" s="202"/>
    </row>
    <row r="107" spans="1:10" ht="20" x14ac:dyDescent="0.4">
      <c r="A107" s="210"/>
      <c r="B107" s="198">
        <f>$J$54</f>
        <v>5358.3076923076806</v>
      </c>
      <c r="C107" s="198">
        <f>E107+G107</f>
        <v>1607.6923076923213</v>
      </c>
      <c r="D107" s="915"/>
      <c r="E107" s="198">
        <f>$D$54*$S$44</f>
        <v>1607.6923076923213</v>
      </c>
      <c r="F107" s="99"/>
      <c r="G107" s="201">
        <f>$D$54*$T$44</f>
        <v>0</v>
      </c>
      <c r="H107" s="916">
        <f>B107+E107</f>
        <v>6966.0000000000018</v>
      </c>
    </row>
  </sheetData>
  <mergeCells count="11">
    <mergeCell ref="AL2:AM2"/>
    <mergeCell ref="B2:J3"/>
    <mergeCell ref="AE2:AG3"/>
    <mergeCell ref="R26:U26"/>
    <mergeCell ref="B87:H87"/>
    <mergeCell ref="R25:U25"/>
    <mergeCell ref="B62:H62"/>
    <mergeCell ref="B86:H86"/>
    <mergeCell ref="K2:K3"/>
    <mergeCell ref="B63:H63"/>
    <mergeCell ref="B35:F35"/>
  </mergeCells>
  <printOptions horizontalCentered="1"/>
  <pageMargins left="0.5" right="0.5" top="1" bottom="0.5" header="0.3" footer="0.511811023622047"/>
  <pageSetup paperSize="9" scale="31" orientation="portrait" r:id="rId1"/>
  <legacyDrawing r:id="rId2"/>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tabColor rgb="FF7C7C7C"/>
    <pageSetUpPr fitToPage="1"/>
  </sheetPr>
  <dimension ref="A1:AE120"/>
  <sheetViews>
    <sheetView topLeftCell="A15" zoomScale="85" zoomScaleNormal="85" workbookViewId="0">
      <selection activeCell="T95" sqref="T95"/>
    </sheetView>
  </sheetViews>
  <sheetFormatPr defaultColWidth="12.5" defaultRowHeight="14" x14ac:dyDescent="0.3"/>
  <cols>
    <col min="1" max="1" width="12.5" style="1" customWidth="1"/>
    <col min="2" max="2" width="33.75" customWidth="1"/>
    <col min="3" max="3" width="23.9140625" customWidth="1"/>
    <col min="4" max="4" width="19" customWidth="1"/>
    <col min="5" max="5" width="16.1640625" customWidth="1"/>
    <col min="6" max="6" width="23.08203125" customWidth="1"/>
    <col min="7" max="7" width="25.1640625" customWidth="1"/>
    <col min="8" max="8" width="36.1640625" customWidth="1"/>
    <col min="12" max="12" width="8.33203125" customWidth="1"/>
    <col min="13" max="14" width="3.25" customWidth="1"/>
    <col min="18" max="18" width="30.5" customWidth="1"/>
  </cols>
  <sheetData>
    <row r="1" spans="1:31" ht="35.25" customHeight="1" x14ac:dyDescent="0.3">
      <c r="B1" s="79" t="s">
        <v>235</v>
      </c>
      <c r="C1" s="80">
        <v>1000</v>
      </c>
      <c r="D1" s="81" t="s">
        <v>236</v>
      </c>
      <c r="E1" s="116">
        <f>T32</f>
        <v>15962.692307692312</v>
      </c>
      <c r="F1" s="79" t="s">
        <v>237</v>
      </c>
      <c r="G1" s="120">
        <f>E1/C1</f>
        <v>15.962692307692311</v>
      </c>
      <c r="H1" s="79" t="s">
        <v>238</v>
      </c>
      <c r="I1" s="282">
        <f>G1/K1</f>
        <v>16.28846153846154</v>
      </c>
      <c r="J1" s="85" t="s">
        <v>239</v>
      </c>
      <c r="K1" s="326">
        <f>9.8/10</f>
        <v>0.98000000000000009</v>
      </c>
      <c r="L1" s="99"/>
      <c r="M1" s="88"/>
      <c r="N1" s="89"/>
      <c r="O1" s="90" t="s">
        <v>240</v>
      </c>
      <c r="P1" s="91" t="s">
        <v>293</v>
      </c>
      <c r="Q1" s="92" t="s">
        <v>242</v>
      </c>
      <c r="R1" s="91">
        <v>0.51</v>
      </c>
      <c r="Y1" s="90" t="s">
        <v>463</v>
      </c>
      <c r="Z1" s="835">
        <v>17150</v>
      </c>
      <c r="AA1" s="90" t="s">
        <v>578</v>
      </c>
      <c r="AB1" s="835">
        <v>0</v>
      </c>
      <c r="AC1" s="90" t="s">
        <v>567</v>
      </c>
      <c r="AD1" s="835">
        <v>113</v>
      </c>
      <c r="AE1" s="249"/>
    </row>
    <row r="2" spans="1:31" ht="12.75" customHeight="1" x14ac:dyDescent="0.3">
      <c r="A2" s="264"/>
      <c r="B2" s="1487" t="s">
        <v>107</v>
      </c>
      <c r="C2" s="1458"/>
      <c r="D2" s="1458"/>
      <c r="E2" s="1458"/>
      <c r="F2" s="1458"/>
      <c r="G2" s="1458"/>
      <c r="H2" s="1458"/>
      <c r="I2" s="1458"/>
      <c r="J2" s="1458"/>
      <c r="K2" s="1488"/>
      <c r="L2" s="292"/>
      <c r="M2" s="99"/>
      <c r="N2" s="99"/>
      <c r="O2" s="99"/>
      <c r="P2" s="99"/>
      <c r="Q2" s="99"/>
      <c r="R2" s="99"/>
      <c r="AE2" s="1457"/>
    </row>
    <row r="3" spans="1:31" ht="12.75" customHeight="1" x14ac:dyDescent="0.3">
      <c r="A3" s="264"/>
      <c r="B3" s="1444"/>
      <c r="C3" s="1444"/>
      <c r="D3" s="1444"/>
      <c r="E3" s="1444"/>
      <c r="F3" s="1444"/>
      <c r="G3" s="1444"/>
      <c r="H3" s="1444"/>
      <c r="I3" s="1444"/>
      <c r="J3" s="1444"/>
      <c r="K3" s="1489"/>
      <c r="L3" s="292"/>
      <c r="M3" s="99"/>
      <c r="N3" s="99"/>
      <c r="O3" s="99"/>
      <c r="P3" s="99"/>
      <c r="Q3" s="99"/>
      <c r="R3" s="99"/>
      <c r="AE3" s="1458"/>
    </row>
    <row r="4" spans="1:31" ht="35.25" customHeight="1" x14ac:dyDescent="0.3">
      <c r="A4" s="90" t="s">
        <v>1</v>
      </c>
      <c r="B4" s="90" t="s">
        <v>245</v>
      </c>
      <c r="C4" s="106" t="s">
        <v>246</v>
      </c>
      <c r="D4" s="90" t="s">
        <v>235</v>
      </c>
      <c r="E4" s="217" t="s">
        <v>238</v>
      </c>
      <c r="F4" s="107" t="s">
        <v>247</v>
      </c>
      <c r="G4" s="90" t="s">
        <v>248</v>
      </c>
      <c r="H4" s="106" t="s">
        <v>339</v>
      </c>
      <c r="I4" s="90" t="s">
        <v>250</v>
      </c>
      <c r="J4" s="90" t="s">
        <v>251</v>
      </c>
      <c r="K4" s="90" t="s">
        <v>252</v>
      </c>
      <c r="L4" s="90" t="s">
        <v>253</v>
      </c>
      <c r="M4" s="99"/>
      <c r="N4" s="99"/>
      <c r="O4" s="99"/>
      <c r="P4" s="99"/>
      <c r="AA4" s="250"/>
      <c r="AB4" s="252"/>
      <c r="AE4" s="250"/>
    </row>
    <row r="5" spans="1:31" ht="14.25" customHeight="1" x14ac:dyDescent="0.3">
      <c r="A5" s="265" t="s">
        <v>225</v>
      </c>
      <c r="B5" s="219" t="s">
        <v>227</v>
      </c>
      <c r="C5" s="114" t="s">
        <v>14</v>
      </c>
      <c r="D5" s="120">
        <f>I51/10</f>
        <v>1620.7254901960785</v>
      </c>
      <c r="E5" s="116">
        <f>H52</f>
        <v>15.96030305032567</v>
      </c>
      <c r="F5" s="126">
        <v>1</v>
      </c>
      <c r="G5" s="120">
        <f t="shared" ref="G5:G17" si="0">D5*E5</f>
        <v>25867.269984917039</v>
      </c>
      <c r="H5" s="119">
        <f t="shared" ref="H5:H17" si="1">G5*F5</f>
        <v>25867.269984917039</v>
      </c>
      <c r="I5" s="80">
        <f>VLOOKUP(B5,All_Ingredients!$A$1:$F$149,6,FALSE())</f>
        <v>0.55000000000000004</v>
      </c>
      <c r="J5" s="118">
        <f>VLOOKUP(B5,All_Ingredients!$A$1:$J$149,10,FALSE())</f>
        <v>14.361111111111111</v>
      </c>
      <c r="K5" s="121">
        <f t="shared" ref="K5" si="2">(H5/I5)/1000</f>
        <v>47.03139997257643</v>
      </c>
      <c r="L5" s="121">
        <f t="shared" ref="L5" si="3">K5*J5</f>
        <v>675.42316071727817</v>
      </c>
      <c r="M5" s="99"/>
      <c r="N5" s="99"/>
      <c r="O5" s="99"/>
      <c r="P5" s="99"/>
      <c r="AA5" s="91"/>
      <c r="AB5" s="132"/>
      <c r="AE5" s="135"/>
    </row>
    <row r="6" spans="1:31" ht="14.25" customHeight="1" x14ac:dyDescent="0.3">
      <c r="A6" s="269" t="s">
        <v>13</v>
      </c>
      <c r="B6" s="22" t="s">
        <v>12</v>
      </c>
      <c r="C6" s="123" t="s">
        <v>14</v>
      </c>
      <c r="D6" s="124">
        <v>300</v>
      </c>
      <c r="E6" s="222">
        <f t="shared" ref="E6:E17" si="4">$I$1</f>
        <v>16.28846153846154</v>
      </c>
      <c r="F6" s="126">
        <v>1</v>
      </c>
      <c r="G6" s="120">
        <f t="shared" si="0"/>
        <v>4886.5384615384619</v>
      </c>
      <c r="H6" s="119">
        <f t="shared" si="1"/>
        <v>4886.5384615384619</v>
      </c>
      <c r="I6" s="80">
        <f>VLOOKUP(B6,All_Ingredients!$A$1:$F$149,6,FALSE())</f>
        <v>0.9</v>
      </c>
      <c r="J6" s="118">
        <f>VLOOKUP(B6,All_Ingredients!$A$1:$J$149,10,FALSE())</f>
        <v>3</v>
      </c>
      <c r="K6" s="121">
        <f t="shared" ref="K6:K17" si="5">(H6/I6)/1000</f>
        <v>5.4294871794871797</v>
      </c>
      <c r="L6" s="121">
        <f t="shared" ref="L6:L17" si="6">K6*J6</f>
        <v>16.28846153846154</v>
      </c>
    </row>
    <row r="7" spans="1:31" ht="14.25" customHeight="1" x14ac:dyDescent="0.3">
      <c r="A7" s="269" t="s">
        <v>13</v>
      </c>
      <c r="B7" s="22" t="s">
        <v>762</v>
      </c>
      <c r="C7" s="123" t="s">
        <v>14</v>
      </c>
      <c r="D7" s="124">
        <v>25</v>
      </c>
      <c r="E7" s="222">
        <f t="shared" si="4"/>
        <v>16.28846153846154</v>
      </c>
      <c r="F7" s="126">
        <v>1</v>
      </c>
      <c r="G7" s="120">
        <f t="shared" si="0"/>
        <v>407.21153846153851</v>
      </c>
      <c r="H7" s="119">
        <f t="shared" si="1"/>
        <v>407.21153846153851</v>
      </c>
      <c r="I7" s="80">
        <f>VLOOKUP(B7,All_Ingredients!$A$1:$F$149,6,FALSE())</f>
        <v>1</v>
      </c>
      <c r="J7" s="118">
        <f>VLOOKUP(B7,All_Ingredients!$A$1:$J$149,10,FALSE())</f>
        <v>10.5</v>
      </c>
      <c r="K7" s="121">
        <f t="shared" si="5"/>
        <v>0.40721153846153851</v>
      </c>
      <c r="L7" s="121">
        <f t="shared" si="6"/>
        <v>4.2757211538461544</v>
      </c>
    </row>
    <row r="8" spans="1:31" ht="14.25" customHeight="1" x14ac:dyDescent="0.3">
      <c r="A8" s="269" t="s">
        <v>13</v>
      </c>
      <c r="B8" s="22" t="s">
        <v>17</v>
      </c>
      <c r="C8" s="123" t="s">
        <v>14</v>
      </c>
      <c r="D8" s="124">
        <v>400</v>
      </c>
      <c r="E8" s="222">
        <f t="shared" si="4"/>
        <v>16.28846153846154</v>
      </c>
      <c r="F8" s="126">
        <v>1</v>
      </c>
      <c r="G8" s="120">
        <f t="shared" si="0"/>
        <v>6515.3846153846162</v>
      </c>
      <c r="H8" s="119">
        <f t="shared" si="1"/>
        <v>6515.3846153846162</v>
      </c>
      <c r="I8" s="80">
        <f>VLOOKUP(B8,All_Ingredients!$A$1:$F$149,6,FALSE())</f>
        <v>0.98</v>
      </c>
      <c r="J8" s="118">
        <f>VLOOKUP(B8,All_Ingredients!$A$1:$J$149,10,FALSE())</f>
        <v>3.5</v>
      </c>
      <c r="K8" s="121">
        <f t="shared" si="5"/>
        <v>6.6483516483516496</v>
      </c>
      <c r="L8" s="121">
        <f t="shared" si="6"/>
        <v>23.269230769230774</v>
      </c>
    </row>
    <row r="9" spans="1:31" ht="14.25" customHeight="1" x14ac:dyDescent="0.3">
      <c r="A9" s="269" t="s">
        <v>192</v>
      </c>
      <c r="B9" s="22" t="s">
        <v>731</v>
      </c>
      <c r="C9" s="123" t="s">
        <v>14</v>
      </c>
      <c r="D9" s="124">
        <v>250</v>
      </c>
      <c r="E9" s="222">
        <f t="shared" si="4"/>
        <v>16.28846153846154</v>
      </c>
      <c r="F9" s="126">
        <v>1</v>
      </c>
      <c r="G9" s="120">
        <f t="shared" si="0"/>
        <v>4072.1153846153852</v>
      </c>
      <c r="H9" s="119">
        <f t="shared" si="1"/>
        <v>4072.1153846153852</v>
      </c>
      <c r="I9" s="80">
        <f>VLOOKUP(B9,All_Ingredients!$A$1:$F$149,6,FALSE())</f>
        <v>1</v>
      </c>
      <c r="J9" s="118">
        <f>VLOOKUP(B9,All_Ingredients!$A$1:$J$149,10,FALSE())</f>
        <v>8.1520833333333336</v>
      </c>
      <c r="K9" s="121">
        <f t="shared" si="5"/>
        <v>4.072115384615385</v>
      </c>
      <c r="L9" s="121">
        <f t="shared" si="6"/>
        <v>33.196223958333334</v>
      </c>
    </row>
    <row r="10" spans="1:31" ht="14.25" customHeight="1" x14ac:dyDescent="0.3">
      <c r="A10" s="269" t="s">
        <v>95</v>
      </c>
      <c r="B10" s="22" t="s">
        <v>100</v>
      </c>
      <c r="C10" s="123" t="s">
        <v>14</v>
      </c>
      <c r="D10" s="124">
        <v>6</v>
      </c>
      <c r="E10" s="222">
        <f t="shared" si="4"/>
        <v>16.28846153846154</v>
      </c>
      <c r="F10" s="126">
        <v>0.75</v>
      </c>
      <c r="G10" s="120">
        <f t="shared" si="0"/>
        <v>97.730769230769241</v>
      </c>
      <c r="H10" s="119">
        <f t="shared" si="1"/>
        <v>73.298076923076934</v>
      </c>
      <c r="I10" s="80">
        <f>VLOOKUP(B10,All_Ingredients!$A$1:$F$149,6,FALSE())</f>
        <v>1</v>
      </c>
      <c r="J10" s="118">
        <f>VLOOKUP(B10,All_Ingredients!$A$1:$J$149,10,FALSE())</f>
        <v>31</v>
      </c>
      <c r="K10" s="121">
        <f t="shared" si="5"/>
        <v>7.3298076923076938E-2</v>
      </c>
      <c r="L10" s="121">
        <f t="shared" si="6"/>
        <v>2.2722403846153849</v>
      </c>
    </row>
    <row r="11" spans="1:31" ht="14.25" customHeight="1" x14ac:dyDescent="0.3">
      <c r="A11" s="269" t="s">
        <v>95</v>
      </c>
      <c r="B11" s="22" t="s">
        <v>106</v>
      </c>
      <c r="C11" s="123" t="s">
        <v>14</v>
      </c>
      <c r="D11" s="124">
        <v>10</v>
      </c>
      <c r="E11" s="222">
        <f t="shared" si="4"/>
        <v>16.28846153846154</v>
      </c>
      <c r="F11" s="126">
        <v>0.75</v>
      </c>
      <c r="G11" s="120">
        <f t="shared" si="0"/>
        <v>162.88461538461542</v>
      </c>
      <c r="H11" s="119">
        <f t="shared" si="1"/>
        <v>122.16346153846156</v>
      </c>
      <c r="I11" s="80">
        <f>VLOOKUP(B11,All_Ingredients!$A$1:$F$149,6,FALSE())</f>
        <v>1</v>
      </c>
      <c r="J11" s="118">
        <f>VLOOKUP(B11,All_Ingredients!$A$1:$J$149,10,FALSE())</f>
        <v>15</v>
      </c>
      <c r="K11" s="121">
        <f t="shared" si="5"/>
        <v>0.12216346153846157</v>
      </c>
      <c r="L11" s="121">
        <f t="shared" si="6"/>
        <v>1.8324519230769236</v>
      </c>
    </row>
    <row r="12" spans="1:31" ht="14.25" customHeight="1" x14ac:dyDescent="0.3">
      <c r="A12" s="269" t="s">
        <v>95</v>
      </c>
      <c r="B12" s="22" t="s">
        <v>108</v>
      </c>
      <c r="C12" s="123" t="s">
        <v>14</v>
      </c>
      <c r="D12" s="124">
        <v>15</v>
      </c>
      <c r="E12" s="222">
        <f t="shared" si="4"/>
        <v>16.28846153846154</v>
      </c>
      <c r="F12" s="126">
        <v>0.75</v>
      </c>
      <c r="G12" s="120">
        <f t="shared" si="0"/>
        <v>244.32692307692309</v>
      </c>
      <c r="H12" s="119">
        <f t="shared" si="1"/>
        <v>183.24519230769232</v>
      </c>
      <c r="I12" s="80">
        <f>VLOOKUP(B12,All_Ingredients!$A$1:$F$149,6,FALSE())</f>
        <v>1</v>
      </c>
      <c r="J12" s="118">
        <f>VLOOKUP(B12,All_Ingredients!$A$1:$J$149,10,FALSE())</f>
        <v>8</v>
      </c>
      <c r="K12" s="121">
        <f t="shared" si="5"/>
        <v>0.18324519230769232</v>
      </c>
      <c r="L12" s="121">
        <f t="shared" si="6"/>
        <v>1.4659615384615385</v>
      </c>
    </row>
    <row r="13" spans="1:31" ht="14.25" customHeight="1" x14ac:dyDescent="0.3">
      <c r="A13" s="269" t="s">
        <v>95</v>
      </c>
      <c r="B13" s="22" t="s">
        <v>123</v>
      </c>
      <c r="C13" s="123" t="s">
        <v>14</v>
      </c>
      <c r="D13" s="124">
        <v>10</v>
      </c>
      <c r="E13" s="222">
        <f t="shared" si="4"/>
        <v>16.28846153846154</v>
      </c>
      <c r="F13" s="126">
        <v>0.75</v>
      </c>
      <c r="G13" s="120">
        <f t="shared" si="0"/>
        <v>162.88461538461542</v>
      </c>
      <c r="H13" s="119">
        <f t="shared" si="1"/>
        <v>122.16346153846156</v>
      </c>
      <c r="I13" s="80">
        <f>VLOOKUP(B13,All_Ingredients!$A$1:$F$149,6,FALSE())</f>
        <v>1</v>
      </c>
      <c r="J13" s="118">
        <f>VLOOKUP(B13,All_Ingredients!$A$1:$J$149,10,FALSE())</f>
        <v>14</v>
      </c>
      <c r="K13" s="121">
        <f t="shared" si="5"/>
        <v>0.12216346153846157</v>
      </c>
      <c r="L13" s="121">
        <f t="shared" si="6"/>
        <v>1.7102884615384619</v>
      </c>
    </row>
    <row r="14" spans="1:31" ht="14.25" customHeight="1" x14ac:dyDescent="0.3">
      <c r="A14" s="269" t="s">
        <v>95</v>
      </c>
      <c r="B14" s="22" t="s">
        <v>140</v>
      </c>
      <c r="C14" s="123" t="s">
        <v>14</v>
      </c>
      <c r="D14" s="124">
        <v>6</v>
      </c>
      <c r="E14" s="222">
        <f t="shared" si="4"/>
        <v>16.28846153846154</v>
      </c>
      <c r="F14" s="126">
        <v>1</v>
      </c>
      <c r="G14" s="120">
        <f t="shared" si="0"/>
        <v>97.730769230769241</v>
      </c>
      <c r="H14" s="119">
        <f t="shared" si="1"/>
        <v>97.730769230769241</v>
      </c>
      <c r="I14" s="80">
        <f>VLOOKUP(B14,All_Ingredients!$A$1:$F$149,6,FALSE())</f>
        <v>1</v>
      </c>
      <c r="J14" s="118">
        <f>VLOOKUP(B14,All_Ingredients!$A$1:$J$149,10,FALSE())</f>
        <v>15.277777777777779</v>
      </c>
      <c r="K14" s="121">
        <f t="shared" si="5"/>
        <v>9.7730769230769246E-2</v>
      </c>
      <c r="L14" s="121">
        <f t="shared" si="6"/>
        <v>1.4931089743589747</v>
      </c>
    </row>
    <row r="15" spans="1:31" ht="14.25" customHeight="1" x14ac:dyDescent="0.3">
      <c r="A15" s="269" t="s">
        <v>95</v>
      </c>
      <c r="B15" s="22" t="s">
        <v>94</v>
      </c>
      <c r="C15" s="123" t="s">
        <v>14</v>
      </c>
      <c r="D15" s="124">
        <v>5</v>
      </c>
      <c r="E15" s="222">
        <f t="shared" si="4"/>
        <v>16.28846153846154</v>
      </c>
      <c r="F15" s="126">
        <v>1</v>
      </c>
      <c r="G15" s="120">
        <f t="shared" si="0"/>
        <v>81.442307692307708</v>
      </c>
      <c r="H15" s="119">
        <f t="shared" si="1"/>
        <v>81.442307692307708</v>
      </c>
      <c r="I15" s="80">
        <f>VLOOKUP(B15,All_Ingredients!$A$1:$F$149,6,FALSE())</f>
        <v>1</v>
      </c>
      <c r="J15" s="118">
        <f>VLOOKUP(B15,All_Ingredients!$A$1:$J$149,10,FALSE())</f>
        <v>0.74</v>
      </c>
      <c r="K15" s="121">
        <f t="shared" si="5"/>
        <v>8.1442307692307703E-2</v>
      </c>
      <c r="L15" s="121">
        <f t="shared" si="6"/>
        <v>6.0267307692307696E-2</v>
      </c>
    </row>
    <row r="16" spans="1:31" ht="14.25" customHeight="1" x14ac:dyDescent="0.3">
      <c r="A16" s="269" t="s">
        <v>154</v>
      </c>
      <c r="B16" s="221" t="s">
        <v>153</v>
      </c>
      <c r="C16" s="123" t="s">
        <v>14</v>
      </c>
      <c r="D16" s="124">
        <v>40</v>
      </c>
      <c r="E16" s="222">
        <f t="shared" si="4"/>
        <v>16.28846153846154</v>
      </c>
      <c r="F16" s="126">
        <v>1</v>
      </c>
      <c r="G16" s="120">
        <f t="shared" si="0"/>
        <v>651.53846153846166</v>
      </c>
      <c r="H16" s="119">
        <f t="shared" si="1"/>
        <v>651.53846153846166</v>
      </c>
      <c r="I16" s="80">
        <f>VLOOKUP(B16,All_Ingredients!$A$1:$F$149,6,FALSE())</f>
        <v>1</v>
      </c>
      <c r="J16" s="118">
        <f>VLOOKUP(B16,All_Ingredients!$A$1:$J$149,10,FALSE())</f>
        <v>30</v>
      </c>
      <c r="K16" s="121">
        <f t="shared" si="5"/>
        <v>0.65153846153846162</v>
      </c>
      <c r="L16" s="121">
        <f t="shared" si="6"/>
        <v>19.54615384615385</v>
      </c>
    </row>
    <row r="17" spans="1:31" ht="14.25" customHeight="1" x14ac:dyDescent="0.3">
      <c r="A17" s="269" t="s">
        <v>223</v>
      </c>
      <c r="B17" s="221" t="s">
        <v>222</v>
      </c>
      <c r="C17" s="123" t="s">
        <v>14</v>
      </c>
      <c r="D17" s="124">
        <v>400</v>
      </c>
      <c r="E17" s="222">
        <f t="shared" si="4"/>
        <v>16.28846153846154</v>
      </c>
      <c r="F17" s="126">
        <v>1</v>
      </c>
      <c r="G17" s="120">
        <f t="shared" si="0"/>
        <v>6515.3846153846162</v>
      </c>
      <c r="H17" s="119">
        <f t="shared" si="1"/>
        <v>6515.3846153846162</v>
      </c>
      <c r="I17" s="80">
        <f>VLOOKUP(B17,All_Ingredients!$A$1:$F$149,6,FALSE())</f>
        <v>1</v>
      </c>
      <c r="J17" s="118">
        <f>VLOOKUP(B17,All_Ingredients!$A$1:$J$149,10,FALSE())</f>
        <v>7.1875</v>
      </c>
      <c r="K17" s="121">
        <f t="shared" si="5"/>
        <v>6.5153846153846162</v>
      </c>
      <c r="L17" s="121">
        <f t="shared" si="6"/>
        <v>46.829326923076927</v>
      </c>
    </row>
    <row r="18" spans="1:31" ht="14.25" customHeight="1" x14ac:dyDescent="0.3">
      <c r="B18" s="99"/>
      <c r="E18" s="99"/>
      <c r="F18" s="99"/>
      <c r="L18" s="208"/>
    </row>
    <row r="19" spans="1:31" ht="14.25" customHeight="1" x14ac:dyDescent="0.3">
      <c r="L19" s="208"/>
      <c r="S19" t="s">
        <v>424</v>
      </c>
    </row>
    <row r="20" spans="1:31" ht="14.25" customHeight="1" x14ac:dyDescent="0.3">
      <c r="L20" s="208"/>
      <c r="R20" s="5"/>
    </row>
    <row r="21" spans="1:31" ht="14.25" customHeight="1" x14ac:dyDescent="0.3">
      <c r="L21" s="208"/>
    </row>
    <row r="22" spans="1:31" ht="14.25" customHeight="1" x14ac:dyDescent="0.3">
      <c r="L22" s="208"/>
    </row>
    <row r="23" spans="1:31" ht="14.25" customHeight="1" x14ac:dyDescent="0.3">
      <c r="L23" s="208"/>
    </row>
    <row r="24" spans="1:31" ht="14.25" customHeight="1" x14ac:dyDescent="0.3">
      <c r="L24" s="208"/>
      <c r="Z24" s="1265"/>
    </row>
    <row r="25" spans="1:31" ht="14.25" customHeight="1" x14ac:dyDescent="0.3">
      <c r="B25" s="99"/>
      <c r="E25" s="99"/>
      <c r="F25" s="99"/>
      <c r="L25" s="208"/>
      <c r="R25" s="1526" t="s">
        <v>425</v>
      </c>
      <c r="S25" s="1444"/>
      <c r="T25" s="1444"/>
      <c r="U25" s="1444"/>
      <c r="Z25" s="140" t="s">
        <v>256</v>
      </c>
      <c r="AA25" s="141">
        <v>1</v>
      </c>
      <c r="AB25" s="140" t="s">
        <v>253</v>
      </c>
      <c r="AC25" s="142">
        <f>(AA25*(17/10))*AE30</f>
        <v>4.8312534972915551E-2</v>
      </c>
      <c r="AD25" s="14"/>
    </row>
    <row r="26" spans="1:31" ht="14.75" customHeight="1" x14ac:dyDescent="0.3">
      <c r="B26" s="99"/>
      <c r="E26" s="99"/>
      <c r="F26" s="99"/>
      <c r="L26" s="208"/>
      <c r="R26" s="1525" t="s">
        <v>426</v>
      </c>
      <c r="S26" s="1446"/>
      <c r="T26" s="1446"/>
      <c r="U26" s="1446"/>
      <c r="Z26" s="14"/>
      <c r="AA26" s="14"/>
      <c r="AB26" s="14"/>
      <c r="AC26" s="14"/>
      <c r="AD26" s="14"/>
    </row>
    <row r="27" spans="1:31" ht="21" customHeight="1" thickBot="1" x14ac:dyDescent="0.35">
      <c r="R27" s="144" t="s">
        <v>258</v>
      </c>
      <c r="S27" s="145" t="s">
        <v>296</v>
      </c>
      <c r="T27" s="145" t="s">
        <v>260</v>
      </c>
      <c r="U27" s="145" t="s">
        <v>261</v>
      </c>
      <c r="V27" s="145" t="s">
        <v>817</v>
      </c>
      <c r="Z27" s="140" t="s">
        <v>262</v>
      </c>
      <c r="AA27" s="146" t="s">
        <v>263</v>
      </c>
      <c r="AB27" s="146" t="s">
        <v>264</v>
      </c>
      <c r="AC27" s="146" t="s">
        <v>265</v>
      </c>
      <c r="AD27" s="1167" t="s">
        <v>817</v>
      </c>
      <c r="AE27" s="146" t="s">
        <v>266</v>
      </c>
    </row>
    <row r="28" spans="1:31" ht="14.25" customHeight="1" thickBot="1" x14ac:dyDescent="0.35">
      <c r="R28" s="147" t="s">
        <v>267</v>
      </c>
      <c r="S28" s="754">
        <f>U28*S40</f>
        <v>13192.30769230769</v>
      </c>
      <c r="T28" s="754">
        <f>U28*U40</f>
        <v>3957.6923076923117</v>
      </c>
      <c r="U28" s="760">
        <f>$Z$1</f>
        <v>17150</v>
      </c>
      <c r="V28" s="148">
        <f>SUM(F37:F38)</f>
        <v>120.91</v>
      </c>
      <c r="Z28" s="150"/>
      <c r="AA28" s="151">
        <f>AA25*$S$40</f>
        <v>0.76923076923076905</v>
      </c>
      <c r="AB28" s="151">
        <f>AA25*$U$40</f>
        <v>0.230769230769231</v>
      </c>
      <c r="AC28" s="152">
        <f>AA25*0.7</f>
        <v>0.7</v>
      </c>
      <c r="AD28" s="1169"/>
      <c r="AE28" s="153">
        <f>SUM(AA28:AC28)</f>
        <v>1.7</v>
      </c>
    </row>
    <row r="29" spans="1:31" ht="14.25" customHeight="1" thickBot="1" x14ac:dyDescent="0.35">
      <c r="R29" s="147" t="s">
        <v>268</v>
      </c>
      <c r="S29" s="154"/>
      <c r="T29" s="148">
        <f>U28*0.7</f>
        <v>12005</v>
      </c>
      <c r="U29" s="148"/>
      <c r="V29" s="148"/>
      <c r="Z29" s="150"/>
      <c r="AA29" s="155">
        <f>AA28/$AE$28</f>
        <v>0.45248868778280532</v>
      </c>
      <c r="AB29" s="155">
        <f>AB28/$AE$28</f>
        <v>0.13574660633484176</v>
      </c>
      <c r="AC29" s="155">
        <f>AC28/$AE$28</f>
        <v>0.41176470588235292</v>
      </c>
      <c r="AD29" s="1173"/>
      <c r="AE29" s="155">
        <f>AE28/$AE$28</f>
        <v>1</v>
      </c>
    </row>
    <row r="30" spans="1:31" ht="14.25" customHeight="1" thickBot="1" x14ac:dyDescent="0.35">
      <c r="R30" s="147" t="s">
        <v>269</v>
      </c>
      <c r="S30" s="1343">
        <f>U30*S40</f>
        <v>0</v>
      </c>
      <c r="T30" s="1343">
        <f>(U30*U40)+(U30*0.7)</f>
        <v>0</v>
      </c>
      <c r="U30" s="1329">
        <f>$AB$1</f>
        <v>0</v>
      </c>
      <c r="V30" s="1124"/>
      <c r="Z30" s="140" t="s">
        <v>270</v>
      </c>
      <c r="AA30" s="156">
        <f>S35/(S32)</f>
        <v>5.1198257080610016E-2</v>
      </c>
      <c r="AB30" s="157">
        <f>T35/T32</f>
        <v>9.5372029883381924E-3</v>
      </c>
      <c r="AC30" s="157">
        <f>T35/T32</f>
        <v>9.5372029883381924E-3</v>
      </c>
      <c r="AD30" s="1180">
        <f>V35/U32</f>
        <v>3.0779533163343835E-5</v>
      </c>
      <c r="AE30" s="1182">
        <f>SUMPRODUCT(AA30:AC30,AA29:AC29)+AD30</f>
        <v>2.8419138219362088E-2</v>
      </c>
    </row>
    <row r="31" spans="1:31" ht="14.25" customHeight="1" thickBot="1" x14ac:dyDescent="0.35">
      <c r="B31" s="99"/>
      <c r="E31" s="99"/>
      <c r="F31" s="99"/>
      <c r="R31" s="147" t="s">
        <v>271</v>
      </c>
      <c r="S31" s="154"/>
      <c r="T31" s="148"/>
      <c r="U31" s="148"/>
      <c r="V31" s="148"/>
    </row>
    <row r="32" spans="1:31" ht="14.25" customHeight="1" thickBot="1" x14ac:dyDescent="0.35">
      <c r="B32" s="99"/>
      <c r="E32" s="99"/>
      <c r="F32" s="99"/>
      <c r="R32" s="159" t="s">
        <v>261</v>
      </c>
      <c r="S32" s="148">
        <f>SUM(S28:S30)</f>
        <v>13192.30769230769</v>
      </c>
      <c r="T32" s="148">
        <f>SUM(T28:T30)</f>
        <v>15962.692307692312</v>
      </c>
      <c r="U32" s="148">
        <f>SUM(S32:T32)</f>
        <v>29155</v>
      </c>
      <c r="V32" s="148">
        <f>SUM(V28:V30)</f>
        <v>120.91</v>
      </c>
    </row>
    <row r="33" spans="2:23" ht="14.25" customHeight="1" thickBot="1" x14ac:dyDescent="0.35">
      <c r="B33" s="99"/>
      <c r="E33" s="99"/>
      <c r="F33" s="99"/>
      <c r="R33" s="160" t="s">
        <v>272</v>
      </c>
      <c r="S33" s="154"/>
      <c r="T33" s="154"/>
      <c r="U33" s="154"/>
      <c r="V33" s="154"/>
    </row>
    <row r="34" spans="2:23" ht="14.25" customHeight="1" thickBot="1" x14ac:dyDescent="0.35">
      <c r="B34" s="99"/>
      <c r="E34" s="99"/>
      <c r="F34" s="99"/>
      <c r="R34" s="161" t="s">
        <v>273</v>
      </c>
      <c r="S34" s="154"/>
      <c r="T34" s="148"/>
      <c r="U34" s="154"/>
      <c r="V34" s="154"/>
    </row>
    <row r="35" spans="2:23" ht="14.25" customHeight="1" thickBot="1" x14ac:dyDescent="0.35">
      <c r="B35" s="1484" t="s">
        <v>690</v>
      </c>
      <c r="C35" s="1484"/>
      <c r="D35" s="1484"/>
      <c r="E35" s="1484"/>
      <c r="F35" s="1484"/>
      <c r="G35" s="871"/>
      <c r="H35" s="872"/>
      <c r="I35" s="877"/>
      <c r="J35" s="877"/>
      <c r="K35" s="877"/>
      <c r="L35" s="877"/>
      <c r="R35" s="162" t="s">
        <v>253</v>
      </c>
      <c r="S35" s="1125">
        <f>$L$5</f>
        <v>675.42316071727817</v>
      </c>
      <c r="T35" s="1125">
        <f>SUM(L6:L17)</f>
        <v>152.2394367788462</v>
      </c>
      <c r="U35" s="1184">
        <f>S35+T35+V35</f>
        <v>828.55997478550171</v>
      </c>
      <c r="V35" s="1184">
        <f>SUM(L37:L38)</f>
        <v>0.89737728937728956</v>
      </c>
    </row>
    <row r="36" spans="2:23" ht="46.5" x14ac:dyDescent="0.3">
      <c r="B36" s="848" t="s">
        <v>245</v>
      </c>
      <c r="C36" s="848" t="s">
        <v>321</v>
      </c>
      <c r="D36" s="850" t="s">
        <v>645</v>
      </c>
      <c r="E36" s="847" t="s">
        <v>646</v>
      </c>
      <c r="F36" s="850" t="s">
        <v>647</v>
      </c>
      <c r="G36" s="873"/>
      <c r="H36" s="850" t="s">
        <v>647</v>
      </c>
      <c r="I36" s="850" t="s">
        <v>250</v>
      </c>
      <c r="J36" s="850" t="s">
        <v>251</v>
      </c>
      <c r="K36" s="850" t="s">
        <v>252</v>
      </c>
      <c r="L36" s="850" t="s">
        <v>253</v>
      </c>
    </row>
    <row r="37" spans="2:23" x14ac:dyDescent="0.3">
      <c r="B37" s="843" t="s">
        <v>716</v>
      </c>
      <c r="C37" s="844" t="s">
        <v>14</v>
      </c>
      <c r="D37" s="845">
        <v>7.0000000000000007E-2</v>
      </c>
      <c r="E37" s="843">
        <f>$AD$1</f>
        <v>113</v>
      </c>
      <c r="F37" s="843">
        <f>D37*E37</f>
        <v>7.910000000000001</v>
      </c>
      <c r="G37" s="867"/>
      <c r="H37" s="843">
        <f>F37</f>
        <v>7.910000000000001</v>
      </c>
      <c r="I37" s="843">
        <f>VLOOKUP(B37,All_Ingredients!$A$1:$F$149,6,FALSE())</f>
        <v>0.65</v>
      </c>
      <c r="J37" s="843">
        <f>VLOOKUP(B37,All_Ingredients!$A$1:$J$149,10,FALSE())</f>
        <v>45</v>
      </c>
      <c r="K37" s="843">
        <f>(H37/I37)/1000</f>
        <v>1.2169230769230771E-2</v>
      </c>
      <c r="L37" s="843">
        <f>K37*J37</f>
        <v>0.54761538461538473</v>
      </c>
    </row>
    <row r="38" spans="2:23" x14ac:dyDescent="0.3">
      <c r="B38" s="843" t="s">
        <v>19</v>
      </c>
      <c r="C38" s="844" t="s">
        <v>14</v>
      </c>
      <c r="D38" s="845">
        <v>1</v>
      </c>
      <c r="E38" s="843">
        <f>$AD$1</f>
        <v>113</v>
      </c>
      <c r="F38" s="843">
        <f>D38*E38</f>
        <v>113</v>
      </c>
      <c r="H38" s="843">
        <f>F38</f>
        <v>113</v>
      </c>
      <c r="I38" s="843">
        <f>VLOOKUP(B38,All_Ingredients!$A$1:$F$149,6,FALSE())</f>
        <v>0.84</v>
      </c>
      <c r="J38" s="843">
        <f>VLOOKUP(B38,All_Ingredients!$A$1:$J$149,10,FALSE())</f>
        <v>2.6</v>
      </c>
      <c r="K38" s="843">
        <f>(H38/I38)/1000</f>
        <v>0.13452380952380952</v>
      </c>
      <c r="L38" s="843">
        <f>K38*J38</f>
        <v>0.34976190476190477</v>
      </c>
    </row>
    <row r="40" spans="2:23" ht="20.25" customHeight="1" x14ac:dyDescent="0.3">
      <c r="Q40" s="14"/>
      <c r="R40" s="164" t="s">
        <v>274</v>
      </c>
      <c r="S40" s="502">
        <v>0.76923076923076905</v>
      </c>
      <c r="T40" s="164" t="s">
        <v>275</v>
      </c>
      <c r="U40" s="503">
        <v>0.230769230769231</v>
      </c>
      <c r="V40" s="167">
        <f>S40+U40</f>
        <v>1</v>
      </c>
      <c r="W40" s="14"/>
    </row>
    <row r="41" spans="2:23" ht="14.25" customHeight="1" x14ac:dyDescent="0.3">
      <c r="Q41" s="14"/>
      <c r="R41" s="14"/>
      <c r="S41" s="14"/>
      <c r="T41" s="14"/>
      <c r="U41" s="168"/>
      <c r="V41" s="14"/>
      <c r="W41" s="14"/>
    </row>
    <row r="42" spans="2:23" ht="14.25" customHeight="1" x14ac:dyDescent="0.3">
      <c r="Q42" s="14"/>
      <c r="R42" s="14"/>
      <c r="S42" s="14"/>
      <c r="T42" s="14"/>
      <c r="U42" s="14"/>
      <c r="V42" s="14"/>
      <c r="W42" s="14"/>
    </row>
    <row r="43" spans="2:23" ht="14.25" customHeight="1" x14ac:dyDescent="0.3">
      <c r="Q43" s="169" t="s">
        <v>276</v>
      </c>
      <c r="R43" s="169" t="s">
        <v>277</v>
      </c>
      <c r="S43" s="169" t="s">
        <v>278</v>
      </c>
      <c r="T43" s="169" t="s">
        <v>279</v>
      </c>
      <c r="U43" s="169" t="s">
        <v>280</v>
      </c>
      <c r="V43" s="169" t="s">
        <v>281</v>
      </c>
      <c r="W43" s="257" t="s">
        <v>282</v>
      </c>
    </row>
    <row r="44" spans="2:23" ht="14.25" customHeight="1" x14ac:dyDescent="0.3">
      <c r="Q44" s="171">
        <v>10745</v>
      </c>
      <c r="R44" s="172">
        <f>D51</f>
        <v>10000</v>
      </c>
      <c r="S44" s="173">
        <v>0.24793000000000001</v>
      </c>
      <c r="T44" s="173">
        <v>0.75207000000000002</v>
      </c>
      <c r="U44" s="241">
        <f>R44*S44</f>
        <v>2479.3000000000002</v>
      </c>
      <c r="V44" s="175">
        <f>R44*T44</f>
        <v>7520.7</v>
      </c>
      <c r="W44" s="259">
        <f>Q44-U44</f>
        <v>8265.7000000000007</v>
      </c>
    </row>
    <row r="50" spans="1:10" x14ac:dyDescent="0.3">
      <c r="B50" s="275"/>
      <c r="C50" s="144" t="s">
        <v>237</v>
      </c>
      <c r="D50" s="144" t="s">
        <v>283</v>
      </c>
      <c r="E50" s="99"/>
      <c r="F50" s="99"/>
      <c r="G50" s="144" t="s">
        <v>284</v>
      </c>
      <c r="H50" s="144" t="s">
        <v>237</v>
      </c>
      <c r="I50" s="144" t="s">
        <v>285</v>
      </c>
      <c r="J50" s="144" t="s">
        <v>286</v>
      </c>
    </row>
    <row r="51" spans="1:10" x14ac:dyDescent="0.3">
      <c r="B51" s="179" t="s">
        <v>287</v>
      </c>
      <c r="C51" s="180">
        <f>10/$K$1</f>
        <v>10.204081632653061</v>
      </c>
      <c r="D51" s="181">
        <f>$C$1*10</f>
        <v>10000</v>
      </c>
      <c r="E51" s="182"/>
      <c r="F51" s="99"/>
      <c r="G51" s="179" t="s">
        <v>287</v>
      </c>
      <c r="H51" s="276">
        <f>I51/$D$5</f>
        <v>10</v>
      </c>
      <c r="I51" s="180">
        <f>J51/$R$1</f>
        <v>16207.254901960785</v>
      </c>
      <c r="J51" s="180">
        <f>$W$44</f>
        <v>8265.7000000000007</v>
      </c>
    </row>
    <row r="52" spans="1:10" x14ac:dyDescent="0.3">
      <c r="B52" s="230" t="s">
        <v>266</v>
      </c>
      <c r="C52" s="231">
        <f>$I$1</f>
        <v>16.28846153846154</v>
      </c>
      <c r="D52" s="232">
        <f>$E$1</f>
        <v>15962.692307692312</v>
      </c>
      <c r="E52" s="99"/>
      <c r="F52" s="99"/>
      <c r="G52" s="147" t="s">
        <v>266</v>
      </c>
      <c r="H52" s="209">
        <f>I52/$D$5</f>
        <v>15.96030305032567</v>
      </c>
      <c r="I52" s="175">
        <f>J52/$R$1</f>
        <v>25867.269984917039</v>
      </c>
      <c r="J52" s="183">
        <f>$S$32</f>
        <v>13192.30769230769</v>
      </c>
    </row>
    <row r="53" spans="1:10" x14ac:dyDescent="0.3">
      <c r="B53" s="230" t="s">
        <v>288</v>
      </c>
      <c r="C53" s="233">
        <f>MIN(C52, C51)</f>
        <v>10.204081632653061</v>
      </c>
      <c r="D53" s="232">
        <f>(C53*$K$1)*$C$1</f>
        <v>10000</v>
      </c>
      <c r="E53" s="99"/>
      <c r="F53" s="99"/>
      <c r="G53" s="147" t="s">
        <v>288</v>
      </c>
      <c r="H53" s="186">
        <f>MIN(H52,H51)</f>
        <v>10</v>
      </c>
      <c r="I53" s="175">
        <f>J53/$R$1</f>
        <v>16207.254901960785</v>
      </c>
      <c r="J53" s="175">
        <f>MIN(J52,J51)</f>
        <v>8265.7000000000007</v>
      </c>
    </row>
    <row r="54" spans="1:10" x14ac:dyDescent="0.3">
      <c r="B54" s="230" t="s">
        <v>289</v>
      </c>
      <c r="C54" s="233">
        <f>MIN(MAX(C52-C53,0),C51)</f>
        <v>6.0843799058084791</v>
      </c>
      <c r="D54" s="232">
        <f>(C54*$K$1)*$C$1</f>
        <v>5962.6923076923104</v>
      </c>
      <c r="E54" s="99"/>
      <c r="F54" s="99"/>
      <c r="G54" s="147" t="s">
        <v>289</v>
      </c>
      <c r="H54" s="186">
        <f>MIN(MAX(H52-H53),H51)</f>
        <v>5.9603030503256704</v>
      </c>
      <c r="I54" s="175">
        <f>J54/$R$1</f>
        <v>9660.0150829562517</v>
      </c>
      <c r="J54" s="175">
        <f>MIN(MAX(J52-J53),J51)</f>
        <v>4926.6076923076889</v>
      </c>
    </row>
    <row r="55" spans="1:10" x14ac:dyDescent="0.3">
      <c r="B55" s="230" t="s">
        <v>290</v>
      </c>
      <c r="C55" s="233">
        <f>MIN(MAX(C52-C53-C54,0),C51)</f>
        <v>0</v>
      </c>
      <c r="D55" s="232">
        <f>(C55*$K$1)*$C$1</f>
        <v>0</v>
      </c>
      <c r="E55" s="99"/>
      <c r="F55" s="99"/>
      <c r="G55" s="144" t="s">
        <v>290</v>
      </c>
      <c r="H55" s="186">
        <f>MIN(MAX(H52-H53-H54),H51)</f>
        <v>0</v>
      </c>
      <c r="I55" s="175">
        <f>J55/$R$1</f>
        <v>0</v>
      </c>
      <c r="J55" s="175">
        <f>MIN(MAX(J52-J53-J54),J51)</f>
        <v>0</v>
      </c>
    </row>
    <row r="62" spans="1:10" ht="17.75" customHeight="1" x14ac:dyDescent="0.3">
      <c r="A62" s="923"/>
      <c r="B62" s="1436" t="str">
        <f>"فاصوليا لحم 1 / " &amp; COUNTIF($C$53:$C$55, "&gt;0")</f>
        <v>فاصوليا لحم 1 / 2</v>
      </c>
      <c r="C62" s="1437"/>
      <c r="D62" s="1437"/>
      <c r="E62" s="1437"/>
      <c r="F62" s="1437"/>
      <c r="G62" s="1437"/>
      <c r="H62" s="1437"/>
    </row>
    <row r="63" spans="1:10" ht="17.75" customHeight="1" x14ac:dyDescent="0.3">
      <c r="A63" s="923"/>
      <c r="B63" s="1436" t="str">
        <f>"Lahm Fasooliya 1 / " &amp; COUNTIF($C$53:$C$55, "&gt;0")</f>
        <v>Lahm Fasooliya 1 / 2</v>
      </c>
      <c r="C63" s="1437"/>
      <c r="D63" s="1437"/>
      <c r="E63" s="1437"/>
      <c r="F63" s="1437"/>
      <c r="G63" s="1437"/>
      <c r="H63" s="1437"/>
    </row>
    <row r="64" spans="1:10" ht="25.5" customHeight="1" x14ac:dyDescent="0.3">
      <c r="A64" s="90"/>
      <c r="B64" s="242" t="s">
        <v>245</v>
      </c>
      <c r="C64" s="243" t="s">
        <v>246</v>
      </c>
      <c r="D64" s="244" t="s">
        <v>235</v>
      </c>
      <c r="E64" s="217" t="s">
        <v>238</v>
      </c>
      <c r="F64" s="217" t="s">
        <v>247</v>
      </c>
      <c r="G64" s="244" t="s">
        <v>248</v>
      </c>
      <c r="H64" s="217" t="s">
        <v>249</v>
      </c>
    </row>
    <row r="65" spans="1:8" ht="14.25" customHeight="1" x14ac:dyDescent="0.3">
      <c r="A65" s="269" t="s">
        <v>225</v>
      </c>
      <c r="B65" s="22" t="str">
        <f t="shared" ref="B65:D77" si="7">B5</f>
        <v>Indian Meat Alana  - لحم هندى ألانا</v>
      </c>
      <c r="C65" s="322" t="str">
        <f t="shared" si="7"/>
        <v>gm</v>
      </c>
      <c r="D65" s="485">
        <f t="shared" si="7"/>
        <v>1620.7254901960785</v>
      </c>
      <c r="E65" s="196">
        <f>H53</f>
        <v>10</v>
      </c>
      <c r="F65" s="126">
        <f t="shared" ref="F65:F77" si="8">F5</f>
        <v>1</v>
      </c>
      <c r="G65" s="118">
        <f t="shared" ref="G65:G77" si="9">D65*E65</f>
        <v>16207.254901960785</v>
      </c>
      <c r="H65" s="119">
        <f t="shared" ref="H65:H77" si="10">G65*F65</f>
        <v>16207.254901960785</v>
      </c>
    </row>
    <row r="66" spans="1:8" ht="14.25" customHeight="1" x14ac:dyDescent="0.3">
      <c r="A66" s="269" t="s">
        <v>13</v>
      </c>
      <c r="B66" s="22" t="str">
        <f t="shared" si="7"/>
        <v>Onion - بصل</v>
      </c>
      <c r="C66" s="322" t="str">
        <f t="shared" si="7"/>
        <v>gm</v>
      </c>
      <c r="D66" s="322">
        <f t="shared" si="7"/>
        <v>300</v>
      </c>
      <c r="E66" s="196">
        <f t="shared" ref="E66:E77" si="11">$C$53</f>
        <v>10.204081632653061</v>
      </c>
      <c r="F66" s="126">
        <f t="shared" si="8"/>
        <v>1</v>
      </c>
      <c r="G66" s="118">
        <f t="shared" si="9"/>
        <v>3061.2244897959181</v>
      </c>
      <c r="H66" s="119">
        <f t="shared" si="10"/>
        <v>3061.2244897959181</v>
      </c>
    </row>
    <row r="67" spans="1:8" ht="14.25" customHeight="1" x14ac:dyDescent="0.3">
      <c r="A67" s="269" t="s">
        <v>13</v>
      </c>
      <c r="B67" s="22" t="str">
        <f t="shared" si="7"/>
        <v>Garlic - ثوم مقشر</v>
      </c>
      <c r="C67" s="322" t="str">
        <f t="shared" si="7"/>
        <v>gm</v>
      </c>
      <c r="D67" s="322">
        <f t="shared" si="7"/>
        <v>25</v>
      </c>
      <c r="E67" s="196">
        <f t="shared" si="11"/>
        <v>10.204081632653061</v>
      </c>
      <c r="F67" s="126">
        <f t="shared" si="8"/>
        <v>1</v>
      </c>
      <c r="G67" s="118">
        <f t="shared" si="9"/>
        <v>255.10204081632654</v>
      </c>
      <c r="H67" s="119">
        <f t="shared" si="10"/>
        <v>255.10204081632654</v>
      </c>
    </row>
    <row r="68" spans="1:8" ht="14.25" customHeight="1" x14ac:dyDescent="0.3">
      <c r="A68" s="269" t="s">
        <v>13</v>
      </c>
      <c r="B68" s="22" t="str">
        <f t="shared" si="7"/>
        <v>Tomato - طماطم</v>
      </c>
      <c r="C68" s="322" t="str">
        <f t="shared" si="7"/>
        <v>gm</v>
      </c>
      <c r="D68" s="322">
        <f t="shared" si="7"/>
        <v>400</v>
      </c>
      <c r="E68" s="196">
        <f t="shared" si="11"/>
        <v>10.204081632653061</v>
      </c>
      <c r="F68" s="126">
        <f t="shared" si="8"/>
        <v>1</v>
      </c>
      <c r="G68" s="118">
        <f t="shared" si="9"/>
        <v>4081.6326530612246</v>
      </c>
      <c r="H68" s="119">
        <f t="shared" si="10"/>
        <v>4081.6326530612246</v>
      </c>
    </row>
    <row r="69" spans="1:8" ht="14.25" customHeight="1" x14ac:dyDescent="0.3">
      <c r="A69" s="269" t="s">
        <v>192</v>
      </c>
      <c r="B69" s="22" t="str">
        <f t="shared" si="7"/>
        <v>Tomato Paste - صلصة طماطم</v>
      </c>
      <c r="C69" s="322" t="str">
        <f t="shared" si="7"/>
        <v>gm</v>
      </c>
      <c r="D69" s="322">
        <f t="shared" si="7"/>
        <v>250</v>
      </c>
      <c r="E69" s="196">
        <f t="shared" si="11"/>
        <v>10.204081632653061</v>
      </c>
      <c r="F69" s="126">
        <f t="shared" si="8"/>
        <v>1</v>
      </c>
      <c r="G69" s="118">
        <f t="shared" si="9"/>
        <v>2551.0204081632651</v>
      </c>
      <c r="H69" s="119">
        <f t="shared" si="10"/>
        <v>2551.0204081632651</v>
      </c>
    </row>
    <row r="70" spans="1:8" ht="14.25" customHeight="1" x14ac:dyDescent="0.3">
      <c r="A70" s="269" t="s">
        <v>95</v>
      </c>
      <c r="B70" s="22" t="str">
        <f t="shared" si="7"/>
        <v>Black Pepper Powder - فلفل أسود مطحون</v>
      </c>
      <c r="C70" s="322" t="str">
        <f t="shared" si="7"/>
        <v>gm</v>
      </c>
      <c r="D70" s="322">
        <f t="shared" si="7"/>
        <v>6</v>
      </c>
      <c r="E70" s="196">
        <f t="shared" si="11"/>
        <v>10.204081632653061</v>
      </c>
      <c r="F70" s="126">
        <f t="shared" si="8"/>
        <v>0.75</v>
      </c>
      <c r="G70" s="118">
        <f t="shared" si="9"/>
        <v>61.224489795918366</v>
      </c>
      <c r="H70" s="119">
        <f t="shared" si="10"/>
        <v>45.918367346938773</v>
      </c>
    </row>
    <row r="71" spans="1:8" ht="14.25" customHeight="1" x14ac:dyDescent="0.3">
      <c r="A71" s="269" t="s">
        <v>95</v>
      </c>
      <c r="B71" s="22" t="str">
        <f t="shared" si="7"/>
        <v>Cumin Powder - كمون مطحون</v>
      </c>
      <c r="C71" s="322" t="str">
        <f t="shared" si="7"/>
        <v>gm</v>
      </c>
      <c r="D71" s="322">
        <f t="shared" si="7"/>
        <v>10</v>
      </c>
      <c r="E71" s="196">
        <f t="shared" si="11"/>
        <v>10.204081632653061</v>
      </c>
      <c r="F71" s="126">
        <f t="shared" si="8"/>
        <v>0.75</v>
      </c>
      <c r="G71" s="118">
        <f t="shared" si="9"/>
        <v>102.0408163265306</v>
      </c>
      <c r="H71" s="119">
        <f t="shared" si="10"/>
        <v>76.530612244897952</v>
      </c>
    </row>
    <row r="72" spans="1:8" ht="14.25" customHeight="1" x14ac:dyDescent="0.3">
      <c r="A72" s="269" t="s">
        <v>95</v>
      </c>
      <c r="B72" s="22" t="str">
        <f t="shared" si="7"/>
        <v>Coriander Powder - كزبرة مطحونة</v>
      </c>
      <c r="C72" s="322" t="str">
        <f t="shared" si="7"/>
        <v>gm</v>
      </c>
      <c r="D72" s="322">
        <f t="shared" si="7"/>
        <v>15</v>
      </c>
      <c r="E72" s="196">
        <f t="shared" si="11"/>
        <v>10.204081632653061</v>
      </c>
      <c r="F72" s="126">
        <f t="shared" si="8"/>
        <v>0.75</v>
      </c>
      <c r="G72" s="118">
        <f t="shared" si="9"/>
        <v>153.0612244897959</v>
      </c>
      <c r="H72" s="119">
        <f t="shared" si="10"/>
        <v>114.79591836734693</v>
      </c>
    </row>
    <row r="73" spans="1:8" ht="14.25" customHeight="1" x14ac:dyDescent="0.3">
      <c r="A73" s="269" t="s">
        <v>95</v>
      </c>
      <c r="B73" s="22" t="str">
        <f t="shared" si="7"/>
        <v>Cinnamon Powder - قرفة مطحونة</v>
      </c>
      <c r="C73" s="322" t="str">
        <f t="shared" si="7"/>
        <v>gm</v>
      </c>
      <c r="D73" s="322">
        <f t="shared" si="7"/>
        <v>10</v>
      </c>
      <c r="E73" s="196">
        <f t="shared" si="11"/>
        <v>10.204081632653061</v>
      </c>
      <c r="F73" s="126">
        <f t="shared" si="8"/>
        <v>0.75</v>
      </c>
      <c r="G73" s="118">
        <f t="shared" si="9"/>
        <v>102.0408163265306</v>
      </c>
      <c r="H73" s="119">
        <f t="shared" si="10"/>
        <v>76.530612244897952</v>
      </c>
    </row>
    <row r="74" spans="1:8" ht="14.25" customHeight="1" x14ac:dyDescent="0.3">
      <c r="A74" s="269" t="s">
        <v>95</v>
      </c>
      <c r="B74" s="22" t="str">
        <f t="shared" si="7"/>
        <v>Maggi Cubes - مكعبات ماجي</v>
      </c>
      <c r="C74" s="322" t="str">
        <f t="shared" si="7"/>
        <v>gm</v>
      </c>
      <c r="D74" s="322">
        <f t="shared" si="7"/>
        <v>6</v>
      </c>
      <c r="E74" s="196">
        <f t="shared" si="11"/>
        <v>10.204081632653061</v>
      </c>
      <c r="F74" s="126">
        <f t="shared" si="8"/>
        <v>1</v>
      </c>
      <c r="G74" s="118">
        <f t="shared" si="9"/>
        <v>61.224489795918366</v>
      </c>
      <c r="H74" s="119">
        <f t="shared" si="10"/>
        <v>61.224489795918366</v>
      </c>
    </row>
    <row r="75" spans="1:8" ht="14.25" customHeight="1" x14ac:dyDescent="0.3">
      <c r="A75" s="269" t="s">
        <v>95</v>
      </c>
      <c r="B75" s="22" t="str">
        <f t="shared" si="7"/>
        <v>Salt - ملح</v>
      </c>
      <c r="C75" s="322" t="str">
        <f t="shared" si="7"/>
        <v>gm</v>
      </c>
      <c r="D75" s="322">
        <f t="shared" si="7"/>
        <v>5</v>
      </c>
      <c r="E75" s="196">
        <f t="shared" si="11"/>
        <v>10.204081632653061</v>
      </c>
      <c r="F75" s="126">
        <f t="shared" si="8"/>
        <v>1</v>
      </c>
      <c r="G75" s="118">
        <f t="shared" si="9"/>
        <v>51.020408163265301</v>
      </c>
      <c r="H75" s="119">
        <f t="shared" si="10"/>
        <v>51.020408163265301</v>
      </c>
    </row>
    <row r="76" spans="1:8" ht="14.25" customHeight="1" x14ac:dyDescent="0.3">
      <c r="A76" s="269" t="s">
        <v>154</v>
      </c>
      <c r="B76" s="22" t="str">
        <f t="shared" si="7"/>
        <v>Butter - زبدة</v>
      </c>
      <c r="C76" s="322" t="str">
        <f t="shared" si="7"/>
        <v>gm</v>
      </c>
      <c r="D76" s="322">
        <f t="shared" si="7"/>
        <v>40</v>
      </c>
      <c r="E76" s="196">
        <f t="shared" si="11"/>
        <v>10.204081632653061</v>
      </c>
      <c r="F76" s="126">
        <f t="shared" si="8"/>
        <v>1</v>
      </c>
      <c r="G76" s="118">
        <f t="shared" si="9"/>
        <v>408.16326530612241</v>
      </c>
      <c r="H76" s="119">
        <f t="shared" si="10"/>
        <v>408.16326530612241</v>
      </c>
    </row>
    <row r="77" spans="1:8" ht="14.25" customHeight="1" x14ac:dyDescent="0.3">
      <c r="A77" s="269" t="s">
        <v>223</v>
      </c>
      <c r="B77" s="22" t="str">
        <f t="shared" si="7"/>
        <v>White Beans - فاصوليا بيضاء</v>
      </c>
      <c r="C77" s="322" t="str">
        <f t="shared" si="7"/>
        <v>gm</v>
      </c>
      <c r="D77" s="322">
        <f t="shared" si="7"/>
        <v>400</v>
      </c>
      <c r="E77" s="196">
        <f t="shared" si="11"/>
        <v>10.204081632653061</v>
      </c>
      <c r="F77" s="126">
        <f t="shared" si="8"/>
        <v>1</v>
      </c>
      <c r="G77" s="118">
        <f t="shared" si="9"/>
        <v>4081.6326530612246</v>
      </c>
      <c r="H77" s="119">
        <f t="shared" si="10"/>
        <v>4081.6326530612246</v>
      </c>
    </row>
    <row r="78" spans="1:8" ht="20.25" customHeight="1" x14ac:dyDescent="0.3">
      <c r="A78" s="210"/>
      <c r="B78" s="197" t="s">
        <v>291</v>
      </c>
      <c r="C78" s="199" t="s">
        <v>277</v>
      </c>
      <c r="D78" s="14"/>
      <c r="E78" s="199" t="s">
        <v>292</v>
      </c>
      <c r="F78" s="14"/>
      <c r="G78" s="878" t="s">
        <v>268</v>
      </c>
      <c r="H78" s="878" t="s">
        <v>703</v>
      </c>
    </row>
    <row r="79" spans="1:8" ht="23" customHeight="1" x14ac:dyDescent="0.4">
      <c r="A79" s="210"/>
      <c r="B79" s="198">
        <f>$J$53</f>
        <v>8265.7000000000007</v>
      </c>
      <c r="C79" s="198">
        <f>E79+G79</f>
        <v>10000</v>
      </c>
      <c r="D79" s="915"/>
      <c r="E79" s="198">
        <f>$D$53*$S$44</f>
        <v>2479.3000000000002</v>
      </c>
      <c r="F79" s="919"/>
      <c r="G79" s="198">
        <f>$D$53*$T$44</f>
        <v>7520.7</v>
      </c>
      <c r="H79" s="198">
        <f>B79+E79</f>
        <v>10745</v>
      </c>
    </row>
    <row r="80" spans="1:8" ht="14.25" customHeight="1" x14ac:dyDescent="0.3">
      <c r="B80" s="99"/>
      <c r="C80" s="99"/>
      <c r="D80" s="99"/>
      <c r="E80" s="99"/>
      <c r="F80" s="99"/>
      <c r="G80" s="99"/>
      <c r="H80" s="99"/>
    </row>
    <row r="81" spans="1:8" ht="14.25" customHeight="1" x14ac:dyDescent="0.3">
      <c r="B81" s="99"/>
      <c r="C81" s="99"/>
      <c r="D81" s="99"/>
      <c r="E81" s="99"/>
      <c r="F81" s="99"/>
      <c r="G81" s="99"/>
      <c r="H81" s="99"/>
    </row>
    <row r="82" spans="1:8" ht="14.25" customHeight="1" x14ac:dyDescent="0.3">
      <c r="B82" s="99"/>
      <c r="C82" s="99"/>
      <c r="D82" s="99"/>
      <c r="E82" s="99"/>
      <c r="F82" s="99"/>
      <c r="G82" s="99"/>
      <c r="H82" s="99"/>
    </row>
    <row r="83" spans="1:8" ht="14.25" customHeight="1" x14ac:dyDescent="0.3">
      <c r="B83" s="99"/>
      <c r="C83" s="99"/>
      <c r="D83" s="99"/>
      <c r="E83" s="99"/>
      <c r="F83" s="99"/>
      <c r="G83" s="99"/>
      <c r="H83" s="99"/>
    </row>
    <row r="84" spans="1:8" ht="17.75" customHeight="1" x14ac:dyDescent="0.3">
      <c r="A84" s="961"/>
      <c r="B84" s="1508" t="str">
        <f>"فاصوليا لحم 2 / " &amp; COUNTIF($C$53:$C$55, "&gt;0")</f>
        <v>فاصوليا لحم 2 / 2</v>
      </c>
      <c r="C84" s="1437"/>
      <c r="D84" s="1437"/>
      <c r="E84" s="1437"/>
      <c r="F84" s="1437"/>
      <c r="G84" s="1437"/>
      <c r="H84" s="1437"/>
    </row>
    <row r="85" spans="1:8" ht="17.75" customHeight="1" x14ac:dyDescent="0.3">
      <c r="A85" s="961"/>
      <c r="B85" s="1508" t="str">
        <f>"Lahm Fasooliya 2 / " &amp; COUNTIF($C$53:$C$55, "&gt;0")</f>
        <v>Lahm Fasooliya 2 / 2</v>
      </c>
      <c r="C85" s="1437"/>
      <c r="D85" s="1437"/>
      <c r="E85" s="1437"/>
      <c r="F85" s="1437"/>
      <c r="G85" s="1437"/>
      <c r="H85" s="1437"/>
    </row>
    <row r="86" spans="1:8" ht="25.5" customHeight="1" x14ac:dyDescent="0.3">
      <c r="A86" s="90"/>
      <c r="B86" s="244" t="s">
        <v>245</v>
      </c>
      <c r="C86" s="243" t="s">
        <v>246</v>
      </c>
      <c r="D86" s="244" t="s">
        <v>235</v>
      </c>
      <c r="E86" s="217" t="s">
        <v>238</v>
      </c>
      <c r="F86" s="217" t="s">
        <v>247</v>
      </c>
      <c r="G86" s="244" t="s">
        <v>248</v>
      </c>
      <c r="H86" s="217" t="s">
        <v>249</v>
      </c>
    </row>
    <row r="87" spans="1:8" ht="14.25" customHeight="1" x14ac:dyDescent="0.3">
      <c r="A87" s="269" t="s">
        <v>225</v>
      </c>
      <c r="B87" s="22" t="str">
        <f t="shared" ref="B87:D99" si="12">B5</f>
        <v>Indian Meat Alana  - لحم هندى ألانا</v>
      </c>
      <c r="C87" s="322" t="str">
        <f t="shared" si="12"/>
        <v>gm</v>
      </c>
      <c r="D87" s="485">
        <f t="shared" si="12"/>
        <v>1620.7254901960785</v>
      </c>
      <c r="E87" s="196">
        <f>H54</f>
        <v>5.9603030503256704</v>
      </c>
      <c r="F87" s="126">
        <f t="shared" ref="F87:F99" si="13">F5</f>
        <v>1</v>
      </c>
      <c r="G87" s="118">
        <f t="shared" ref="G87:G99" si="14">D87*E87</f>
        <v>9660.0150829562535</v>
      </c>
      <c r="H87" s="119">
        <f t="shared" ref="H87:H99" si="15">G87*F87</f>
        <v>9660.0150829562535</v>
      </c>
    </row>
    <row r="88" spans="1:8" ht="14.25" customHeight="1" x14ac:dyDescent="0.3">
      <c r="A88" s="269" t="s">
        <v>13</v>
      </c>
      <c r="B88" s="22" t="str">
        <f t="shared" si="12"/>
        <v>Onion - بصل</v>
      </c>
      <c r="C88" s="322" t="str">
        <f t="shared" si="12"/>
        <v>gm</v>
      </c>
      <c r="D88" s="322">
        <f t="shared" si="12"/>
        <v>300</v>
      </c>
      <c r="E88" s="196">
        <f t="shared" ref="E88:E99" si="16">$C$54</f>
        <v>6.0843799058084791</v>
      </c>
      <c r="F88" s="126">
        <f t="shared" si="13"/>
        <v>1</v>
      </c>
      <c r="G88" s="118">
        <f t="shared" si="14"/>
        <v>1825.3139717425438</v>
      </c>
      <c r="H88" s="119">
        <f t="shared" si="15"/>
        <v>1825.3139717425438</v>
      </c>
    </row>
    <row r="89" spans="1:8" ht="14.25" customHeight="1" x14ac:dyDescent="0.3">
      <c r="A89" s="269" t="s">
        <v>13</v>
      </c>
      <c r="B89" s="22" t="str">
        <f t="shared" si="12"/>
        <v>Garlic - ثوم مقشر</v>
      </c>
      <c r="C89" s="322" t="str">
        <f t="shared" si="12"/>
        <v>gm</v>
      </c>
      <c r="D89" s="322">
        <f t="shared" si="12"/>
        <v>25</v>
      </c>
      <c r="E89" s="196">
        <f t="shared" si="16"/>
        <v>6.0843799058084791</v>
      </c>
      <c r="F89" s="126">
        <f t="shared" si="13"/>
        <v>1</v>
      </c>
      <c r="G89" s="118">
        <f t="shared" si="14"/>
        <v>152.10949764521197</v>
      </c>
      <c r="H89" s="119">
        <f t="shared" si="15"/>
        <v>152.10949764521197</v>
      </c>
    </row>
    <row r="90" spans="1:8" ht="14.25" customHeight="1" x14ac:dyDescent="0.3">
      <c r="A90" s="269" t="s">
        <v>13</v>
      </c>
      <c r="B90" s="22" t="str">
        <f t="shared" si="12"/>
        <v>Tomato - طماطم</v>
      </c>
      <c r="C90" s="322" t="str">
        <f t="shared" si="12"/>
        <v>gm</v>
      </c>
      <c r="D90" s="322">
        <f t="shared" si="12"/>
        <v>400</v>
      </c>
      <c r="E90" s="196">
        <f t="shared" si="16"/>
        <v>6.0843799058084791</v>
      </c>
      <c r="F90" s="126">
        <f t="shared" si="13"/>
        <v>1</v>
      </c>
      <c r="G90" s="118">
        <f t="shared" si="14"/>
        <v>2433.7519623233916</v>
      </c>
      <c r="H90" s="119">
        <f t="shared" si="15"/>
        <v>2433.7519623233916</v>
      </c>
    </row>
    <row r="91" spans="1:8" ht="14.25" customHeight="1" x14ac:dyDescent="0.3">
      <c r="A91" s="269" t="s">
        <v>192</v>
      </c>
      <c r="B91" s="22" t="str">
        <f t="shared" si="12"/>
        <v>Tomato Paste - صلصة طماطم</v>
      </c>
      <c r="C91" s="322" t="str">
        <f t="shared" si="12"/>
        <v>gm</v>
      </c>
      <c r="D91" s="322">
        <f t="shared" si="12"/>
        <v>250</v>
      </c>
      <c r="E91" s="196">
        <f t="shared" si="16"/>
        <v>6.0843799058084791</v>
      </c>
      <c r="F91" s="126">
        <f t="shared" si="13"/>
        <v>1</v>
      </c>
      <c r="G91" s="118">
        <f t="shared" si="14"/>
        <v>1521.0949764521197</v>
      </c>
      <c r="H91" s="119">
        <f t="shared" si="15"/>
        <v>1521.0949764521197</v>
      </c>
    </row>
    <row r="92" spans="1:8" ht="14.25" customHeight="1" x14ac:dyDescent="0.3">
      <c r="A92" s="269" t="s">
        <v>95</v>
      </c>
      <c r="B92" s="22" t="str">
        <f t="shared" si="12"/>
        <v>Black Pepper Powder - فلفل أسود مطحون</v>
      </c>
      <c r="C92" s="322" t="str">
        <f t="shared" si="12"/>
        <v>gm</v>
      </c>
      <c r="D92" s="322">
        <f t="shared" si="12"/>
        <v>6</v>
      </c>
      <c r="E92" s="196">
        <f t="shared" si="16"/>
        <v>6.0843799058084791</v>
      </c>
      <c r="F92" s="126">
        <f t="shared" si="13"/>
        <v>0.75</v>
      </c>
      <c r="G92" s="118">
        <f t="shared" si="14"/>
        <v>36.506279434850875</v>
      </c>
      <c r="H92" s="119">
        <f t="shared" si="15"/>
        <v>27.379709576138154</v>
      </c>
    </row>
    <row r="93" spans="1:8" ht="14.25" customHeight="1" x14ac:dyDescent="0.3">
      <c r="A93" s="269" t="s">
        <v>95</v>
      </c>
      <c r="B93" s="22" t="str">
        <f t="shared" si="12"/>
        <v>Cumin Powder - كمون مطحون</v>
      </c>
      <c r="C93" s="322" t="str">
        <f t="shared" si="12"/>
        <v>gm</v>
      </c>
      <c r="D93" s="322">
        <f t="shared" si="12"/>
        <v>10</v>
      </c>
      <c r="E93" s="196">
        <f t="shared" si="16"/>
        <v>6.0843799058084791</v>
      </c>
      <c r="F93" s="126">
        <f t="shared" si="13"/>
        <v>0.75</v>
      </c>
      <c r="G93" s="118">
        <f t="shared" si="14"/>
        <v>60.843799058084791</v>
      </c>
      <c r="H93" s="119">
        <f t="shared" si="15"/>
        <v>45.632849293563595</v>
      </c>
    </row>
    <row r="94" spans="1:8" ht="14.25" customHeight="1" x14ac:dyDescent="0.3">
      <c r="A94" s="269" t="s">
        <v>95</v>
      </c>
      <c r="B94" s="22" t="str">
        <f t="shared" si="12"/>
        <v>Coriander Powder - كزبرة مطحونة</v>
      </c>
      <c r="C94" s="322" t="str">
        <f t="shared" si="12"/>
        <v>gm</v>
      </c>
      <c r="D94" s="322">
        <f t="shared" si="12"/>
        <v>15</v>
      </c>
      <c r="E94" s="196">
        <f t="shared" si="16"/>
        <v>6.0843799058084791</v>
      </c>
      <c r="F94" s="126">
        <f t="shared" si="13"/>
        <v>0.75</v>
      </c>
      <c r="G94" s="118">
        <f t="shared" si="14"/>
        <v>91.26569858712719</v>
      </c>
      <c r="H94" s="119">
        <f t="shared" si="15"/>
        <v>68.449273940345392</v>
      </c>
    </row>
    <row r="95" spans="1:8" ht="14.25" customHeight="1" x14ac:dyDescent="0.3">
      <c r="A95" s="269" t="s">
        <v>95</v>
      </c>
      <c r="B95" s="22" t="str">
        <f t="shared" si="12"/>
        <v>Cinnamon Powder - قرفة مطحونة</v>
      </c>
      <c r="C95" s="322" t="str">
        <f t="shared" si="12"/>
        <v>gm</v>
      </c>
      <c r="D95" s="322">
        <f t="shared" si="12"/>
        <v>10</v>
      </c>
      <c r="E95" s="196">
        <f t="shared" si="16"/>
        <v>6.0843799058084791</v>
      </c>
      <c r="F95" s="126">
        <f t="shared" si="13"/>
        <v>0.75</v>
      </c>
      <c r="G95" s="118">
        <f t="shared" si="14"/>
        <v>60.843799058084791</v>
      </c>
      <c r="H95" s="119">
        <f t="shared" si="15"/>
        <v>45.632849293563595</v>
      </c>
    </row>
    <row r="96" spans="1:8" ht="14.25" customHeight="1" x14ac:dyDescent="0.3">
      <c r="A96" s="269" t="s">
        <v>95</v>
      </c>
      <c r="B96" s="22" t="str">
        <f t="shared" si="12"/>
        <v>Maggi Cubes - مكعبات ماجي</v>
      </c>
      <c r="C96" s="322" t="str">
        <f t="shared" si="12"/>
        <v>gm</v>
      </c>
      <c r="D96" s="322">
        <f t="shared" si="12"/>
        <v>6</v>
      </c>
      <c r="E96" s="196">
        <f t="shared" si="16"/>
        <v>6.0843799058084791</v>
      </c>
      <c r="F96" s="126">
        <f t="shared" si="13"/>
        <v>1</v>
      </c>
      <c r="G96" s="118">
        <f t="shared" si="14"/>
        <v>36.506279434850875</v>
      </c>
      <c r="H96" s="119">
        <f t="shared" si="15"/>
        <v>36.506279434850875</v>
      </c>
    </row>
    <row r="97" spans="1:8" ht="14.25" customHeight="1" x14ac:dyDescent="0.3">
      <c r="A97" s="269" t="s">
        <v>95</v>
      </c>
      <c r="B97" s="22" t="str">
        <f t="shared" si="12"/>
        <v>Salt - ملح</v>
      </c>
      <c r="C97" s="322" t="str">
        <f t="shared" si="12"/>
        <v>gm</v>
      </c>
      <c r="D97" s="322">
        <f t="shared" si="12"/>
        <v>5</v>
      </c>
      <c r="E97" s="196">
        <f t="shared" si="16"/>
        <v>6.0843799058084791</v>
      </c>
      <c r="F97" s="126">
        <f t="shared" si="13"/>
        <v>1</v>
      </c>
      <c r="G97" s="118">
        <f t="shared" si="14"/>
        <v>30.421899529042395</v>
      </c>
      <c r="H97" s="119">
        <f t="shared" si="15"/>
        <v>30.421899529042395</v>
      </c>
    </row>
    <row r="98" spans="1:8" ht="14.25" customHeight="1" x14ac:dyDescent="0.3">
      <c r="A98" s="269" t="s">
        <v>154</v>
      </c>
      <c r="B98" s="22" t="str">
        <f t="shared" si="12"/>
        <v>Butter - زبدة</v>
      </c>
      <c r="C98" s="322" t="str">
        <f t="shared" si="12"/>
        <v>gm</v>
      </c>
      <c r="D98" s="322">
        <f t="shared" si="12"/>
        <v>40</v>
      </c>
      <c r="E98" s="196">
        <f t="shared" si="16"/>
        <v>6.0843799058084791</v>
      </c>
      <c r="F98" s="126">
        <f t="shared" si="13"/>
        <v>1</v>
      </c>
      <c r="G98" s="118">
        <f t="shared" si="14"/>
        <v>243.37519623233916</v>
      </c>
      <c r="H98" s="119">
        <f t="shared" si="15"/>
        <v>243.37519623233916</v>
      </c>
    </row>
    <row r="99" spans="1:8" ht="14.25" customHeight="1" x14ac:dyDescent="0.3">
      <c r="A99" s="269" t="s">
        <v>223</v>
      </c>
      <c r="B99" s="22" t="str">
        <f t="shared" si="12"/>
        <v>White Beans - فاصوليا بيضاء</v>
      </c>
      <c r="C99" s="322" t="str">
        <f t="shared" si="12"/>
        <v>gm</v>
      </c>
      <c r="D99" s="322">
        <f t="shared" si="12"/>
        <v>400</v>
      </c>
      <c r="E99" s="196">
        <f t="shared" si="16"/>
        <v>6.0843799058084791</v>
      </c>
      <c r="F99" s="126">
        <f t="shared" si="13"/>
        <v>1</v>
      </c>
      <c r="G99" s="118">
        <f t="shared" si="14"/>
        <v>2433.7519623233916</v>
      </c>
      <c r="H99" s="119">
        <f t="shared" si="15"/>
        <v>2433.7519623233916</v>
      </c>
    </row>
    <row r="100" spans="1:8" ht="20.25" customHeight="1" x14ac:dyDescent="0.3">
      <c r="A100" s="210"/>
      <c r="B100" s="197" t="s">
        <v>291</v>
      </c>
      <c r="C100" s="199" t="s">
        <v>277</v>
      </c>
      <c r="D100" s="14"/>
      <c r="E100" s="199" t="s">
        <v>292</v>
      </c>
      <c r="F100" s="14"/>
      <c r="G100" s="878" t="s">
        <v>268</v>
      </c>
      <c r="H100" s="878" t="s">
        <v>703</v>
      </c>
    </row>
    <row r="101" spans="1:8" ht="20" x14ac:dyDescent="0.4">
      <c r="A101" s="210"/>
      <c r="B101" s="198">
        <f>$J$54</f>
        <v>4926.6076923076889</v>
      </c>
      <c r="C101" s="198">
        <f>E101+G101</f>
        <v>5962.6923076923104</v>
      </c>
      <c r="D101" s="915"/>
      <c r="E101" s="198">
        <f>$D$54*$S$44</f>
        <v>1478.3303038461545</v>
      </c>
      <c r="F101" s="919"/>
      <c r="G101" s="198">
        <f>$D$54*$T$44</f>
        <v>4484.3620038461559</v>
      </c>
      <c r="H101" s="198">
        <f>B101+E101</f>
        <v>6404.9379961538434</v>
      </c>
    </row>
    <row r="103" spans="1:8" x14ac:dyDescent="0.3">
      <c r="A103" s="961"/>
      <c r="B103" s="1508" t="str">
        <f>"فاصوليا لحم 3 / " &amp; COUNTIF($C$53:$C$55, "&gt;0")</f>
        <v>فاصوليا لحم 3 / 2</v>
      </c>
      <c r="C103" s="1437"/>
      <c r="D103" s="1437"/>
      <c r="E103" s="1437"/>
      <c r="F103" s="1437"/>
      <c r="G103" s="1437"/>
      <c r="H103" s="1437"/>
    </row>
    <row r="104" spans="1:8" x14ac:dyDescent="0.3">
      <c r="A104" s="961"/>
      <c r="B104" s="1508" t="str">
        <f>"Lahm Fasooliya 3 / " &amp; COUNTIF($C$53:$C$55, "&gt;0")</f>
        <v>Lahm Fasooliya 3 / 2</v>
      </c>
      <c r="C104" s="1437"/>
      <c r="D104" s="1437"/>
      <c r="E104" s="1437"/>
      <c r="F104" s="1437"/>
      <c r="G104" s="1437"/>
      <c r="H104" s="1437"/>
    </row>
    <row r="105" spans="1:8" ht="46.25" customHeight="1" x14ac:dyDescent="0.3">
      <c r="A105" s="90"/>
      <c r="B105" s="244" t="s">
        <v>245</v>
      </c>
      <c r="C105" s="243" t="s">
        <v>246</v>
      </c>
      <c r="D105" s="244" t="s">
        <v>235</v>
      </c>
      <c r="E105" s="217" t="s">
        <v>238</v>
      </c>
      <c r="F105" s="217" t="s">
        <v>247</v>
      </c>
      <c r="G105" s="244" t="s">
        <v>248</v>
      </c>
      <c r="H105" s="217" t="s">
        <v>249</v>
      </c>
    </row>
    <row r="106" spans="1:8" x14ac:dyDescent="0.3">
      <c r="A106" s="269" t="s">
        <v>225</v>
      </c>
      <c r="B106" s="22" t="str">
        <f t="shared" ref="B106:D118" si="17">B5</f>
        <v>Indian Meat Alana  - لحم هندى ألانا</v>
      </c>
      <c r="C106" s="22" t="str">
        <f t="shared" si="17"/>
        <v>gm</v>
      </c>
      <c r="D106" s="22">
        <f t="shared" si="17"/>
        <v>1620.7254901960785</v>
      </c>
      <c r="E106" s="196">
        <f>H55</f>
        <v>0</v>
      </c>
      <c r="F106" s="126">
        <f>F5</f>
        <v>1</v>
      </c>
      <c r="G106" s="118">
        <f t="shared" ref="G106:G118" si="18">D106*E106</f>
        <v>0</v>
      </c>
      <c r="H106" s="119">
        <f t="shared" ref="H106:H118" si="19">G106*F106</f>
        <v>0</v>
      </c>
    </row>
    <row r="107" spans="1:8" x14ac:dyDescent="0.3">
      <c r="A107" s="269" t="s">
        <v>13</v>
      </c>
      <c r="B107" s="22" t="str">
        <f t="shared" si="17"/>
        <v>Onion - بصل</v>
      </c>
      <c r="C107" s="22" t="str">
        <f t="shared" si="17"/>
        <v>gm</v>
      </c>
      <c r="D107" s="22">
        <f t="shared" si="17"/>
        <v>300</v>
      </c>
      <c r="E107" s="196">
        <f t="shared" ref="E107:E118" si="20">$C$55</f>
        <v>0</v>
      </c>
      <c r="F107" s="126">
        <f t="shared" ref="F107:F118" si="21">F6</f>
        <v>1</v>
      </c>
      <c r="G107" s="118">
        <f t="shared" si="18"/>
        <v>0</v>
      </c>
      <c r="H107" s="119">
        <f t="shared" si="19"/>
        <v>0</v>
      </c>
    </row>
    <row r="108" spans="1:8" x14ac:dyDescent="0.3">
      <c r="A108" s="269" t="s">
        <v>13</v>
      </c>
      <c r="B108" s="22" t="str">
        <f t="shared" si="17"/>
        <v>Garlic - ثوم مقشر</v>
      </c>
      <c r="C108" s="22" t="str">
        <f t="shared" si="17"/>
        <v>gm</v>
      </c>
      <c r="D108" s="22">
        <f t="shared" si="17"/>
        <v>25</v>
      </c>
      <c r="E108" s="196">
        <f t="shared" si="20"/>
        <v>0</v>
      </c>
      <c r="F108" s="126">
        <f t="shared" si="21"/>
        <v>1</v>
      </c>
      <c r="G108" s="118">
        <f t="shared" si="18"/>
        <v>0</v>
      </c>
      <c r="H108" s="119">
        <f t="shared" si="19"/>
        <v>0</v>
      </c>
    </row>
    <row r="109" spans="1:8" x14ac:dyDescent="0.3">
      <c r="A109" s="269" t="s">
        <v>13</v>
      </c>
      <c r="B109" s="22" t="str">
        <f t="shared" si="17"/>
        <v>Tomato - طماطم</v>
      </c>
      <c r="C109" s="22" t="str">
        <f t="shared" si="17"/>
        <v>gm</v>
      </c>
      <c r="D109" s="22">
        <f t="shared" si="17"/>
        <v>400</v>
      </c>
      <c r="E109" s="196">
        <f t="shared" si="20"/>
        <v>0</v>
      </c>
      <c r="F109" s="126">
        <f t="shared" si="21"/>
        <v>1</v>
      </c>
      <c r="G109" s="118">
        <f t="shared" si="18"/>
        <v>0</v>
      </c>
      <c r="H109" s="119">
        <f t="shared" si="19"/>
        <v>0</v>
      </c>
    </row>
    <row r="110" spans="1:8" x14ac:dyDescent="0.3">
      <c r="A110" s="269" t="s">
        <v>192</v>
      </c>
      <c r="B110" s="22" t="str">
        <f t="shared" si="17"/>
        <v>Tomato Paste - صلصة طماطم</v>
      </c>
      <c r="C110" s="22" t="str">
        <f t="shared" si="17"/>
        <v>gm</v>
      </c>
      <c r="D110" s="22">
        <f t="shared" si="17"/>
        <v>250</v>
      </c>
      <c r="E110" s="196">
        <f t="shared" si="20"/>
        <v>0</v>
      </c>
      <c r="F110" s="126">
        <f t="shared" si="21"/>
        <v>1</v>
      </c>
      <c r="G110" s="118">
        <f t="shared" si="18"/>
        <v>0</v>
      </c>
      <c r="H110" s="119">
        <f t="shared" si="19"/>
        <v>0</v>
      </c>
    </row>
    <row r="111" spans="1:8" x14ac:dyDescent="0.3">
      <c r="A111" s="269" t="s">
        <v>95</v>
      </c>
      <c r="B111" s="22" t="str">
        <f t="shared" si="17"/>
        <v>Black Pepper Powder - فلفل أسود مطحون</v>
      </c>
      <c r="C111" s="22" t="str">
        <f t="shared" si="17"/>
        <v>gm</v>
      </c>
      <c r="D111" s="22">
        <f t="shared" si="17"/>
        <v>6</v>
      </c>
      <c r="E111" s="196">
        <f t="shared" si="20"/>
        <v>0</v>
      </c>
      <c r="F111" s="126">
        <f t="shared" si="21"/>
        <v>0.75</v>
      </c>
      <c r="G111" s="118">
        <f t="shared" si="18"/>
        <v>0</v>
      </c>
      <c r="H111" s="119">
        <f t="shared" si="19"/>
        <v>0</v>
      </c>
    </row>
    <row r="112" spans="1:8" x14ac:dyDescent="0.3">
      <c r="A112" s="269" t="s">
        <v>95</v>
      </c>
      <c r="B112" s="22" t="str">
        <f t="shared" si="17"/>
        <v>Cumin Powder - كمون مطحون</v>
      </c>
      <c r="C112" s="22" t="str">
        <f t="shared" si="17"/>
        <v>gm</v>
      </c>
      <c r="D112" s="22">
        <f t="shared" si="17"/>
        <v>10</v>
      </c>
      <c r="E112" s="196">
        <f t="shared" si="20"/>
        <v>0</v>
      </c>
      <c r="F112" s="126">
        <f t="shared" si="21"/>
        <v>0.75</v>
      </c>
      <c r="G112" s="118">
        <f t="shared" si="18"/>
        <v>0</v>
      </c>
      <c r="H112" s="119">
        <f t="shared" si="19"/>
        <v>0</v>
      </c>
    </row>
    <row r="113" spans="1:8" x14ac:dyDescent="0.3">
      <c r="A113" s="269" t="s">
        <v>95</v>
      </c>
      <c r="B113" s="22" t="str">
        <f t="shared" si="17"/>
        <v>Coriander Powder - كزبرة مطحونة</v>
      </c>
      <c r="C113" s="22" t="str">
        <f t="shared" si="17"/>
        <v>gm</v>
      </c>
      <c r="D113" s="22">
        <f t="shared" si="17"/>
        <v>15</v>
      </c>
      <c r="E113" s="196">
        <f t="shared" si="20"/>
        <v>0</v>
      </c>
      <c r="F113" s="126">
        <f t="shared" si="21"/>
        <v>0.75</v>
      </c>
      <c r="G113" s="118">
        <f t="shared" si="18"/>
        <v>0</v>
      </c>
      <c r="H113" s="119">
        <f t="shared" si="19"/>
        <v>0</v>
      </c>
    </row>
    <row r="114" spans="1:8" x14ac:dyDescent="0.3">
      <c r="A114" s="269" t="s">
        <v>95</v>
      </c>
      <c r="B114" s="22" t="str">
        <f t="shared" si="17"/>
        <v>Cinnamon Powder - قرفة مطحونة</v>
      </c>
      <c r="C114" s="22" t="str">
        <f t="shared" si="17"/>
        <v>gm</v>
      </c>
      <c r="D114" s="22">
        <f t="shared" si="17"/>
        <v>10</v>
      </c>
      <c r="E114" s="196">
        <f t="shared" si="20"/>
        <v>0</v>
      </c>
      <c r="F114" s="126">
        <f t="shared" si="21"/>
        <v>0.75</v>
      </c>
      <c r="G114" s="118">
        <f t="shared" si="18"/>
        <v>0</v>
      </c>
      <c r="H114" s="119">
        <f t="shared" si="19"/>
        <v>0</v>
      </c>
    </row>
    <row r="115" spans="1:8" x14ac:dyDescent="0.3">
      <c r="A115" s="269" t="s">
        <v>95</v>
      </c>
      <c r="B115" s="22" t="str">
        <f t="shared" si="17"/>
        <v>Maggi Cubes - مكعبات ماجي</v>
      </c>
      <c r="C115" s="22" t="str">
        <f t="shared" si="17"/>
        <v>gm</v>
      </c>
      <c r="D115" s="22">
        <f t="shared" si="17"/>
        <v>6</v>
      </c>
      <c r="E115" s="196">
        <f t="shared" si="20"/>
        <v>0</v>
      </c>
      <c r="F115" s="126">
        <f t="shared" si="21"/>
        <v>1</v>
      </c>
      <c r="G115" s="118">
        <f t="shared" si="18"/>
        <v>0</v>
      </c>
      <c r="H115" s="119">
        <f t="shared" si="19"/>
        <v>0</v>
      </c>
    </row>
    <row r="116" spans="1:8" x14ac:dyDescent="0.3">
      <c r="A116" s="269" t="s">
        <v>95</v>
      </c>
      <c r="B116" s="22" t="str">
        <f t="shared" si="17"/>
        <v>Salt - ملح</v>
      </c>
      <c r="C116" s="22" t="str">
        <f t="shared" si="17"/>
        <v>gm</v>
      </c>
      <c r="D116" s="22">
        <f t="shared" si="17"/>
        <v>5</v>
      </c>
      <c r="E116" s="196">
        <f t="shared" si="20"/>
        <v>0</v>
      </c>
      <c r="F116" s="126">
        <f t="shared" si="21"/>
        <v>1</v>
      </c>
      <c r="G116" s="118">
        <f t="shared" si="18"/>
        <v>0</v>
      </c>
      <c r="H116" s="119">
        <f t="shared" si="19"/>
        <v>0</v>
      </c>
    </row>
    <row r="117" spans="1:8" x14ac:dyDescent="0.3">
      <c r="A117" s="269" t="s">
        <v>154</v>
      </c>
      <c r="B117" s="22" t="str">
        <f t="shared" si="17"/>
        <v>Butter - زبدة</v>
      </c>
      <c r="C117" s="22" t="str">
        <f t="shared" si="17"/>
        <v>gm</v>
      </c>
      <c r="D117" s="22">
        <f t="shared" si="17"/>
        <v>40</v>
      </c>
      <c r="E117" s="196">
        <f t="shared" si="20"/>
        <v>0</v>
      </c>
      <c r="F117" s="126">
        <f t="shared" si="21"/>
        <v>1</v>
      </c>
      <c r="G117" s="118">
        <f t="shared" si="18"/>
        <v>0</v>
      </c>
      <c r="H117" s="119">
        <f t="shared" si="19"/>
        <v>0</v>
      </c>
    </row>
    <row r="118" spans="1:8" x14ac:dyDescent="0.3">
      <c r="A118" s="269" t="s">
        <v>223</v>
      </c>
      <c r="B118" s="22" t="str">
        <f t="shared" si="17"/>
        <v>White Beans - فاصوليا بيضاء</v>
      </c>
      <c r="C118" s="22" t="str">
        <f t="shared" si="17"/>
        <v>gm</v>
      </c>
      <c r="D118" s="22">
        <f t="shared" si="17"/>
        <v>400</v>
      </c>
      <c r="E118" s="196">
        <f t="shared" si="20"/>
        <v>0</v>
      </c>
      <c r="F118" s="126">
        <f t="shared" si="21"/>
        <v>1</v>
      </c>
      <c r="G118" s="118">
        <f t="shared" si="18"/>
        <v>0</v>
      </c>
      <c r="H118" s="119">
        <f t="shared" si="19"/>
        <v>0</v>
      </c>
    </row>
    <row r="119" spans="1:8" ht="18" x14ac:dyDescent="0.3">
      <c r="A119" s="210"/>
      <c r="B119" s="197" t="s">
        <v>291</v>
      </c>
      <c r="C119" s="199" t="s">
        <v>277</v>
      </c>
      <c r="D119" s="14"/>
      <c r="E119" s="199" t="s">
        <v>292</v>
      </c>
      <c r="F119" s="14"/>
      <c r="G119" s="878" t="s">
        <v>268</v>
      </c>
      <c r="H119" s="878" t="s">
        <v>703</v>
      </c>
    </row>
    <row r="120" spans="1:8" ht="20" x14ac:dyDescent="0.4">
      <c r="A120" s="210"/>
      <c r="B120" s="198">
        <f>$J$55</f>
        <v>0</v>
      </c>
      <c r="C120" s="198">
        <f>E120+G120</f>
        <v>0</v>
      </c>
      <c r="D120" s="915"/>
      <c r="E120" s="198">
        <f>$D$55*$S$44</f>
        <v>0</v>
      </c>
      <c r="F120" s="919"/>
      <c r="G120" s="198">
        <f>$D$55*$T$44</f>
        <v>0</v>
      </c>
      <c r="H120" s="198">
        <f>B120+E120</f>
        <v>0</v>
      </c>
    </row>
  </sheetData>
  <mergeCells count="11">
    <mergeCell ref="B103:H103"/>
    <mergeCell ref="B104:H104"/>
    <mergeCell ref="B85:H85"/>
    <mergeCell ref="AE2:AE3"/>
    <mergeCell ref="B84:H84"/>
    <mergeCell ref="R26:U26"/>
    <mergeCell ref="R25:U25"/>
    <mergeCell ref="B62:H62"/>
    <mergeCell ref="B2:K3"/>
    <mergeCell ref="B63:H63"/>
    <mergeCell ref="B35:F35"/>
  </mergeCells>
  <printOptions horizontalCentered="1"/>
  <pageMargins left="0.5" right="0.5" top="1" bottom="0.5" header="0.3" footer="0.511811023622047"/>
  <pageSetup paperSize="9" scale="31" orientation="portrait" r:id="rId1"/>
  <legacyDrawing r:id="rId2"/>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tabColor theme="6" tint="-0.249977111117893"/>
    <pageSetUpPr fitToPage="1"/>
  </sheetPr>
  <dimension ref="A1:AT99"/>
  <sheetViews>
    <sheetView topLeftCell="K6" zoomScale="70" zoomScaleNormal="70" workbookViewId="0">
      <selection activeCell="R26" sqref="R26:U26"/>
    </sheetView>
  </sheetViews>
  <sheetFormatPr defaultColWidth="12.5" defaultRowHeight="14" x14ac:dyDescent="0.3"/>
  <cols>
    <col min="1" max="1" width="12.5" style="1" customWidth="1"/>
    <col min="2" max="2" width="33.5" customWidth="1"/>
    <col min="3" max="3" width="23.9140625" customWidth="1"/>
    <col min="4" max="4" width="19" customWidth="1"/>
    <col min="5" max="5" width="16.1640625" customWidth="1"/>
    <col min="6" max="6" width="23.08203125" customWidth="1"/>
    <col min="7" max="7" width="25.1640625" customWidth="1"/>
    <col min="8" max="8" width="36.1640625" customWidth="1"/>
    <col min="12" max="12" width="8.33203125" customWidth="1"/>
    <col min="13" max="14" width="4.75" customWidth="1"/>
    <col min="18" max="18" width="38.83203125" bestFit="1" customWidth="1"/>
    <col min="36" max="36" width="39.08203125" customWidth="1"/>
  </cols>
  <sheetData>
    <row r="1" spans="1:46" ht="35.25" customHeight="1" x14ac:dyDescent="0.3">
      <c r="B1" s="79" t="s">
        <v>235</v>
      </c>
      <c r="C1" s="80">
        <v>1000</v>
      </c>
      <c r="D1" s="81" t="s">
        <v>236</v>
      </c>
      <c r="E1" s="116">
        <f>T32</f>
        <v>14547</v>
      </c>
      <c r="F1" s="79" t="s">
        <v>237</v>
      </c>
      <c r="G1" s="80">
        <f>(E1/C1)</f>
        <v>14.547000000000001</v>
      </c>
      <c r="H1" s="79" t="s">
        <v>238</v>
      </c>
      <c r="I1" s="248">
        <f>(G1/K1)</f>
        <v>14.843877551020409</v>
      </c>
      <c r="J1" s="85" t="s">
        <v>239</v>
      </c>
      <c r="K1" s="80">
        <v>0.98</v>
      </c>
      <c r="L1" s="99"/>
      <c r="M1" s="88"/>
      <c r="N1" s="89"/>
      <c r="O1" s="90" t="s">
        <v>240</v>
      </c>
      <c r="P1" s="91" t="s">
        <v>293</v>
      </c>
      <c r="Q1" s="92" t="s">
        <v>242</v>
      </c>
      <c r="R1" s="91">
        <v>0.54</v>
      </c>
      <c r="Y1" s="90" t="s">
        <v>463</v>
      </c>
      <c r="Z1" s="835">
        <v>46490</v>
      </c>
      <c r="AA1" s="90" t="s">
        <v>578</v>
      </c>
      <c r="AB1" s="835">
        <v>2000</v>
      </c>
      <c r="AC1" s="90" t="s">
        <v>567</v>
      </c>
      <c r="AD1" s="835">
        <v>324</v>
      </c>
      <c r="AE1" s="249"/>
      <c r="AF1" s="251"/>
      <c r="AG1" s="91"/>
      <c r="AI1" s="1"/>
      <c r="AJ1" s="93" t="s">
        <v>254</v>
      </c>
      <c r="AK1" s="93">
        <v>10000</v>
      </c>
      <c r="AL1" s="623" t="s">
        <v>523</v>
      </c>
      <c r="AM1" s="624">
        <f>$S$32</f>
        <v>48490</v>
      </c>
      <c r="AN1" s="93" t="s">
        <v>243</v>
      </c>
      <c r="AO1" s="328">
        <f>(($S$32)/$R$1)/$AK$1</f>
        <v>8.9796296296296294</v>
      </c>
      <c r="AP1" s="94"/>
      <c r="AQ1" s="132"/>
      <c r="AR1" s="132"/>
      <c r="AS1" s="132"/>
      <c r="AT1" s="132"/>
    </row>
    <row r="2" spans="1:46" ht="15.75" customHeight="1" x14ac:dyDescent="0.3">
      <c r="A2" s="264"/>
      <c r="B2" s="97"/>
      <c r="C2" s="97"/>
      <c r="D2" s="97"/>
      <c r="E2" s="97"/>
      <c r="F2" s="1491" t="s">
        <v>865</v>
      </c>
      <c r="G2" s="1466"/>
      <c r="H2" s="97"/>
      <c r="I2" s="97"/>
      <c r="J2" s="97"/>
      <c r="K2" s="97"/>
      <c r="L2" s="292"/>
      <c r="M2" s="99"/>
      <c r="N2" s="99"/>
      <c r="O2" s="99"/>
      <c r="P2" s="99"/>
      <c r="Q2" s="99"/>
      <c r="R2" s="99"/>
      <c r="AC2" s="98"/>
      <c r="AD2" s="98"/>
      <c r="AE2" s="1457"/>
      <c r="AF2" s="1458"/>
      <c r="AG2" s="1458"/>
      <c r="AI2" s="1"/>
      <c r="AJ2" s="100"/>
      <c r="AK2" s="1442" t="s">
        <v>868</v>
      </c>
      <c r="AL2" s="1442"/>
      <c r="AM2" s="1442"/>
      <c r="AN2" s="101"/>
      <c r="AO2" s="100"/>
      <c r="AP2" s="100"/>
    </row>
    <row r="3" spans="1:46" ht="15.75" customHeight="1" x14ac:dyDescent="0.3">
      <c r="A3" s="264"/>
      <c r="B3" s="102"/>
      <c r="C3" s="102"/>
      <c r="D3" s="102"/>
      <c r="E3" s="102"/>
      <c r="F3" s="1444"/>
      <c r="G3" s="1444"/>
      <c r="H3" s="102"/>
      <c r="I3" s="102"/>
      <c r="J3" s="102"/>
      <c r="K3" s="102"/>
      <c r="L3" s="292"/>
      <c r="M3" s="99"/>
      <c r="N3" s="99"/>
      <c r="O3" s="99"/>
      <c r="P3" s="99"/>
      <c r="Q3" s="99"/>
      <c r="R3" s="99"/>
      <c r="AC3" s="98"/>
      <c r="AD3" s="98"/>
      <c r="AE3" s="1458"/>
      <c r="AF3" s="1458"/>
      <c r="AG3" s="1458"/>
      <c r="AI3" s="1"/>
      <c r="AJ3" s="103"/>
      <c r="AK3" s="103"/>
      <c r="AL3" s="104"/>
      <c r="AM3" s="104"/>
      <c r="AN3" s="104"/>
      <c r="AO3" s="103"/>
      <c r="AP3" s="103"/>
    </row>
    <row r="4" spans="1:46" ht="35.25" customHeight="1" x14ac:dyDescent="0.3">
      <c r="A4" s="90" t="s">
        <v>1</v>
      </c>
      <c r="B4" s="90" t="s">
        <v>245</v>
      </c>
      <c r="C4" s="106" t="s">
        <v>246</v>
      </c>
      <c r="D4" s="90" t="s">
        <v>235</v>
      </c>
      <c r="E4" s="107" t="s">
        <v>238</v>
      </c>
      <c r="F4" s="107" t="s">
        <v>247</v>
      </c>
      <c r="G4" s="90" t="s">
        <v>248</v>
      </c>
      <c r="H4" s="330" t="s">
        <v>339</v>
      </c>
      <c r="I4" s="90" t="s">
        <v>250</v>
      </c>
      <c r="J4" s="90" t="s">
        <v>251</v>
      </c>
      <c r="K4" s="90" t="s">
        <v>252</v>
      </c>
      <c r="L4" s="90" t="s">
        <v>253</v>
      </c>
      <c r="M4" s="99"/>
      <c r="N4" s="99"/>
      <c r="O4" s="99"/>
      <c r="P4" s="99"/>
      <c r="AA4" s="250"/>
      <c r="AB4" s="252"/>
      <c r="AC4" s="250"/>
      <c r="AD4" s="250"/>
      <c r="AE4" s="250"/>
      <c r="AI4" s="1"/>
      <c r="AJ4" s="109" t="s">
        <v>245</v>
      </c>
      <c r="AK4" s="110" t="s">
        <v>246</v>
      </c>
      <c r="AL4" s="109" t="s">
        <v>254</v>
      </c>
      <c r="AM4" s="109" t="s">
        <v>238</v>
      </c>
      <c r="AN4" s="109" t="s">
        <v>247</v>
      </c>
      <c r="AO4" s="109" t="s">
        <v>248</v>
      </c>
      <c r="AP4" s="111" t="s">
        <v>249</v>
      </c>
      <c r="AQ4" s="90" t="s">
        <v>250</v>
      </c>
      <c r="AR4" s="90" t="s">
        <v>251</v>
      </c>
      <c r="AS4" s="90" t="s">
        <v>252</v>
      </c>
      <c r="AT4" s="90" t="s">
        <v>253</v>
      </c>
    </row>
    <row r="5" spans="1:46" ht="14.25" customHeight="1" x14ac:dyDescent="0.3">
      <c r="A5" s="265" t="s">
        <v>225</v>
      </c>
      <c r="B5" s="266" t="s">
        <v>229</v>
      </c>
      <c r="C5" s="114" t="s">
        <v>14</v>
      </c>
      <c r="D5" s="120">
        <f>I51/10</f>
        <v>12345.740740740741</v>
      </c>
      <c r="E5" s="116">
        <f>H52</f>
        <v>7.2734636326818363</v>
      </c>
      <c r="F5" s="126">
        <v>1</v>
      </c>
      <c r="G5" s="118">
        <f t="shared" ref="G5:G17" si="0">D5*E5</f>
        <v>89796.296296296292</v>
      </c>
      <c r="H5" s="119">
        <f t="shared" ref="H5:H17" si="1">G5*F5</f>
        <v>89796.296296296292</v>
      </c>
      <c r="I5" s="80">
        <f>VLOOKUP(B5,All_Ingredients!$A$1:$F$149,6,FALSE())</f>
        <v>0.47</v>
      </c>
      <c r="J5" s="118">
        <f>VLOOKUP(B5,All_Ingredients!$A$1:$J$149,10,FALSE())</f>
        <v>12</v>
      </c>
      <c r="K5" s="121">
        <f t="shared" ref="K5" si="2">(H5/I5)/1000</f>
        <v>191.05594956658786</v>
      </c>
      <c r="L5" s="121">
        <f t="shared" ref="L5" si="3">K5*J5</f>
        <v>2292.6713947990543</v>
      </c>
      <c r="M5" s="99"/>
      <c r="N5" s="99"/>
      <c r="O5" s="99"/>
      <c r="P5" s="99"/>
      <c r="AA5" s="91"/>
      <c r="AB5" s="132"/>
      <c r="AC5" s="253"/>
      <c r="AD5" s="134"/>
      <c r="AE5" s="135"/>
      <c r="AI5" s="1"/>
      <c r="AJ5" s="268" t="s">
        <v>229</v>
      </c>
      <c r="AK5" s="123" t="s">
        <v>231</v>
      </c>
      <c r="AL5" s="123">
        <v>10</v>
      </c>
      <c r="AM5" s="84">
        <f>$AO$1</f>
        <v>8.9796296296296294</v>
      </c>
      <c r="AN5" s="126">
        <v>1</v>
      </c>
      <c r="AO5" s="118">
        <f>AL5*AM5</f>
        <v>89.796296296296291</v>
      </c>
      <c r="AP5" s="119">
        <f>AN5*AO5</f>
        <v>89.796296296296291</v>
      </c>
      <c r="AQ5" s="294"/>
      <c r="AR5" s="1152"/>
      <c r="AS5" s="174"/>
      <c r="AT5" s="1153"/>
    </row>
    <row r="6" spans="1:46" ht="14.25" customHeight="1" x14ac:dyDescent="0.3">
      <c r="A6" s="269" t="s">
        <v>13</v>
      </c>
      <c r="B6" s="266" t="s">
        <v>12</v>
      </c>
      <c r="C6" s="123" t="s">
        <v>14</v>
      </c>
      <c r="D6" s="124">
        <v>250</v>
      </c>
      <c r="E6" s="196">
        <f t="shared" ref="E6:E17" si="4">$I$1</f>
        <v>14.843877551020409</v>
      </c>
      <c r="F6" s="126">
        <v>1</v>
      </c>
      <c r="G6" s="118">
        <f t="shared" si="0"/>
        <v>3710.9693877551022</v>
      </c>
      <c r="H6" s="119">
        <f t="shared" si="1"/>
        <v>3710.9693877551022</v>
      </c>
      <c r="I6" s="80">
        <f>VLOOKUP(B6,All_Ingredients!$A$1:$F$149,6,FALSE())</f>
        <v>0.9</v>
      </c>
      <c r="J6" s="118">
        <f>VLOOKUP(B6,All_Ingredients!$A$1:$J$149,10,FALSE())</f>
        <v>3</v>
      </c>
      <c r="K6" s="121">
        <f t="shared" ref="K6:K17" si="5">(H6/I6)/1000</f>
        <v>4.1232993197278907</v>
      </c>
      <c r="L6" s="121">
        <f t="shared" ref="L6:L17" si="6">K6*J6</f>
        <v>12.369897959183671</v>
      </c>
      <c r="AI6" s="1" t="s">
        <v>56</v>
      </c>
      <c r="AJ6" s="268" t="s">
        <v>55</v>
      </c>
      <c r="AK6" s="123" t="s">
        <v>14</v>
      </c>
      <c r="AL6" s="123">
        <v>200</v>
      </c>
      <c r="AM6" s="84">
        <f t="shared" ref="AM6:AM13" si="7">$AO$1</f>
        <v>8.9796296296296294</v>
      </c>
      <c r="AN6" s="126">
        <v>1</v>
      </c>
      <c r="AO6" s="118">
        <f t="shared" ref="AO6:AO13" si="8">AL6*AM6</f>
        <v>1795.9259259259259</v>
      </c>
      <c r="AP6" s="119">
        <f t="shared" ref="AP6:AP13" si="9">AN6*AO6</f>
        <v>1795.9259259259259</v>
      </c>
      <c r="AQ6" s="1153">
        <f>VLOOKUP(AJ6,Marination_Ordering!$A:$J,6,FALSE)</f>
        <v>0.87</v>
      </c>
      <c r="AR6" s="1153">
        <f>VLOOKUP(AJ6,Marination_Ordering!$A:$J,10,FALSE)</f>
        <v>3.2</v>
      </c>
      <c r="AS6" s="174">
        <f>AP6/AQ6</f>
        <v>2064.2826734780756</v>
      </c>
      <c r="AT6" s="1153">
        <f>AR6*(AS6/1000)</f>
        <v>6.6057045551298419</v>
      </c>
    </row>
    <row r="7" spans="1:46" ht="14.25" customHeight="1" x14ac:dyDescent="0.3">
      <c r="A7" s="269" t="s">
        <v>13</v>
      </c>
      <c r="B7" s="266" t="s">
        <v>762</v>
      </c>
      <c r="C7" s="123" t="s">
        <v>14</v>
      </c>
      <c r="D7" s="124">
        <v>20</v>
      </c>
      <c r="E7" s="196">
        <f t="shared" si="4"/>
        <v>14.843877551020409</v>
      </c>
      <c r="F7" s="126">
        <v>1</v>
      </c>
      <c r="G7" s="118">
        <f t="shared" si="0"/>
        <v>296.87755102040819</v>
      </c>
      <c r="H7" s="119">
        <f t="shared" si="1"/>
        <v>296.87755102040819</v>
      </c>
      <c r="I7" s="80">
        <f>VLOOKUP(B7,All_Ingredients!$A$1:$F$149,6,FALSE())</f>
        <v>1</v>
      </c>
      <c r="J7" s="118">
        <f>VLOOKUP(B7,All_Ingredients!$A$1:$J$149,10,FALSE())</f>
        <v>10.5</v>
      </c>
      <c r="K7" s="121">
        <f t="shared" si="5"/>
        <v>0.29687755102040819</v>
      </c>
      <c r="L7" s="121">
        <f t="shared" si="6"/>
        <v>3.1172142857142862</v>
      </c>
      <c r="AI7" s="1" t="s">
        <v>13</v>
      </c>
      <c r="AJ7" s="271" t="s">
        <v>762</v>
      </c>
      <c r="AK7" s="123" t="s">
        <v>14</v>
      </c>
      <c r="AL7" s="123">
        <v>150</v>
      </c>
      <c r="AM7" s="84">
        <f t="shared" si="7"/>
        <v>8.9796296296296294</v>
      </c>
      <c r="AN7" s="126">
        <v>1</v>
      </c>
      <c r="AO7" s="118">
        <f t="shared" si="8"/>
        <v>1346.9444444444443</v>
      </c>
      <c r="AP7" s="119">
        <f t="shared" si="9"/>
        <v>1346.9444444444443</v>
      </c>
      <c r="AQ7" s="1153">
        <f>VLOOKUP(AJ7,Marination_Ordering!$A:$J,6,FALSE)</f>
        <v>1</v>
      </c>
      <c r="AR7" s="1153">
        <f>VLOOKUP(AJ7,Marination_Ordering!$A:$J,10,FALSE)</f>
        <v>10.5</v>
      </c>
      <c r="AS7" s="174">
        <f t="shared" ref="AS7:AS13" si="10">AP7/AQ7</f>
        <v>1346.9444444444443</v>
      </c>
      <c r="AT7" s="1153">
        <f t="shared" ref="AT7:AT13" si="11">AR7*(AS7/1000)</f>
        <v>14.142916666666665</v>
      </c>
    </row>
    <row r="8" spans="1:46" ht="14.25" customHeight="1" x14ac:dyDescent="0.3">
      <c r="A8" s="269" t="s">
        <v>95</v>
      </c>
      <c r="B8" s="266" t="s">
        <v>111</v>
      </c>
      <c r="C8" s="123" t="s">
        <v>14</v>
      </c>
      <c r="D8" s="124">
        <v>5</v>
      </c>
      <c r="E8" s="196">
        <f t="shared" si="4"/>
        <v>14.843877551020409</v>
      </c>
      <c r="F8" s="126">
        <v>0.75</v>
      </c>
      <c r="G8" s="118">
        <f t="shared" si="0"/>
        <v>74.219387755102048</v>
      </c>
      <c r="H8" s="119">
        <f t="shared" si="1"/>
        <v>55.664540816326536</v>
      </c>
      <c r="I8" s="80">
        <f>VLOOKUP(B8,All_Ingredients!$A$1:$F$149,6,FALSE())</f>
        <v>1</v>
      </c>
      <c r="J8" s="118">
        <f>VLOOKUP(B8,All_Ingredients!$A$1:$J$149,10,FALSE())</f>
        <v>64.243759177679877</v>
      </c>
      <c r="K8" s="121">
        <f t="shared" si="5"/>
        <v>5.5664540816326533E-2</v>
      </c>
      <c r="L8" s="121">
        <f t="shared" si="6"/>
        <v>3.5760993549402138</v>
      </c>
      <c r="AI8" s="1" t="s">
        <v>206</v>
      </c>
      <c r="AJ8" s="268" t="s">
        <v>214</v>
      </c>
      <c r="AK8" s="123" t="s">
        <v>161</v>
      </c>
      <c r="AL8" s="123">
        <v>450</v>
      </c>
      <c r="AM8" s="84">
        <f t="shared" si="7"/>
        <v>8.9796296296296294</v>
      </c>
      <c r="AN8" s="126">
        <v>1</v>
      </c>
      <c r="AO8" s="118">
        <f t="shared" si="8"/>
        <v>4040.833333333333</v>
      </c>
      <c r="AP8" s="119">
        <f t="shared" si="9"/>
        <v>4040.833333333333</v>
      </c>
      <c r="AQ8" s="1153">
        <f>VLOOKUP(AJ8,Marination_Ordering!$A:$J,6,FALSE)</f>
        <v>1</v>
      </c>
      <c r="AR8" s="1153">
        <f>VLOOKUP(AJ8,Marination_Ordering!$A:$J,10,FALSE)</f>
        <v>5</v>
      </c>
      <c r="AS8" s="174">
        <f t="shared" si="10"/>
        <v>4040.833333333333</v>
      </c>
      <c r="AT8" s="1153">
        <f t="shared" si="11"/>
        <v>20.204166666666662</v>
      </c>
    </row>
    <row r="9" spans="1:46" ht="14.25" customHeight="1" x14ac:dyDescent="0.3">
      <c r="A9" s="269" t="s">
        <v>154</v>
      </c>
      <c r="B9" s="266" t="s">
        <v>167</v>
      </c>
      <c r="C9" s="123" t="s">
        <v>161</v>
      </c>
      <c r="D9" s="124">
        <v>600</v>
      </c>
      <c r="E9" s="196">
        <f t="shared" si="4"/>
        <v>14.843877551020409</v>
      </c>
      <c r="F9" s="126">
        <v>1</v>
      </c>
      <c r="G9" s="118">
        <f t="shared" si="0"/>
        <v>8906.3265306122448</v>
      </c>
      <c r="H9" s="119">
        <f t="shared" si="1"/>
        <v>8906.3265306122448</v>
      </c>
      <c r="I9" s="80">
        <f>VLOOKUP(B9,All_Ingredients!$A$1:$F$149,6,FALSE())</f>
        <v>1</v>
      </c>
      <c r="J9" s="118">
        <f>VLOOKUP(B9,All_Ingredients!$A$1:$J$149,10,FALSE())</f>
        <v>12.666666666666666</v>
      </c>
      <c r="K9" s="121">
        <f t="shared" si="5"/>
        <v>8.9063265306122457</v>
      </c>
      <c r="L9" s="121">
        <f t="shared" si="6"/>
        <v>112.81346938775511</v>
      </c>
      <c r="AI9" s="1" t="s">
        <v>206</v>
      </c>
      <c r="AJ9" s="268" t="s">
        <v>210</v>
      </c>
      <c r="AK9" s="123" t="s">
        <v>161</v>
      </c>
      <c r="AL9" s="123">
        <v>100</v>
      </c>
      <c r="AM9" s="84">
        <f t="shared" si="7"/>
        <v>8.9796296296296294</v>
      </c>
      <c r="AN9" s="126">
        <v>1</v>
      </c>
      <c r="AO9" s="118">
        <f t="shared" si="8"/>
        <v>897.96296296296293</v>
      </c>
      <c r="AP9" s="119">
        <f t="shared" si="9"/>
        <v>897.96296296296293</v>
      </c>
      <c r="AQ9" s="1153">
        <f>VLOOKUP(AJ9,Marination_Ordering!$A:$J,6,FALSE)</f>
        <v>1</v>
      </c>
      <c r="AR9" s="1153">
        <f>VLOOKUP(AJ9,Marination_Ordering!$A:$J,10,FALSE)</f>
        <v>2.1621621621621623</v>
      </c>
      <c r="AS9" s="174">
        <f t="shared" si="10"/>
        <v>897.96296296296293</v>
      </c>
      <c r="AT9" s="1153">
        <f t="shared" si="11"/>
        <v>1.9415415415415416</v>
      </c>
    </row>
    <row r="10" spans="1:46" ht="14.25" customHeight="1" x14ac:dyDescent="0.3">
      <c r="A10" s="269" t="s">
        <v>95</v>
      </c>
      <c r="B10" s="266" t="s">
        <v>94</v>
      </c>
      <c r="C10" s="123" t="s">
        <v>14</v>
      </c>
      <c r="D10" s="124">
        <v>11</v>
      </c>
      <c r="E10" s="196">
        <f t="shared" si="4"/>
        <v>14.843877551020409</v>
      </c>
      <c r="F10" s="126">
        <v>1</v>
      </c>
      <c r="G10" s="118">
        <f t="shared" si="0"/>
        <v>163.28265306122449</v>
      </c>
      <c r="H10" s="119">
        <f t="shared" si="1"/>
        <v>163.28265306122449</v>
      </c>
      <c r="I10" s="80">
        <f>VLOOKUP(B10,All_Ingredients!$A$1:$F$149,6,FALSE())</f>
        <v>1</v>
      </c>
      <c r="J10" s="118">
        <f>VLOOKUP(B10,All_Ingredients!$A$1:$J$149,10,FALSE())</f>
        <v>0.74</v>
      </c>
      <c r="K10" s="121">
        <f t="shared" si="5"/>
        <v>0.1632826530612245</v>
      </c>
      <c r="L10" s="121">
        <f t="shared" si="6"/>
        <v>0.12082916326530613</v>
      </c>
      <c r="AI10" s="1" t="s">
        <v>95</v>
      </c>
      <c r="AJ10" s="268" t="s">
        <v>94</v>
      </c>
      <c r="AK10" s="123" t="s">
        <v>14</v>
      </c>
      <c r="AL10" s="123">
        <v>2</v>
      </c>
      <c r="AM10" s="84">
        <f t="shared" si="7"/>
        <v>8.9796296296296294</v>
      </c>
      <c r="AN10" s="126">
        <v>1</v>
      </c>
      <c r="AO10" s="118">
        <f t="shared" si="8"/>
        <v>17.959259259259259</v>
      </c>
      <c r="AP10" s="119">
        <f t="shared" si="9"/>
        <v>17.959259259259259</v>
      </c>
      <c r="AQ10" s="1153">
        <f>VLOOKUP(AJ10,Marination_Ordering!$A:$J,6,FALSE)</f>
        <v>1</v>
      </c>
      <c r="AR10" s="1153">
        <f>VLOOKUP(AJ10,Marination_Ordering!$A:$J,10,FALSE)</f>
        <v>0.74</v>
      </c>
      <c r="AS10" s="174">
        <f t="shared" si="10"/>
        <v>17.959259259259259</v>
      </c>
      <c r="AT10" s="1153">
        <f t="shared" si="11"/>
        <v>1.3289851851851851E-2</v>
      </c>
    </row>
    <row r="11" spans="1:46" ht="14.25" customHeight="1" x14ac:dyDescent="0.3">
      <c r="A11" s="269" t="s">
        <v>95</v>
      </c>
      <c r="B11" s="266" t="s">
        <v>100</v>
      </c>
      <c r="C11" s="123" t="s">
        <v>14</v>
      </c>
      <c r="D11" s="124">
        <v>5</v>
      </c>
      <c r="E11" s="196">
        <f t="shared" si="4"/>
        <v>14.843877551020409</v>
      </c>
      <c r="F11" s="126">
        <v>1</v>
      </c>
      <c r="G11" s="118">
        <f t="shared" si="0"/>
        <v>74.219387755102048</v>
      </c>
      <c r="H11" s="119">
        <f t="shared" si="1"/>
        <v>74.219387755102048</v>
      </c>
      <c r="I11" s="80">
        <f>VLOOKUP(B11,All_Ingredients!$A$1:$F$149,6,FALSE())</f>
        <v>1</v>
      </c>
      <c r="J11" s="118">
        <f>VLOOKUP(B11,All_Ingredients!$A$1:$J$149,10,FALSE())</f>
        <v>31</v>
      </c>
      <c r="K11" s="121">
        <f t="shared" si="5"/>
        <v>7.4219387755102048E-2</v>
      </c>
      <c r="L11" s="121">
        <f t="shared" si="6"/>
        <v>2.3008010204081635</v>
      </c>
      <c r="AI11" s="1" t="s">
        <v>95</v>
      </c>
      <c r="AJ11" s="268" t="s">
        <v>100</v>
      </c>
      <c r="AK11" s="123" t="s">
        <v>14</v>
      </c>
      <c r="AL11" s="123">
        <v>4</v>
      </c>
      <c r="AM11" s="84">
        <f t="shared" si="7"/>
        <v>8.9796296296296294</v>
      </c>
      <c r="AN11" s="126">
        <v>1</v>
      </c>
      <c r="AO11" s="118">
        <f t="shared" si="8"/>
        <v>35.918518518518518</v>
      </c>
      <c r="AP11" s="119">
        <f t="shared" si="9"/>
        <v>35.918518518518518</v>
      </c>
      <c r="AQ11" s="1153">
        <f>VLOOKUP(AJ11,Marination_Ordering!$A:$J,6,FALSE)</f>
        <v>1</v>
      </c>
      <c r="AR11" s="1153">
        <f>VLOOKUP(AJ11,Marination_Ordering!$A:$J,10,FALSE)</f>
        <v>31</v>
      </c>
      <c r="AS11" s="174">
        <f t="shared" si="10"/>
        <v>35.918518518518518</v>
      </c>
      <c r="AT11" s="1153">
        <f t="shared" si="11"/>
        <v>1.1134740740740741</v>
      </c>
    </row>
    <row r="12" spans="1:46" ht="14.25" customHeight="1" x14ac:dyDescent="0.3">
      <c r="A12" s="269" t="s">
        <v>188</v>
      </c>
      <c r="B12" s="266" t="s">
        <v>189</v>
      </c>
      <c r="C12" s="123" t="s">
        <v>14</v>
      </c>
      <c r="D12" s="124">
        <v>100</v>
      </c>
      <c r="E12" s="196">
        <f t="shared" si="4"/>
        <v>14.843877551020409</v>
      </c>
      <c r="F12" s="126">
        <v>0.75</v>
      </c>
      <c r="G12" s="118">
        <f t="shared" si="0"/>
        <v>1484.387755102041</v>
      </c>
      <c r="H12" s="119">
        <f t="shared" si="1"/>
        <v>1113.2908163265306</v>
      </c>
      <c r="I12" s="80">
        <f>VLOOKUP(B12,All_Ingredients!$A$1:$F$149,6,FALSE())</f>
        <v>0.9</v>
      </c>
      <c r="J12" s="118">
        <f>VLOOKUP(B12,All_Ingredients!$A$1:$J$149,10,FALSE())</f>
        <v>2.3199999999999998</v>
      </c>
      <c r="K12" s="121">
        <f t="shared" si="5"/>
        <v>1.2369897959183673</v>
      </c>
      <c r="L12" s="121">
        <f t="shared" si="6"/>
        <v>2.869816326530612</v>
      </c>
      <c r="AI12" s="1" t="s">
        <v>95</v>
      </c>
      <c r="AJ12" s="268" t="s">
        <v>106</v>
      </c>
      <c r="AK12" s="123" t="s">
        <v>14</v>
      </c>
      <c r="AL12" s="123">
        <v>35</v>
      </c>
      <c r="AM12" s="84">
        <f t="shared" si="7"/>
        <v>8.9796296296296294</v>
      </c>
      <c r="AN12" s="126">
        <v>1</v>
      </c>
      <c r="AO12" s="118">
        <f t="shared" si="8"/>
        <v>314.28703703703701</v>
      </c>
      <c r="AP12" s="119">
        <f t="shared" si="9"/>
        <v>314.28703703703701</v>
      </c>
      <c r="AQ12" s="1153">
        <f>VLOOKUP(AJ12,Marination_Ordering!$A:$J,6,FALSE)</f>
        <v>1</v>
      </c>
      <c r="AR12" s="1153">
        <f>VLOOKUP(AJ12,Marination_Ordering!$A:$J,10,FALSE)</f>
        <v>15</v>
      </c>
      <c r="AS12" s="174">
        <f t="shared" si="10"/>
        <v>314.28703703703701</v>
      </c>
      <c r="AT12" s="1153">
        <f t="shared" si="11"/>
        <v>4.7143055555555557</v>
      </c>
    </row>
    <row r="13" spans="1:46" ht="14.25" customHeight="1" x14ac:dyDescent="0.3">
      <c r="A13" s="269" t="s">
        <v>154</v>
      </c>
      <c r="B13" s="266" t="s">
        <v>153</v>
      </c>
      <c r="C13" s="123" t="s">
        <v>14</v>
      </c>
      <c r="D13" s="124">
        <v>50</v>
      </c>
      <c r="E13" s="196">
        <f t="shared" si="4"/>
        <v>14.843877551020409</v>
      </c>
      <c r="F13" s="126">
        <v>0.75</v>
      </c>
      <c r="G13" s="118">
        <f t="shared" si="0"/>
        <v>742.19387755102048</v>
      </c>
      <c r="H13" s="119">
        <f t="shared" si="1"/>
        <v>556.6454081632653</v>
      </c>
      <c r="I13" s="80">
        <f>VLOOKUP(B13,All_Ingredients!$A$1:$F$149,6,FALSE())</f>
        <v>1</v>
      </c>
      <c r="J13" s="118">
        <f>VLOOKUP(B13,All_Ingredients!$A$1:$J$149,10,FALSE())</f>
        <v>30</v>
      </c>
      <c r="K13" s="121">
        <f t="shared" si="5"/>
        <v>0.55664540816326535</v>
      </c>
      <c r="L13" s="121">
        <f t="shared" si="6"/>
        <v>16.699362244897962</v>
      </c>
      <c r="AI13" s="1" t="s">
        <v>192</v>
      </c>
      <c r="AJ13" s="268" t="s">
        <v>204</v>
      </c>
      <c r="AK13" s="123" t="s">
        <v>14</v>
      </c>
      <c r="AL13" s="123">
        <v>250</v>
      </c>
      <c r="AM13" s="84">
        <f t="shared" si="7"/>
        <v>8.9796296296296294</v>
      </c>
      <c r="AN13" s="126">
        <v>1</v>
      </c>
      <c r="AO13" s="118">
        <f t="shared" si="8"/>
        <v>2244.9074074074074</v>
      </c>
      <c r="AP13" s="119">
        <f t="shared" si="9"/>
        <v>2244.9074074074074</v>
      </c>
      <c r="AQ13" s="1153">
        <f>VLOOKUP(AJ13,Marination_Ordering!$A:$J,6,FALSE)</f>
        <v>1</v>
      </c>
      <c r="AR13" s="1153">
        <f>VLOOKUP(AJ13,Marination_Ordering!$A:$J,10,FALSE)</f>
        <v>11.243386243386244</v>
      </c>
      <c r="AS13" s="174">
        <f t="shared" si="10"/>
        <v>2244.9074074074074</v>
      </c>
      <c r="AT13" s="1153">
        <f t="shared" si="11"/>
        <v>25.240361062120321</v>
      </c>
    </row>
    <row r="14" spans="1:46" ht="14.25" customHeight="1" x14ac:dyDescent="0.3">
      <c r="A14" s="269" t="s">
        <v>215</v>
      </c>
      <c r="B14" s="266" t="s">
        <v>216</v>
      </c>
      <c r="C14" s="123" t="s">
        <v>14</v>
      </c>
      <c r="D14" s="124">
        <v>2</v>
      </c>
      <c r="E14" s="196">
        <f t="shared" si="4"/>
        <v>14.843877551020409</v>
      </c>
      <c r="F14" s="126">
        <v>0.75</v>
      </c>
      <c r="G14" s="118">
        <f t="shared" si="0"/>
        <v>29.687755102040818</v>
      </c>
      <c r="H14" s="119">
        <f t="shared" si="1"/>
        <v>22.265816326530611</v>
      </c>
      <c r="I14" s="80">
        <f>VLOOKUP(B14,All_Ingredients!$A$1:$F$149,6,FALSE())</f>
        <v>1</v>
      </c>
      <c r="J14" s="118">
        <f>VLOOKUP(B14,All_Ingredients!$A$1:$J$149,10,FALSE())</f>
        <v>35</v>
      </c>
      <c r="K14" s="121">
        <f t="shared" si="5"/>
        <v>2.2265816326530612E-2</v>
      </c>
      <c r="L14" s="121">
        <f t="shared" si="6"/>
        <v>0.77930357142857143</v>
      </c>
    </row>
    <row r="15" spans="1:46" ht="14.25" customHeight="1" x14ac:dyDescent="0.3">
      <c r="A15" s="269" t="s">
        <v>95</v>
      </c>
      <c r="B15" s="382" t="s">
        <v>140</v>
      </c>
      <c r="C15" s="123" t="s">
        <v>14</v>
      </c>
      <c r="D15" s="124">
        <v>10</v>
      </c>
      <c r="E15" s="196">
        <f t="shared" si="4"/>
        <v>14.843877551020409</v>
      </c>
      <c r="F15" s="126">
        <v>0.9</v>
      </c>
      <c r="G15" s="118">
        <f t="shared" si="0"/>
        <v>148.4387755102041</v>
      </c>
      <c r="H15" s="119">
        <f t="shared" si="1"/>
        <v>133.5948979591837</v>
      </c>
      <c r="I15" s="80">
        <f>VLOOKUP(B15,All_Ingredients!$A$1:$F$149,6,FALSE())</f>
        <v>1</v>
      </c>
      <c r="J15" s="118">
        <f>VLOOKUP(B15,All_Ingredients!$A$1:$J$149,10,FALSE())</f>
        <v>15.277777777777779</v>
      </c>
      <c r="K15" s="121">
        <f t="shared" si="5"/>
        <v>0.13359489795918369</v>
      </c>
      <c r="L15" s="121">
        <f t="shared" si="6"/>
        <v>2.0410331632653067</v>
      </c>
    </row>
    <row r="16" spans="1:46" ht="14.25" customHeight="1" x14ac:dyDescent="0.3">
      <c r="A16" s="269" t="s">
        <v>182</v>
      </c>
      <c r="B16" s="266" t="s">
        <v>185</v>
      </c>
      <c r="C16" s="123" t="s">
        <v>14</v>
      </c>
      <c r="D16" s="124">
        <v>35</v>
      </c>
      <c r="E16" s="196">
        <f t="shared" si="4"/>
        <v>14.843877551020409</v>
      </c>
      <c r="F16" s="126">
        <v>1</v>
      </c>
      <c r="G16" s="118">
        <f t="shared" si="0"/>
        <v>519.53571428571433</v>
      </c>
      <c r="H16" s="119">
        <f t="shared" si="1"/>
        <v>519.53571428571433</v>
      </c>
      <c r="I16" s="80">
        <f>VLOOKUP(B16,All_Ingredients!$A$1:$F$149,6,FALSE())</f>
        <v>1</v>
      </c>
      <c r="J16" s="118">
        <f>VLOOKUP(B16,All_Ingredients!$A$1:$J$149,10,FALSE())</f>
        <v>17</v>
      </c>
      <c r="K16" s="121">
        <f t="shared" si="5"/>
        <v>0.51953571428571432</v>
      </c>
      <c r="L16" s="121">
        <f t="shared" si="6"/>
        <v>8.8321071428571436</v>
      </c>
    </row>
    <row r="17" spans="1:30" ht="14.25" customHeight="1" x14ac:dyDescent="0.3">
      <c r="A17" s="269" t="s">
        <v>215</v>
      </c>
      <c r="B17" s="219" t="s">
        <v>877</v>
      </c>
      <c r="C17" s="123" t="s">
        <v>14</v>
      </c>
      <c r="D17" s="124">
        <v>1</v>
      </c>
      <c r="E17" s="196">
        <f t="shared" si="4"/>
        <v>14.843877551020409</v>
      </c>
      <c r="F17" s="126">
        <v>1</v>
      </c>
      <c r="G17" s="118">
        <f t="shared" si="0"/>
        <v>14.843877551020409</v>
      </c>
      <c r="H17" s="119">
        <f t="shared" si="1"/>
        <v>14.843877551020409</v>
      </c>
      <c r="I17" s="80">
        <f>VLOOKUP(B17,All_Ingredients!$A$1:$F$149,6,FALSE())</f>
        <v>1</v>
      </c>
      <c r="J17" s="118">
        <f>VLOOKUP(B17,All_Ingredients!$A$1:$J$149,10,FALSE())</f>
        <v>22.5</v>
      </c>
      <c r="K17" s="121">
        <f t="shared" si="5"/>
        <v>1.4843877551020408E-2</v>
      </c>
      <c r="L17" s="121">
        <f t="shared" si="6"/>
        <v>0.33398724489795917</v>
      </c>
    </row>
    <row r="18" spans="1:30" ht="14.25" customHeight="1" x14ac:dyDescent="0.3">
      <c r="B18" s="131"/>
      <c r="E18" s="132"/>
      <c r="F18" s="99"/>
      <c r="L18" s="208"/>
    </row>
    <row r="19" spans="1:30" ht="14.25" customHeight="1" x14ac:dyDescent="0.3">
      <c r="L19" s="208"/>
    </row>
    <row r="20" spans="1:30" ht="14.25" customHeight="1" x14ac:dyDescent="0.3">
      <c r="L20" s="208"/>
    </row>
    <row r="21" spans="1:30" ht="14.25" customHeight="1" x14ac:dyDescent="0.3">
      <c r="L21" s="208"/>
    </row>
    <row r="22" spans="1:30" ht="14.25" customHeight="1" x14ac:dyDescent="0.3">
      <c r="L22" s="208"/>
    </row>
    <row r="23" spans="1:30" ht="14.25" customHeight="1" x14ac:dyDescent="0.3">
      <c r="L23" s="208"/>
    </row>
    <row r="24" spans="1:30" ht="14.25" customHeight="1" x14ac:dyDescent="0.3">
      <c r="L24" s="208"/>
      <c r="Z24" s="1265"/>
    </row>
    <row r="25" spans="1:30" ht="14.25" customHeight="1" x14ac:dyDescent="0.3">
      <c r="B25" s="99"/>
      <c r="E25" s="99"/>
      <c r="F25" s="99"/>
      <c r="L25" s="208"/>
      <c r="R25" s="1527" t="s">
        <v>868</v>
      </c>
      <c r="S25" s="1516"/>
      <c r="T25" s="1516"/>
      <c r="U25" s="1516"/>
      <c r="V25" s="1194"/>
      <c r="Z25" s="140" t="s">
        <v>256</v>
      </c>
      <c r="AA25" s="141">
        <v>1</v>
      </c>
      <c r="AB25" s="140" t="s">
        <v>253</v>
      </c>
      <c r="AC25" s="142">
        <f>AD30*AA25</f>
        <v>4.7295269175344837E-2</v>
      </c>
      <c r="AD25" s="14"/>
    </row>
    <row r="26" spans="1:30" ht="14.25" customHeight="1" x14ac:dyDescent="0.3">
      <c r="B26" s="99"/>
      <c r="E26" s="99"/>
      <c r="F26" s="99"/>
      <c r="L26" s="208"/>
      <c r="R26" s="1459" t="s">
        <v>301</v>
      </c>
      <c r="S26" s="1444"/>
      <c r="T26" s="1444"/>
      <c r="U26" s="1444"/>
      <c r="V26" s="1194"/>
      <c r="Z26" s="14"/>
      <c r="AA26" s="14"/>
      <c r="AB26" s="14"/>
      <c r="AC26" s="14"/>
      <c r="AD26" s="14"/>
    </row>
    <row r="27" spans="1:30" ht="14.25" customHeight="1" thickBot="1" x14ac:dyDescent="0.35">
      <c r="R27" s="144" t="s">
        <v>258</v>
      </c>
      <c r="S27" s="145" t="s">
        <v>483</v>
      </c>
      <c r="T27" s="145" t="s">
        <v>260</v>
      </c>
      <c r="U27" s="145" t="s">
        <v>261</v>
      </c>
      <c r="V27" s="145" t="s">
        <v>817</v>
      </c>
      <c r="Z27" s="140" t="s">
        <v>262</v>
      </c>
      <c r="AA27" s="146" t="s">
        <v>263</v>
      </c>
      <c r="AB27" s="146" t="s">
        <v>264</v>
      </c>
      <c r="AC27" s="1167" t="s">
        <v>817</v>
      </c>
      <c r="AD27" s="146" t="s">
        <v>266</v>
      </c>
    </row>
    <row r="28" spans="1:30" ht="34.25" customHeight="1" thickBot="1" x14ac:dyDescent="0.35">
      <c r="R28" s="147" t="s">
        <v>267</v>
      </c>
      <c r="S28" s="760">
        <f>$Z$1</f>
        <v>46490</v>
      </c>
      <c r="T28" s="303"/>
      <c r="U28" s="754">
        <f>S28/S40</f>
        <v>46490</v>
      </c>
      <c r="V28" s="148">
        <f>SUM(H37:H38)</f>
        <v>842.4</v>
      </c>
      <c r="Z28" s="150"/>
      <c r="AA28" s="151">
        <f>AA25*$S$40</f>
        <v>1</v>
      </c>
      <c r="AB28" s="151">
        <f>AA25*$U$40</f>
        <v>0</v>
      </c>
      <c r="AC28" s="1169"/>
      <c r="AD28" s="153">
        <f>SUM(AA28:AC28)</f>
        <v>1</v>
      </c>
    </row>
    <row r="29" spans="1:30" ht="14.25" customHeight="1" thickBot="1" x14ac:dyDescent="0.35">
      <c r="R29" s="147" t="s">
        <v>268</v>
      </c>
      <c r="S29" s="154"/>
      <c r="T29" s="148">
        <f>S28*0.3</f>
        <v>13947</v>
      </c>
      <c r="U29" s="754">
        <f>T29</f>
        <v>13947</v>
      </c>
      <c r="V29" s="148"/>
      <c r="Z29" s="150"/>
      <c r="AA29" s="155">
        <f>AA28/$AD$28</f>
        <v>1</v>
      </c>
      <c r="AB29" s="155">
        <f>AB28/$AD$28</f>
        <v>0</v>
      </c>
      <c r="AC29" s="1173"/>
      <c r="AD29" s="155">
        <f>AD28/$AD$28</f>
        <v>1</v>
      </c>
    </row>
    <row r="30" spans="1:30" ht="26" customHeight="1" thickBot="1" x14ac:dyDescent="0.35">
      <c r="R30" s="147" t="s">
        <v>269</v>
      </c>
      <c r="S30" s="1329">
        <f>$AB$1</f>
        <v>2000</v>
      </c>
      <c r="T30" s="756">
        <f>S30*0.3</f>
        <v>600</v>
      </c>
      <c r="U30" s="756">
        <f>S30/S40</f>
        <v>2000</v>
      </c>
      <c r="V30" s="1124"/>
      <c r="Z30" s="140" t="s">
        <v>270</v>
      </c>
      <c r="AA30" s="156">
        <f>S35/(S32)</f>
        <v>4.7281323877068557E-2</v>
      </c>
      <c r="AB30" s="157">
        <f>T35/T32</f>
        <v>1.140124567712548E-2</v>
      </c>
      <c r="AC30" s="1180">
        <f>V35/U32</f>
        <v>1.394529827627997E-5</v>
      </c>
      <c r="AD30" s="1182">
        <f>SUMPRODUCT(AA30:AB30,AA29:AB29)+AC30</f>
        <v>4.7295269175344837E-2</v>
      </c>
    </row>
    <row r="31" spans="1:30" ht="18" customHeight="1" thickBot="1" x14ac:dyDescent="0.35">
      <c r="B31" s="99"/>
      <c r="E31" s="99"/>
      <c r="F31" s="99"/>
      <c r="R31" s="147" t="s">
        <v>271</v>
      </c>
      <c r="S31" s="154"/>
      <c r="T31" s="148"/>
      <c r="U31" s="148"/>
      <c r="V31" s="148"/>
    </row>
    <row r="32" spans="1:30" ht="14.25" customHeight="1" thickBot="1" x14ac:dyDescent="0.35">
      <c r="B32" s="99"/>
      <c r="E32" s="99"/>
      <c r="F32" s="99"/>
      <c r="R32" s="159" t="s">
        <v>261</v>
      </c>
      <c r="S32" s="148">
        <f>SUM(S28:S30)</f>
        <v>48490</v>
      </c>
      <c r="T32" s="148">
        <f>SUM(T28:T30)</f>
        <v>14547</v>
      </c>
      <c r="U32" s="148">
        <f>SUM(S32:T32)</f>
        <v>63037</v>
      </c>
      <c r="V32" s="148">
        <f>SUM(V28:V30)</f>
        <v>842.4</v>
      </c>
    </row>
    <row r="33" spans="2:23" ht="14.25" customHeight="1" thickBot="1" x14ac:dyDescent="0.35">
      <c r="B33" s="99"/>
      <c r="E33" s="99"/>
      <c r="F33" s="99"/>
      <c r="R33" s="160" t="s">
        <v>272</v>
      </c>
      <c r="S33" s="154"/>
      <c r="T33" s="154"/>
      <c r="U33" s="154"/>
      <c r="V33" s="154"/>
    </row>
    <row r="34" spans="2:23" ht="14.25" customHeight="1" thickBot="1" x14ac:dyDescent="0.35">
      <c r="R34" s="161" t="s">
        <v>273</v>
      </c>
      <c r="S34" s="154"/>
      <c r="T34" s="148"/>
      <c r="U34" s="154"/>
      <c r="V34" s="154"/>
    </row>
    <row r="35" spans="2:23" ht="14.25" customHeight="1" thickBot="1" x14ac:dyDescent="0.35">
      <c r="B35" s="1484" t="s">
        <v>869</v>
      </c>
      <c r="C35" s="1484"/>
      <c r="D35" s="1484"/>
      <c r="E35" s="1484"/>
      <c r="F35" s="1484"/>
      <c r="G35" s="870"/>
      <c r="H35" s="870"/>
      <c r="I35" s="877"/>
      <c r="J35" s="877"/>
      <c r="K35" s="877"/>
      <c r="L35" s="877"/>
      <c r="R35" s="162" t="s">
        <v>253</v>
      </c>
      <c r="S35" s="1125">
        <f>$L$5</f>
        <v>2292.6713947990543</v>
      </c>
      <c r="T35" s="1125">
        <f>SUM(L6:L17)</f>
        <v>165.85392086514435</v>
      </c>
      <c r="U35" s="1125">
        <f>S35+T35+V35</f>
        <v>2459.4043854316401</v>
      </c>
      <c r="V35" s="1184">
        <f>SUM(L37:L38)</f>
        <v>0.87906976744186049</v>
      </c>
    </row>
    <row r="36" spans="2:23" ht="46.5" x14ac:dyDescent="0.3">
      <c r="B36" s="848" t="s">
        <v>245</v>
      </c>
      <c r="C36" s="848" t="s">
        <v>321</v>
      </c>
      <c r="D36" s="850" t="s">
        <v>645</v>
      </c>
      <c r="E36" s="847" t="s">
        <v>646</v>
      </c>
      <c r="F36" s="850" t="s">
        <v>647</v>
      </c>
      <c r="G36" s="870"/>
      <c r="H36" s="850" t="s">
        <v>647</v>
      </c>
      <c r="I36" s="850" t="s">
        <v>250</v>
      </c>
      <c r="J36" s="850" t="s">
        <v>251</v>
      </c>
      <c r="K36" s="850" t="s">
        <v>252</v>
      </c>
      <c r="L36" s="850" t="s">
        <v>253</v>
      </c>
    </row>
    <row r="37" spans="2:23" x14ac:dyDescent="0.3">
      <c r="B37" s="843" t="s">
        <v>69</v>
      </c>
      <c r="C37" s="844" t="s">
        <v>14</v>
      </c>
      <c r="D37" s="845">
        <v>0.35</v>
      </c>
      <c r="E37" s="843">
        <f>$AD$1</f>
        <v>324</v>
      </c>
      <c r="F37" s="843">
        <f>D37*E37</f>
        <v>113.39999999999999</v>
      </c>
      <c r="G37" s="869"/>
      <c r="H37" s="843">
        <f>F37</f>
        <v>113.39999999999999</v>
      </c>
      <c r="I37" s="843">
        <f>VLOOKUP(B37,All_Ingredients!$A$1:$F$149,6,FALSE())</f>
        <v>0.43</v>
      </c>
      <c r="J37" s="843">
        <f>VLOOKUP(B37,All_Ingredients!$A$1:$J$149,10,FALSE())</f>
        <v>3.333333333333333</v>
      </c>
      <c r="K37" s="843">
        <f>(H37/I37)/1000</f>
        <v>0.26372093023255816</v>
      </c>
      <c r="L37" s="843">
        <f>K37*J37</f>
        <v>0.87906976744186049</v>
      </c>
    </row>
    <row r="38" spans="2:23" ht="27.5" customHeight="1" x14ac:dyDescent="0.3">
      <c r="B38" s="843" t="s">
        <v>831</v>
      </c>
      <c r="C38" s="844" t="s">
        <v>14</v>
      </c>
      <c r="D38" s="845">
        <v>2.25</v>
      </c>
      <c r="E38" s="843">
        <f>$AD$1</f>
        <v>324</v>
      </c>
      <c r="F38" s="843">
        <f>D38*E38</f>
        <v>729</v>
      </c>
      <c r="G38" s="869"/>
      <c r="H38" s="843">
        <f>F38</f>
        <v>729</v>
      </c>
      <c r="I38" s="843">
        <f>VLOOKUP(B38,All_Ingredients!$A$1:$F$149,6,FALSE())</f>
        <v>1</v>
      </c>
      <c r="J38" s="843">
        <f>VLOOKUP(B38,All_Ingredients!$A$1:$J$149,10,FALSE())</f>
        <v>0</v>
      </c>
      <c r="K38" s="843">
        <f>(H38/I38)/1000</f>
        <v>0.72899999999999998</v>
      </c>
      <c r="L38" s="843">
        <f>K38*J38</f>
        <v>0</v>
      </c>
    </row>
    <row r="40" spans="2:23" ht="16.5" customHeight="1" x14ac:dyDescent="0.3">
      <c r="Q40" s="14"/>
      <c r="R40" s="164" t="s">
        <v>274</v>
      </c>
      <c r="S40" s="238">
        <v>1</v>
      </c>
      <c r="T40" s="164" t="s">
        <v>275</v>
      </c>
      <c r="U40" s="238">
        <v>0</v>
      </c>
      <c r="V40" s="167">
        <f>S40+U40</f>
        <v>1</v>
      </c>
      <c r="W40" s="14"/>
    </row>
    <row r="41" spans="2:23" ht="14.25" customHeight="1" x14ac:dyDescent="0.3">
      <c r="Q41" s="14"/>
      <c r="R41" s="14"/>
      <c r="S41" s="14"/>
      <c r="T41" s="14"/>
      <c r="U41" s="168"/>
      <c r="V41" s="14"/>
      <c r="W41" s="14"/>
    </row>
    <row r="42" spans="2:23" ht="14.25" customHeight="1" x14ac:dyDescent="0.3">
      <c r="Q42" s="14"/>
      <c r="R42" s="14"/>
      <c r="S42" s="14"/>
      <c r="T42" s="14"/>
      <c r="U42" s="14"/>
      <c r="V42" s="14"/>
      <c r="W42" s="14"/>
    </row>
    <row r="43" spans="2:23" ht="14.25" customHeight="1" x14ac:dyDescent="0.3">
      <c r="Q43" s="169" t="s">
        <v>276</v>
      </c>
      <c r="R43" s="169" t="s">
        <v>277</v>
      </c>
      <c r="S43" s="169" t="s">
        <v>278</v>
      </c>
      <c r="T43" s="169" t="s">
        <v>279</v>
      </c>
      <c r="U43" s="169" t="s">
        <v>280</v>
      </c>
      <c r="V43" s="169" t="s">
        <v>281</v>
      </c>
      <c r="W43" s="169" t="s">
        <v>282</v>
      </c>
    </row>
    <row r="44" spans="2:23" ht="14.25" customHeight="1" x14ac:dyDescent="0.3">
      <c r="Q44" s="171">
        <v>66667</v>
      </c>
      <c r="R44" s="172">
        <f>D51</f>
        <v>10000</v>
      </c>
      <c r="S44" s="173">
        <v>0</v>
      </c>
      <c r="T44" s="173">
        <v>1</v>
      </c>
      <c r="U44" s="241">
        <f>R44*S44</f>
        <v>0</v>
      </c>
      <c r="V44" s="175">
        <f>R44*T44</f>
        <v>10000</v>
      </c>
      <c r="W44" s="175">
        <f>Q44-U44</f>
        <v>66667</v>
      </c>
    </row>
    <row r="50" spans="1:11" ht="20.25" customHeight="1" x14ac:dyDescent="0.3">
      <c r="B50" s="275"/>
      <c r="C50" s="144" t="s">
        <v>237</v>
      </c>
      <c r="D50" s="144" t="s">
        <v>283</v>
      </c>
      <c r="F50" s="99"/>
      <c r="G50" s="144" t="s">
        <v>284</v>
      </c>
      <c r="H50" s="144" t="s">
        <v>237</v>
      </c>
      <c r="I50" s="144" t="s">
        <v>285</v>
      </c>
      <c r="J50" s="144" t="s">
        <v>286</v>
      </c>
      <c r="K50" s="91"/>
    </row>
    <row r="51" spans="1:11" x14ac:dyDescent="0.3">
      <c r="B51" s="179" t="s">
        <v>287</v>
      </c>
      <c r="C51" s="180">
        <f>10/$K$1</f>
        <v>10.204081632653061</v>
      </c>
      <c r="D51" s="181">
        <f>$C$1*10</f>
        <v>10000</v>
      </c>
      <c r="E51" s="182"/>
      <c r="F51" s="99"/>
      <c r="G51" s="179" t="s">
        <v>287</v>
      </c>
      <c r="H51" s="276">
        <f>I51/$D$5</f>
        <v>10</v>
      </c>
      <c r="I51" s="180">
        <f>J51/$R$1</f>
        <v>123457.4074074074</v>
      </c>
      <c r="J51" s="180">
        <f>$W$44</f>
        <v>66667</v>
      </c>
    </row>
    <row r="52" spans="1:11" x14ac:dyDescent="0.3">
      <c r="B52" s="230" t="s">
        <v>266</v>
      </c>
      <c r="C52" s="231">
        <f>$I$1</f>
        <v>14.843877551020409</v>
      </c>
      <c r="D52" s="232">
        <f>$E$1</f>
        <v>14547</v>
      </c>
      <c r="E52" s="99"/>
      <c r="F52" s="99"/>
      <c r="G52" s="147" t="s">
        <v>266</v>
      </c>
      <c r="H52" s="209">
        <f>I52/$D$5</f>
        <v>7.2734636326818363</v>
      </c>
      <c r="I52" s="175">
        <f>J52/$R$1</f>
        <v>89796.296296296292</v>
      </c>
      <c r="J52" s="183">
        <f>$S$32</f>
        <v>48490</v>
      </c>
    </row>
    <row r="53" spans="1:11" x14ac:dyDescent="0.3">
      <c r="B53" s="230" t="s">
        <v>288</v>
      </c>
      <c r="C53" s="233">
        <f>MIN(C52, C51)</f>
        <v>10.204081632653061</v>
      </c>
      <c r="D53" s="960">
        <f>(C53*$K$1)*$C$1</f>
        <v>10000</v>
      </c>
      <c r="E53" s="99"/>
      <c r="F53" s="99"/>
      <c r="G53" s="147" t="s">
        <v>288</v>
      </c>
      <c r="H53" s="186">
        <f>MIN(H52,H51)</f>
        <v>7.2734636326818363</v>
      </c>
      <c r="I53" s="175">
        <f>J53/$R$1</f>
        <v>89796.296296296292</v>
      </c>
      <c r="J53" s="175">
        <f>MIN(J52,J51)</f>
        <v>48490</v>
      </c>
    </row>
    <row r="54" spans="1:11" x14ac:dyDescent="0.3">
      <c r="B54" s="230" t="s">
        <v>289</v>
      </c>
      <c r="C54" s="233">
        <f>MIN(MAX(C52-C53,0),C51)</f>
        <v>4.6397959183673478</v>
      </c>
      <c r="D54" s="960">
        <f>(C54*$K$1)*$C$1</f>
        <v>4547.0000000000009</v>
      </c>
      <c r="E54" s="99"/>
      <c r="F54" s="99"/>
      <c r="G54" s="147" t="s">
        <v>289</v>
      </c>
      <c r="H54" s="186">
        <f>MIN(MAX(H52-H53),H51)</f>
        <v>0</v>
      </c>
      <c r="I54" s="175">
        <f>J54/$R$1</f>
        <v>0</v>
      </c>
      <c r="J54" s="175">
        <f>MIN(MAX(J52-J53),J51)</f>
        <v>0</v>
      </c>
    </row>
    <row r="55" spans="1:11" x14ac:dyDescent="0.3">
      <c r="B55" s="230" t="s">
        <v>290</v>
      </c>
      <c r="C55" s="233">
        <f>MIN(MAX(C52-C53-C54,0),C51)</f>
        <v>0</v>
      </c>
      <c r="D55" s="232">
        <f>(C55*$K$1)*$C$1</f>
        <v>0</v>
      </c>
      <c r="E55" s="99"/>
      <c r="F55" s="99"/>
      <c r="G55" s="144" t="s">
        <v>290</v>
      </c>
      <c r="H55" s="186">
        <f>MIN(MAX(H52-H53-H54),H51)</f>
        <v>0</v>
      </c>
      <c r="I55" s="175">
        <f>J55/$R$1</f>
        <v>0</v>
      </c>
      <c r="J55" s="175">
        <f>MIN(MAX(J52-J53-J54),J51)</f>
        <v>0</v>
      </c>
    </row>
    <row r="62" spans="1:11" ht="17.75" customHeight="1" x14ac:dyDescent="0.3">
      <c r="A62" s="923"/>
      <c r="B62" s="1438" t="str">
        <f>"سمك بالسبانخ و الليمون 1 / " &amp; COUNTIF($C$53:$C$55, "&gt;0")</f>
        <v>سمك بالسبانخ و الليمون 1 / 2</v>
      </c>
      <c r="C62" s="1439"/>
      <c r="D62" s="1439"/>
      <c r="E62" s="1439"/>
      <c r="F62" s="1439"/>
      <c r="G62" s="1439"/>
      <c r="H62" s="1439"/>
    </row>
    <row r="63" spans="1:11" ht="17.75" customHeight="1" x14ac:dyDescent="0.3">
      <c r="A63" s="923"/>
      <c r="B63" s="1436" t="str">
        <f>"Lemon Fish 1 / " &amp; COUNTIF($C$53:$C$55, "&gt;0")</f>
        <v>Lemon Fish 1 / 2</v>
      </c>
      <c r="C63" s="1437"/>
      <c r="D63" s="1437"/>
      <c r="E63" s="1437"/>
      <c r="F63" s="1437"/>
      <c r="G63" s="1437"/>
      <c r="H63" s="1437"/>
    </row>
    <row r="64" spans="1:11" ht="39" customHeight="1" x14ac:dyDescent="0.3">
      <c r="A64" s="90"/>
      <c r="B64" s="242" t="s">
        <v>245</v>
      </c>
      <c r="C64" s="243" t="s">
        <v>246</v>
      </c>
      <c r="D64" s="244" t="s">
        <v>235</v>
      </c>
      <c r="E64" s="217" t="s">
        <v>238</v>
      </c>
      <c r="F64" s="217" t="s">
        <v>247</v>
      </c>
      <c r="G64" s="244" t="s">
        <v>248</v>
      </c>
      <c r="H64" s="217" t="s">
        <v>249</v>
      </c>
    </row>
    <row r="65" spans="1:8" ht="14.25" customHeight="1" x14ac:dyDescent="0.3">
      <c r="A65" s="269" t="s">
        <v>225</v>
      </c>
      <c r="B65" s="122" t="str">
        <f t="shared" ref="B65:D77" si="12">B5</f>
        <v>Fillet Fish - سمك فيليه</v>
      </c>
      <c r="C65" s="122" t="str">
        <f t="shared" si="12"/>
        <v>gm</v>
      </c>
      <c r="D65" s="262">
        <f t="shared" si="12"/>
        <v>12345.740740740741</v>
      </c>
      <c r="E65" s="196">
        <f>H53</f>
        <v>7.2734636326818363</v>
      </c>
      <c r="F65" s="126">
        <f t="shared" ref="F65:F77" si="13">F5</f>
        <v>1</v>
      </c>
      <c r="G65" s="118">
        <f t="shared" ref="G65:G77" si="14">D65*E65</f>
        <v>89796.296296296292</v>
      </c>
      <c r="H65" s="119">
        <f t="shared" ref="H65:H77" si="15">G65*F65</f>
        <v>89796.296296296292</v>
      </c>
    </row>
    <row r="66" spans="1:8" ht="14.25" customHeight="1" x14ac:dyDescent="0.3">
      <c r="A66" s="269" t="s">
        <v>13</v>
      </c>
      <c r="B66" s="122" t="str">
        <f t="shared" si="12"/>
        <v>Onion - بصل</v>
      </c>
      <c r="C66" s="122" t="str">
        <f t="shared" si="12"/>
        <v>gm</v>
      </c>
      <c r="D66" s="122">
        <f t="shared" si="12"/>
        <v>250</v>
      </c>
      <c r="E66" s="196">
        <f t="shared" ref="E66:E77" si="16">$C$53</f>
        <v>10.204081632653061</v>
      </c>
      <c r="F66" s="126">
        <f t="shared" si="13"/>
        <v>1</v>
      </c>
      <c r="G66" s="118">
        <f t="shared" si="14"/>
        <v>2551.0204081632651</v>
      </c>
      <c r="H66" s="119">
        <f t="shared" si="15"/>
        <v>2551.0204081632651</v>
      </c>
    </row>
    <row r="67" spans="1:8" ht="14.25" customHeight="1" x14ac:dyDescent="0.3">
      <c r="A67" s="269" t="s">
        <v>13</v>
      </c>
      <c r="B67" s="122" t="str">
        <f t="shared" si="12"/>
        <v>Garlic - ثوم مقشر</v>
      </c>
      <c r="C67" s="122" t="str">
        <f t="shared" si="12"/>
        <v>gm</v>
      </c>
      <c r="D67" s="122">
        <f t="shared" si="12"/>
        <v>20</v>
      </c>
      <c r="E67" s="196">
        <f t="shared" si="16"/>
        <v>10.204081632653061</v>
      </c>
      <c r="F67" s="126">
        <f t="shared" si="13"/>
        <v>1</v>
      </c>
      <c r="G67" s="118">
        <f t="shared" si="14"/>
        <v>204.08163265306121</v>
      </c>
      <c r="H67" s="119">
        <f t="shared" si="15"/>
        <v>204.08163265306121</v>
      </c>
    </row>
    <row r="68" spans="1:8" ht="14.25" customHeight="1" x14ac:dyDescent="0.3">
      <c r="A68" s="269" t="s">
        <v>95</v>
      </c>
      <c r="B68" s="122" t="str">
        <f t="shared" si="12"/>
        <v>Paprika Powder - بابريكا مطحون</v>
      </c>
      <c r="C68" s="122" t="str">
        <f t="shared" si="12"/>
        <v>gm</v>
      </c>
      <c r="D68" s="122">
        <f t="shared" si="12"/>
        <v>5</v>
      </c>
      <c r="E68" s="196">
        <f t="shared" si="16"/>
        <v>10.204081632653061</v>
      </c>
      <c r="F68" s="126">
        <f t="shared" si="13"/>
        <v>0.75</v>
      </c>
      <c r="G68" s="118">
        <f t="shared" si="14"/>
        <v>51.020408163265301</v>
      </c>
      <c r="H68" s="119">
        <f t="shared" si="15"/>
        <v>38.265306122448976</v>
      </c>
    </row>
    <row r="69" spans="1:8" ht="14.25" customHeight="1" x14ac:dyDescent="0.3">
      <c r="A69" s="269" t="s">
        <v>154</v>
      </c>
      <c r="B69" s="122" t="str">
        <f t="shared" si="12"/>
        <v>Cooking Cream - كريمة طبخ</v>
      </c>
      <c r="C69" s="122" t="str">
        <f t="shared" si="12"/>
        <v>ml</v>
      </c>
      <c r="D69" s="122">
        <f t="shared" si="12"/>
        <v>600</v>
      </c>
      <c r="E69" s="196">
        <f t="shared" si="16"/>
        <v>10.204081632653061</v>
      </c>
      <c r="F69" s="126">
        <f t="shared" si="13"/>
        <v>1</v>
      </c>
      <c r="G69" s="118">
        <f t="shared" si="14"/>
        <v>6122.4489795918362</v>
      </c>
      <c r="H69" s="119">
        <f t="shared" si="15"/>
        <v>6122.4489795918362</v>
      </c>
    </row>
    <row r="70" spans="1:8" ht="14.25" customHeight="1" x14ac:dyDescent="0.3">
      <c r="A70" s="269" t="s">
        <v>95</v>
      </c>
      <c r="B70" s="122" t="str">
        <f t="shared" si="12"/>
        <v>Salt - ملح</v>
      </c>
      <c r="C70" s="122" t="str">
        <f t="shared" si="12"/>
        <v>gm</v>
      </c>
      <c r="D70" s="122">
        <f t="shared" si="12"/>
        <v>11</v>
      </c>
      <c r="E70" s="196">
        <f t="shared" si="16"/>
        <v>10.204081632653061</v>
      </c>
      <c r="F70" s="126">
        <f t="shared" si="13"/>
        <v>1</v>
      </c>
      <c r="G70" s="118">
        <f t="shared" si="14"/>
        <v>112.24489795918367</v>
      </c>
      <c r="H70" s="119">
        <f t="shared" si="15"/>
        <v>112.24489795918367</v>
      </c>
    </row>
    <row r="71" spans="1:8" ht="14.25" customHeight="1" x14ac:dyDescent="0.3">
      <c r="A71" s="269" t="s">
        <v>95</v>
      </c>
      <c r="B71" s="122" t="str">
        <f t="shared" si="12"/>
        <v>Black Pepper Powder - فلفل أسود مطحون</v>
      </c>
      <c r="C71" s="122" t="str">
        <f t="shared" si="12"/>
        <v>gm</v>
      </c>
      <c r="D71" s="122">
        <f t="shared" si="12"/>
        <v>5</v>
      </c>
      <c r="E71" s="196">
        <f t="shared" si="16"/>
        <v>10.204081632653061</v>
      </c>
      <c r="F71" s="126">
        <f t="shared" si="13"/>
        <v>1</v>
      </c>
      <c r="G71" s="118">
        <f t="shared" si="14"/>
        <v>51.020408163265301</v>
      </c>
      <c r="H71" s="119">
        <f t="shared" si="15"/>
        <v>51.020408163265301</v>
      </c>
    </row>
    <row r="72" spans="1:8" ht="14.25" customHeight="1" x14ac:dyDescent="0.3">
      <c r="A72" s="269" t="s">
        <v>188</v>
      </c>
      <c r="B72" s="122" t="str">
        <f t="shared" si="12"/>
        <v>Corn Starch - نشا ذرة</v>
      </c>
      <c r="C72" s="122" t="str">
        <f t="shared" si="12"/>
        <v>gm</v>
      </c>
      <c r="D72" s="122">
        <f t="shared" si="12"/>
        <v>100</v>
      </c>
      <c r="E72" s="196">
        <f t="shared" si="16"/>
        <v>10.204081632653061</v>
      </c>
      <c r="F72" s="126">
        <f t="shared" si="13"/>
        <v>0.75</v>
      </c>
      <c r="G72" s="118">
        <f t="shared" si="14"/>
        <v>1020.4081632653061</v>
      </c>
      <c r="H72" s="119">
        <f t="shared" si="15"/>
        <v>765.30612244897964</v>
      </c>
    </row>
    <row r="73" spans="1:8" ht="14.25" customHeight="1" x14ac:dyDescent="0.3">
      <c r="A73" s="269" t="s">
        <v>154</v>
      </c>
      <c r="B73" s="122" t="str">
        <f t="shared" si="12"/>
        <v>Butter - زبدة</v>
      </c>
      <c r="C73" s="122" t="str">
        <f t="shared" si="12"/>
        <v>gm</v>
      </c>
      <c r="D73" s="122">
        <f t="shared" si="12"/>
        <v>50</v>
      </c>
      <c r="E73" s="196">
        <f t="shared" si="16"/>
        <v>10.204081632653061</v>
      </c>
      <c r="F73" s="126">
        <f t="shared" si="13"/>
        <v>0.75</v>
      </c>
      <c r="G73" s="118">
        <f t="shared" si="14"/>
        <v>510.20408163265307</v>
      </c>
      <c r="H73" s="119">
        <f t="shared" si="15"/>
        <v>382.65306122448982</v>
      </c>
    </row>
    <row r="74" spans="1:8" ht="14.25" customHeight="1" x14ac:dyDescent="0.3">
      <c r="A74" s="269" t="s">
        <v>215</v>
      </c>
      <c r="B74" s="122" t="str">
        <f t="shared" si="12"/>
        <v>Orange Color - لون برتقالي</v>
      </c>
      <c r="C74" s="122" t="str">
        <f t="shared" si="12"/>
        <v>gm</v>
      </c>
      <c r="D74" s="122">
        <f t="shared" si="12"/>
        <v>2</v>
      </c>
      <c r="E74" s="196">
        <f t="shared" si="16"/>
        <v>10.204081632653061</v>
      </c>
      <c r="F74" s="126">
        <f t="shared" si="13"/>
        <v>0.75</v>
      </c>
      <c r="G74" s="118">
        <f t="shared" si="14"/>
        <v>20.408163265306122</v>
      </c>
      <c r="H74" s="119">
        <f t="shared" si="15"/>
        <v>15.306122448979592</v>
      </c>
    </row>
    <row r="75" spans="1:8" ht="14.25" customHeight="1" x14ac:dyDescent="0.3">
      <c r="A75" s="269" t="s">
        <v>95</v>
      </c>
      <c r="B75" s="122" t="str">
        <f t="shared" si="12"/>
        <v>Maggi Cubes - مكعبات ماجي</v>
      </c>
      <c r="C75" s="122" t="str">
        <f t="shared" si="12"/>
        <v>gm</v>
      </c>
      <c r="D75" s="122">
        <f t="shared" si="12"/>
        <v>10</v>
      </c>
      <c r="E75" s="196">
        <f t="shared" si="16"/>
        <v>10.204081632653061</v>
      </c>
      <c r="F75" s="126">
        <f t="shared" si="13"/>
        <v>0.9</v>
      </c>
      <c r="G75" s="118">
        <f t="shared" si="14"/>
        <v>102.0408163265306</v>
      </c>
      <c r="H75" s="119">
        <f t="shared" si="15"/>
        <v>91.836734693877546</v>
      </c>
    </row>
    <row r="76" spans="1:8" ht="14.25" customHeight="1" x14ac:dyDescent="0.3">
      <c r="A76" s="269" t="s">
        <v>182</v>
      </c>
      <c r="B76" s="122" t="str">
        <f t="shared" si="12"/>
        <v>Honey - عسل</v>
      </c>
      <c r="C76" s="122" t="str">
        <f t="shared" si="12"/>
        <v>gm</v>
      </c>
      <c r="D76" s="122">
        <f t="shared" si="12"/>
        <v>35</v>
      </c>
      <c r="E76" s="196">
        <f t="shared" si="16"/>
        <v>10.204081632653061</v>
      </c>
      <c r="F76" s="126">
        <f t="shared" si="13"/>
        <v>1</v>
      </c>
      <c r="G76" s="118">
        <f t="shared" si="14"/>
        <v>357.14285714285711</v>
      </c>
      <c r="H76" s="119">
        <f t="shared" si="15"/>
        <v>357.14285714285711</v>
      </c>
    </row>
    <row r="77" spans="1:8" ht="14.25" customHeight="1" x14ac:dyDescent="0.3">
      <c r="A77" s="269" t="s">
        <v>215</v>
      </c>
      <c r="B77" s="122" t="str">
        <f t="shared" si="12"/>
        <v>Saffron yellow color powder - لون صفار زعفران بودر</v>
      </c>
      <c r="C77" s="122" t="str">
        <f t="shared" si="12"/>
        <v>gm</v>
      </c>
      <c r="D77" s="122">
        <f t="shared" si="12"/>
        <v>1</v>
      </c>
      <c r="E77" s="196">
        <f t="shared" si="16"/>
        <v>10.204081632653061</v>
      </c>
      <c r="F77" s="126">
        <f t="shared" si="13"/>
        <v>1</v>
      </c>
      <c r="G77" s="118">
        <f t="shared" si="14"/>
        <v>10.204081632653061</v>
      </c>
      <c r="H77" s="119">
        <f t="shared" si="15"/>
        <v>10.204081632653061</v>
      </c>
    </row>
    <row r="78" spans="1:8" ht="20.25" customHeight="1" x14ac:dyDescent="0.3">
      <c r="A78" s="210"/>
      <c r="B78" s="197" t="s">
        <v>291</v>
      </c>
      <c r="C78" s="199" t="s">
        <v>277</v>
      </c>
      <c r="D78" s="14"/>
      <c r="E78" s="199" t="s">
        <v>292</v>
      </c>
      <c r="F78" s="14"/>
      <c r="G78" s="878" t="s">
        <v>268</v>
      </c>
      <c r="H78" s="878" t="s">
        <v>703</v>
      </c>
    </row>
    <row r="79" spans="1:8" ht="20" x14ac:dyDescent="0.4">
      <c r="A79" s="210"/>
      <c r="B79" s="198">
        <f>$J$53</f>
        <v>48490</v>
      </c>
      <c r="C79" s="198">
        <f>E79+G79</f>
        <v>10000</v>
      </c>
      <c r="D79" s="915"/>
      <c r="E79" s="198">
        <f>$D$53*$S$44</f>
        <v>0</v>
      </c>
      <c r="F79" s="919"/>
      <c r="G79" s="198">
        <f>$D$53*$T$44</f>
        <v>10000</v>
      </c>
      <c r="H79" s="198">
        <f>B79+E79</f>
        <v>48490</v>
      </c>
    </row>
    <row r="82" spans="1:8" x14ac:dyDescent="0.3">
      <c r="A82" s="923"/>
      <c r="B82" s="1438" t="str">
        <f>"سمك بالسبانخ و الليمون 2 / " &amp; COUNTIF($C$53:$C$55, "&gt;0")</f>
        <v>سمك بالسبانخ و الليمون 2 / 2</v>
      </c>
      <c r="C82" s="1439"/>
      <c r="D82" s="1439"/>
      <c r="E82" s="1439"/>
      <c r="F82" s="1439"/>
      <c r="G82" s="1439"/>
      <c r="H82" s="1439"/>
    </row>
    <row r="83" spans="1:8" x14ac:dyDescent="0.3">
      <c r="A83" s="923"/>
      <c r="B83" s="1436" t="str">
        <f>"Lemon Fish 2 / " &amp; COUNTIF($C$53:$C$55, "&gt;0")</f>
        <v>Lemon Fish 2 / 2</v>
      </c>
      <c r="C83" s="1437"/>
      <c r="D83" s="1437"/>
      <c r="E83" s="1437"/>
      <c r="F83" s="1437"/>
      <c r="G83" s="1437"/>
      <c r="H83" s="1437"/>
    </row>
    <row r="84" spans="1:8" ht="26" x14ac:dyDescent="0.3">
      <c r="A84" s="90"/>
      <c r="B84" s="242" t="s">
        <v>245</v>
      </c>
      <c r="C84" s="243" t="s">
        <v>246</v>
      </c>
      <c r="D84" s="244" t="s">
        <v>235</v>
      </c>
      <c r="E84" s="217" t="s">
        <v>238</v>
      </c>
      <c r="F84" s="217" t="s">
        <v>247</v>
      </c>
      <c r="G84" s="244" t="s">
        <v>248</v>
      </c>
      <c r="H84" s="217" t="s">
        <v>249</v>
      </c>
    </row>
    <row r="85" spans="1:8" x14ac:dyDescent="0.3">
      <c r="A85" s="269" t="s">
        <v>225</v>
      </c>
      <c r="B85" s="122" t="str">
        <f t="shared" ref="B85:D97" si="17">B5</f>
        <v>Fillet Fish - سمك فيليه</v>
      </c>
      <c r="C85" s="122" t="str">
        <f t="shared" si="17"/>
        <v>gm</v>
      </c>
      <c r="D85" s="262">
        <f t="shared" si="17"/>
        <v>12345.740740740741</v>
      </c>
      <c r="E85" s="196">
        <f>$H$54</f>
        <v>0</v>
      </c>
      <c r="F85" s="126">
        <f>F5</f>
        <v>1</v>
      </c>
      <c r="G85" s="118">
        <f t="shared" ref="G85:G97" si="18">D85*E85</f>
        <v>0</v>
      </c>
      <c r="H85" s="119">
        <f t="shared" ref="H85:H97" si="19">G85*F85</f>
        <v>0</v>
      </c>
    </row>
    <row r="86" spans="1:8" x14ac:dyDescent="0.3">
      <c r="A86" s="269" t="s">
        <v>13</v>
      </c>
      <c r="B86" s="122" t="str">
        <f t="shared" si="17"/>
        <v>Onion - بصل</v>
      </c>
      <c r="C86" s="122" t="str">
        <f t="shared" si="17"/>
        <v>gm</v>
      </c>
      <c r="D86" s="262">
        <f t="shared" si="17"/>
        <v>250</v>
      </c>
      <c r="E86" s="196">
        <f t="shared" ref="E86:E97" si="20">$C$54</f>
        <v>4.6397959183673478</v>
      </c>
      <c r="F86" s="126">
        <f t="shared" ref="F86:F97" si="21">F6</f>
        <v>1</v>
      </c>
      <c r="G86" s="118">
        <f t="shared" si="18"/>
        <v>1159.9489795918369</v>
      </c>
      <c r="H86" s="119">
        <f t="shared" si="19"/>
        <v>1159.9489795918369</v>
      </c>
    </row>
    <row r="87" spans="1:8" x14ac:dyDescent="0.3">
      <c r="A87" s="269" t="s">
        <v>13</v>
      </c>
      <c r="B87" s="122" t="str">
        <f t="shared" si="17"/>
        <v>Garlic - ثوم مقشر</v>
      </c>
      <c r="C87" s="122" t="str">
        <f t="shared" si="17"/>
        <v>gm</v>
      </c>
      <c r="D87" s="262">
        <f t="shared" si="17"/>
        <v>20</v>
      </c>
      <c r="E87" s="196">
        <f t="shared" si="20"/>
        <v>4.6397959183673478</v>
      </c>
      <c r="F87" s="126">
        <f t="shared" si="21"/>
        <v>1</v>
      </c>
      <c r="G87" s="118">
        <f t="shared" si="18"/>
        <v>92.795918367346957</v>
      </c>
      <c r="H87" s="119">
        <f t="shared" si="19"/>
        <v>92.795918367346957</v>
      </c>
    </row>
    <row r="88" spans="1:8" x14ac:dyDescent="0.3">
      <c r="A88" s="269" t="s">
        <v>95</v>
      </c>
      <c r="B88" s="122" t="str">
        <f t="shared" si="17"/>
        <v>Paprika Powder - بابريكا مطحون</v>
      </c>
      <c r="C88" s="122" t="str">
        <f t="shared" si="17"/>
        <v>gm</v>
      </c>
      <c r="D88" s="262">
        <f t="shared" si="17"/>
        <v>5</v>
      </c>
      <c r="E88" s="196">
        <f t="shared" si="20"/>
        <v>4.6397959183673478</v>
      </c>
      <c r="F88" s="126">
        <f t="shared" si="21"/>
        <v>0.75</v>
      </c>
      <c r="G88" s="118">
        <f t="shared" si="18"/>
        <v>23.198979591836739</v>
      </c>
      <c r="H88" s="119">
        <f t="shared" si="19"/>
        <v>17.399234693877553</v>
      </c>
    </row>
    <row r="89" spans="1:8" x14ac:dyDescent="0.3">
      <c r="A89" s="269" t="s">
        <v>154</v>
      </c>
      <c r="B89" s="122" t="str">
        <f t="shared" si="17"/>
        <v>Cooking Cream - كريمة طبخ</v>
      </c>
      <c r="C89" s="122" t="str">
        <f t="shared" si="17"/>
        <v>ml</v>
      </c>
      <c r="D89" s="262">
        <f t="shared" si="17"/>
        <v>600</v>
      </c>
      <c r="E89" s="196">
        <f t="shared" si="20"/>
        <v>4.6397959183673478</v>
      </c>
      <c r="F89" s="126">
        <f t="shared" si="21"/>
        <v>1</v>
      </c>
      <c r="G89" s="118">
        <f t="shared" si="18"/>
        <v>2783.8775510204086</v>
      </c>
      <c r="H89" s="119">
        <f t="shared" si="19"/>
        <v>2783.8775510204086</v>
      </c>
    </row>
    <row r="90" spans="1:8" x14ac:dyDescent="0.3">
      <c r="A90" s="269" t="s">
        <v>95</v>
      </c>
      <c r="B90" s="122" t="str">
        <f t="shared" si="17"/>
        <v>Salt - ملح</v>
      </c>
      <c r="C90" s="122" t="str">
        <f t="shared" si="17"/>
        <v>gm</v>
      </c>
      <c r="D90" s="262">
        <f t="shared" si="17"/>
        <v>11</v>
      </c>
      <c r="E90" s="196">
        <f t="shared" si="20"/>
        <v>4.6397959183673478</v>
      </c>
      <c r="F90" s="126">
        <f t="shared" si="21"/>
        <v>1</v>
      </c>
      <c r="G90" s="118">
        <f t="shared" si="18"/>
        <v>51.037755102040826</v>
      </c>
      <c r="H90" s="119">
        <f t="shared" si="19"/>
        <v>51.037755102040826</v>
      </c>
    </row>
    <row r="91" spans="1:8" x14ac:dyDescent="0.3">
      <c r="A91" s="269" t="s">
        <v>95</v>
      </c>
      <c r="B91" s="122" t="str">
        <f t="shared" si="17"/>
        <v>Black Pepper Powder - فلفل أسود مطحون</v>
      </c>
      <c r="C91" s="122" t="str">
        <f t="shared" si="17"/>
        <v>gm</v>
      </c>
      <c r="D91" s="262">
        <f t="shared" si="17"/>
        <v>5</v>
      </c>
      <c r="E91" s="196">
        <f t="shared" si="20"/>
        <v>4.6397959183673478</v>
      </c>
      <c r="F91" s="126">
        <f t="shared" si="21"/>
        <v>1</v>
      </c>
      <c r="G91" s="118">
        <f t="shared" si="18"/>
        <v>23.198979591836739</v>
      </c>
      <c r="H91" s="119">
        <f t="shared" si="19"/>
        <v>23.198979591836739</v>
      </c>
    </row>
    <row r="92" spans="1:8" x14ac:dyDescent="0.3">
      <c r="A92" s="269" t="s">
        <v>188</v>
      </c>
      <c r="B92" s="122" t="str">
        <f t="shared" si="17"/>
        <v>Corn Starch - نشا ذرة</v>
      </c>
      <c r="C92" s="122" t="str">
        <f t="shared" si="17"/>
        <v>gm</v>
      </c>
      <c r="D92" s="262">
        <f t="shared" si="17"/>
        <v>100</v>
      </c>
      <c r="E92" s="196">
        <f t="shared" si="20"/>
        <v>4.6397959183673478</v>
      </c>
      <c r="F92" s="126">
        <f t="shared" si="21"/>
        <v>0.75</v>
      </c>
      <c r="G92" s="118">
        <f t="shared" si="18"/>
        <v>463.97959183673481</v>
      </c>
      <c r="H92" s="119">
        <f t="shared" si="19"/>
        <v>347.98469387755108</v>
      </c>
    </row>
    <row r="93" spans="1:8" x14ac:dyDescent="0.3">
      <c r="A93" s="269" t="s">
        <v>154</v>
      </c>
      <c r="B93" s="122" t="str">
        <f t="shared" si="17"/>
        <v>Butter - زبدة</v>
      </c>
      <c r="C93" s="122" t="str">
        <f t="shared" si="17"/>
        <v>gm</v>
      </c>
      <c r="D93" s="262">
        <f t="shared" si="17"/>
        <v>50</v>
      </c>
      <c r="E93" s="196">
        <f t="shared" si="20"/>
        <v>4.6397959183673478</v>
      </c>
      <c r="F93" s="126">
        <f t="shared" si="21"/>
        <v>0.75</v>
      </c>
      <c r="G93" s="118">
        <f t="shared" si="18"/>
        <v>231.98979591836741</v>
      </c>
      <c r="H93" s="119">
        <f t="shared" si="19"/>
        <v>173.99234693877554</v>
      </c>
    </row>
    <row r="94" spans="1:8" x14ac:dyDescent="0.3">
      <c r="A94" s="269" t="s">
        <v>215</v>
      </c>
      <c r="B94" s="122" t="str">
        <f t="shared" si="17"/>
        <v>Orange Color - لون برتقالي</v>
      </c>
      <c r="C94" s="122" t="str">
        <f t="shared" si="17"/>
        <v>gm</v>
      </c>
      <c r="D94" s="262">
        <f t="shared" si="17"/>
        <v>2</v>
      </c>
      <c r="E94" s="196">
        <f t="shared" si="20"/>
        <v>4.6397959183673478</v>
      </c>
      <c r="F94" s="126">
        <f t="shared" si="21"/>
        <v>0.75</v>
      </c>
      <c r="G94" s="118">
        <f t="shared" si="18"/>
        <v>9.2795918367346957</v>
      </c>
      <c r="H94" s="119">
        <f t="shared" si="19"/>
        <v>6.9596938775510218</v>
      </c>
    </row>
    <row r="95" spans="1:8" x14ac:dyDescent="0.3">
      <c r="A95" s="269" t="s">
        <v>95</v>
      </c>
      <c r="B95" s="122" t="str">
        <f t="shared" si="17"/>
        <v>Maggi Cubes - مكعبات ماجي</v>
      </c>
      <c r="C95" s="122" t="str">
        <f t="shared" si="17"/>
        <v>gm</v>
      </c>
      <c r="D95" s="262">
        <f t="shared" si="17"/>
        <v>10</v>
      </c>
      <c r="E95" s="196">
        <f t="shared" si="20"/>
        <v>4.6397959183673478</v>
      </c>
      <c r="F95" s="126">
        <f t="shared" si="21"/>
        <v>0.9</v>
      </c>
      <c r="G95" s="118">
        <f t="shared" si="18"/>
        <v>46.397959183673478</v>
      </c>
      <c r="H95" s="119">
        <f t="shared" si="19"/>
        <v>41.758163265306131</v>
      </c>
    </row>
    <row r="96" spans="1:8" x14ac:dyDescent="0.3">
      <c r="A96" s="269" t="s">
        <v>182</v>
      </c>
      <c r="B96" s="122" t="str">
        <f t="shared" si="17"/>
        <v>Honey - عسل</v>
      </c>
      <c r="C96" s="122" t="str">
        <f t="shared" si="17"/>
        <v>gm</v>
      </c>
      <c r="D96" s="262">
        <f t="shared" si="17"/>
        <v>35</v>
      </c>
      <c r="E96" s="196">
        <f t="shared" si="20"/>
        <v>4.6397959183673478</v>
      </c>
      <c r="F96" s="126">
        <f t="shared" si="21"/>
        <v>1</v>
      </c>
      <c r="G96" s="118">
        <f t="shared" si="18"/>
        <v>162.39285714285717</v>
      </c>
      <c r="H96" s="119">
        <f t="shared" si="19"/>
        <v>162.39285714285717</v>
      </c>
    </row>
    <row r="97" spans="1:8" ht="25" x14ac:dyDescent="0.3">
      <c r="A97" s="269" t="s">
        <v>215</v>
      </c>
      <c r="B97" s="122" t="str">
        <f t="shared" si="17"/>
        <v>Saffron yellow color powder - لون صفار زعفران بودر</v>
      </c>
      <c r="C97" s="122" t="str">
        <f t="shared" si="17"/>
        <v>gm</v>
      </c>
      <c r="D97" s="262">
        <f t="shared" si="17"/>
        <v>1</v>
      </c>
      <c r="E97" s="196">
        <f t="shared" si="20"/>
        <v>4.6397959183673478</v>
      </c>
      <c r="F97" s="126">
        <f t="shared" si="21"/>
        <v>1</v>
      </c>
      <c r="G97" s="118">
        <f t="shared" si="18"/>
        <v>4.6397959183673478</v>
      </c>
      <c r="H97" s="119">
        <f t="shared" si="19"/>
        <v>4.6397959183673478</v>
      </c>
    </row>
    <row r="98" spans="1:8" ht="18" x14ac:dyDescent="0.3">
      <c r="A98" s="210"/>
      <c r="B98" s="197" t="s">
        <v>291</v>
      </c>
      <c r="C98" s="199" t="s">
        <v>277</v>
      </c>
      <c r="D98" s="14"/>
      <c r="E98" s="199" t="s">
        <v>292</v>
      </c>
      <c r="F98" s="14"/>
      <c r="G98" s="878" t="s">
        <v>268</v>
      </c>
      <c r="H98" s="878" t="s">
        <v>703</v>
      </c>
    </row>
    <row r="99" spans="1:8" ht="20" x14ac:dyDescent="0.4">
      <c r="A99" s="210"/>
      <c r="B99" s="198">
        <f>$J$54</f>
        <v>0</v>
      </c>
      <c r="C99" s="198">
        <f>E99+G99</f>
        <v>4547.0000000000009</v>
      </c>
      <c r="D99" s="915"/>
      <c r="E99" s="198">
        <f>$D$54*$S$44</f>
        <v>0</v>
      </c>
      <c r="F99" s="919"/>
      <c r="G99" s="198">
        <f>$D$54*$T$44</f>
        <v>4547.0000000000009</v>
      </c>
      <c r="H99" s="198">
        <f>B99+E99</f>
        <v>0</v>
      </c>
    </row>
  </sheetData>
  <mergeCells count="10">
    <mergeCell ref="AK2:AM2"/>
    <mergeCell ref="B82:H82"/>
    <mergeCell ref="B83:H83"/>
    <mergeCell ref="B63:H63"/>
    <mergeCell ref="AE2:AG3"/>
    <mergeCell ref="F2:G3"/>
    <mergeCell ref="R26:U26"/>
    <mergeCell ref="B62:H62"/>
    <mergeCell ref="R25:U25"/>
    <mergeCell ref="B35:F35"/>
  </mergeCells>
  <printOptions horizontalCentered="1"/>
  <pageMargins left="0.5" right="0.5" top="1" bottom="0.5" header="0.3" footer="0.511811023622047"/>
  <pageSetup paperSize="9" scale="31" orientation="portrait" r:id="rId1"/>
  <legacy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tabColor theme="6" tint="-0.249977111117893"/>
    <pageSetUpPr fitToPage="1"/>
  </sheetPr>
  <dimension ref="A1:AG130"/>
  <sheetViews>
    <sheetView zoomScale="70" zoomScaleNormal="70" workbookViewId="0">
      <selection activeCell="T95" sqref="T95"/>
    </sheetView>
  </sheetViews>
  <sheetFormatPr defaultColWidth="12.5" defaultRowHeight="14" x14ac:dyDescent="0.3"/>
  <cols>
    <col min="1" max="1" width="12.5" style="1" customWidth="1"/>
    <col min="2" max="2" width="32.25" customWidth="1"/>
    <col min="3" max="3" width="23.9140625" customWidth="1"/>
    <col min="4" max="4" width="19" customWidth="1"/>
    <col min="5" max="5" width="16.1640625" customWidth="1"/>
    <col min="6" max="6" width="23.08203125" customWidth="1"/>
    <col min="7" max="7" width="25.1640625" customWidth="1"/>
    <col min="8" max="8" width="36.1640625" customWidth="1"/>
    <col min="12" max="12" width="8.33203125" customWidth="1"/>
    <col min="13" max="13" width="31.5" customWidth="1"/>
    <col min="18" max="18" width="30.5" customWidth="1"/>
  </cols>
  <sheetData>
    <row r="1" spans="1:33" ht="36.75" customHeight="1" x14ac:dyDescent="0.3">
      <c r="B1" s="79" t="s">
        <v>235</v>
      </c>
      <c r="C1" s="80">
        <v>1000</v>
      </c>
      <c r="D1" s="81" t="s">
        <v>236</v>
      </c>
      <c r="E1" s="116">
        <f>T32</f>
        <v>18796</v>
      </c>
      <c r="F1" s="79" t="s">
        <v>237</v>
      </c>
      <c r="G1" s="619">
        <f>(E1/C1)</f>
        <v>18.795999999999999</v>
      </c>
      <c r="H1" s="79" t="s">
        <v>238</v>
      </c>
      <c r="I1" s="248">
        <f>(G1/K1)</f>
        <v>19.179591836734694</v>
      </c>
      <c r="J1" s="85" t="s">
        <v>239</v>
      </c>
      <c r="K1" s="80">
        <v>0.98</v>
      </c>
      <c r="L1" s="99"/>
      <c r="M1" s="657"/>
      <c r="N1" s="89"/>
      <c r="O1" s="90" t="s">
        <v>240</v>
      </c>
      <c r="P1" s="99"/>
      <c r="Q1" s="92" t="s">
        <v>533</v>
      </c>
      <c r="R1" s="14">
        <v>2.5</v>
      </c>
      <c r="Y1" s="90" t="s">
        <v>463</v>
      </c>
      <c r="Z1" s="835">
        <v>46490</v>
      </c>
      <c r="AA1" s="90" t="s">
        <v>578</v>
      </c>
      <c r="AB1" s="835">
        <v>500</v>
      </c>
      <c r="AC1" s="90" t="s">
        <v>567</v>
      </c>
      <c r="AD1" s="835">
        <v>324</v>
      </c>
    </row>
    <row r="2" spans="1:33" ht="12.75" customHeight="1" x14ac:dyDescent="0.3">
      <c r="A2" s="264"/>
      <c r="B2" s="97"/>
      <c r="C2" s="97"/>
      <c r="D2" s="97"/>
      <c r="E2" s="97"/>
      <c r="F2" s="1443" t="s">
        <v>427</v>
      </c>
      <c r="G2" s="1466"/>
      <c r="H2" s="97"/>
      <c r="I2" s="97"/>
      <c r="J2" s="97"/>
      <c r="K2" s="97"/>
      <c r="L2" s="292"/>
      <c r="M2" s="99"/>
      <c r="N2" s="99"/>
      <c r="O2" s="99"/>
      <c r="P2" s="99"/>
      <c r="Q2" s="99"/>
      <c r="AE2" s="1433"/>
      <c r="AF2" s="1458"/>
      <c r="AG2" s="1458"/>
    </row>
    <row r="3" spans="1:33" ht="12.75" customHeight="1" x14ac:dyDescent="0.3">
      <c r="A3" s="264"/>
      <c r="B3" s="102"/>
      <c r="C3" s="102"/>
      <c r="D3" s="102"/>
      <c r="E3" s="102"/>
      <c r="F3" s="1444"/>
      <c r="G3" s="1444"/>
      <c r="H3" s="102"/>
      <c r="I3" s="102"/>
      <c r="J3" s="102"/>
      <c r="K3" s="102"/>
      <c r="L3" s="292"/>
      <c r="M3" s="99"/>
      <c r="N3" s="99"/>
      <c r="O3" s="99"/>
      <c r="P3" s="99"/>
      <c r="Q3" s="99"/>
      <c r="AE3" s="1458"/>
      <c r="AF3" s="1458"/>
      <c r="AG3" s="1458"/>
    </row>
    <row r="4" spans="1:33" ht="35.25" customHeight="1" x14ac:dyDescent="0.3">
      <c r="A4" s="90" t="s">
        <v>1</v>
      </c>
      <c r="B4" s="90" t="s">
        <v>245</v>
      </c>
      <c r="C4" s="106" t="s">
        <v>246</v>
      </c>
      <c r="D4" s="90" t="s">
        <v>235</v>
      </c>
      <c r="E4" s="107" t="s">
        <v>238</v>
      </c>
      <c r="F4" s="107" t="s">
        <v>247</v>
      </c>
      <c r="G4" s="90" t="s">
        <v>248</v>
      </c>
      <c r="H4" s="330" t="s">
        <v>339</v>
      </c>
      <c r="I4" s="90" t="s">
        <v>250</v>
      </c>
      <c r="J4" s="90" t="s">
        <v>251</v>
      </c>
      <c r="K4" s="90" t="s">
        <v>252</v>
      </c>
      <c r="L4" s="90" t="s">
        <v>253</v>
      </c>
      <c r="M4" s="99"/>
      <c r="N4" s="99"/>
      <c r="O4" s="99"/>
    </row>
    <row r="5" spans="1:33" ht="14.25" customHeight="1" x14ac:dyDescent="0.3">
      <c r="A5" s="265"/>
      <c r="B5" s="400" t="s">
        <v>535</v>
      </c>
      <c r="C5" s="123" t="s">
        <v>14</v>
      </c>
      <c r="D5" s="1004">
        <f>I51/H51</f>
        <v>600</v>
      </c>
      <c r="E5" s="196">
        <f>$I$1</f>
        <v>19.179591836734694</v>
      </c>
      <c r="F5" s="126">
        <v>1</v>
      </c>
      <c r="G5" s="118">
        <f>D5*E5</f>
        <v>11507.755102040817</v>
      </c>
      <c r="H5" s="119">
        <f>G5*F5</f>
        <v>11507.755102040817</v>
      </c>
      <c r="I5" s="80">
        <f>VLOOKUP(B5,All_Ingredients!$A$1:$F$149,6,FALSE())</f>
        <v>1</v>
      </c>
      <c r="J5" s="118">
        <f>VLOOKUP(B5,All_Ingredients!$A$1:$J$149,10,FALSE())</f>
        <v>8.7962962962962958</v>
      </c>
      <c r="K5" s="121">
        <f t="shared" ref="K5" si="0">(H5/I5)/1000</f>
        <v>11.507755102040818</v>
      </c>
      <c r="L5" s="121">
        <f t="shared" ref="L5" si="1">K5*J5</f>
        <v>101.22562358276645</v>
      </c>
      <c r="M5" s="99"/>
      <c r="N5" s="99"/>
      <c r="O5" s="99"/>
    </row>
    <row r="6" spans="1:33" ht="14.25" customHeight="1" x14ac:dyDescent="0.3">
      <c r="A6" s="269" t="s">
        <v>13</v>
      </c>
      <c r="B6" s="113" t="s">
        <v>12</v>
      </c>
      <c r="C6" s="123" t="s">
        <v>14</v>
      </c>
      <c r="D6" s="124">
        <v>150</v>
      </c>
      <c r="E6" s="196">
        <f t="shared" ref="E6:E21" si="2">$I$1</f>
        <v>19.179591836734694</v>
      </c>
      <c r="F6" s="126">
        <v>0.95</v>
      </c>
      <c r="G6" s="118">
        <f t="shared" ref="G6:G17" si="3">D6*E6</f>
        <v>2876.9387755102043</v>
      </c>
      <c r="H6" s="119">
        <f t="shared" ref="H6:H17" si="4">G6*F6</f>
        <v>2733.091836734694</v>
      </c>
      <c r="I6" s="80">
        <f>VLOOKUP(B6,All_Ingredients!$A$1:$F$149,6,FALSE())</f>
        <v>0.9</v>
      </c>
      <c r="J6" s="118">
        <f>VLOOKUP(B6,All_Ingredients!$A$1:$J$149,10,FALSE())</f>
        <v>3</v>
      </c>
      <c r="K6" s="121">
        <f t="shared" ref="K6:K21" si="5">(H6/I6)/1000</f>
        <v>3.0367687074829934</v>
      </c>
      <c r="L6" s="121">
        <f t="shared" ref="L6:L21" si="6">K6*J6</f>
        <v>9.1103061224489803</v>
      </c>
    </row>
    <row r="7" spans="1:33" ht="14.25" customHeight="1" x14ac:dyDescent="0.3">
      <c r="A7" s="269" t="s">
        <v>13</v>
      </c>
      <c r="B7" s="113" t="s">
        <v>762</v>
      </c>
      <c r="C7" s="123" t="s">
        <v>14</v>
      </c>
      <c r="D7" s="124">
        <v>50</v>
      </c>
      <c r="E7" s="196">
        <f t="shared" si="2"/>
        <v>19.179591836734694</v>
      </c>
      <c r="F7" s="126">
        <v>1</v>
      </c>
      <c r="G7" s="118">
        <f t="shared" si="3"/>
        <v>958.9795918367347</v>
      </c>
      <c r="H7" s="119">
        <f t="shared" si="4"/>
        <v>958.9795918367347</v>
      </c>
      <c r="I7" s="80">
        <f>VLOOKUP(B7,All_Ingredients!$A$1:$F$149,6,FALSE())</f>
        <v>1</v>
      </c>
      <c r="J7" s="118">
        <f>VLOOKUP(B7,All_Ingredients!$A$1:$J$149,10,FALSE())</f>
        <v>10.5</v>
      </c>
      <c r="K7" s="121">
        <f t="shared" si="5"/>
        <v>0.95897959183673465</v>
      </c>
      <c r="L7" s="121">
        <f t="shared" si="6"/>
        <v>10.069285714285714</v>
      </c>
    </row>
    <row r="8" spans="1:33" ht="14.25" customHeight="1" x14ac:dyDescent="0.3">
      <c r="A8" s="269" t="s">
        <v>13</v>
      </c>
      <c r="B8" s="113" t="s">
        <v>17</v>
      </c>
      <c r="C8" s="123" t="s">
        <v>14</v>
      </c>
      <c r="D8" s="124">
        <v>250</v>
      </c>
      <c r="E8" s="196">
        <f t="shared" si="2"/>
        <v>19.179591836734694</v>
      </c>
      <c r="F8" s="126">
        <v>1</v>
      </c>
      <c r="G8" s="118">
        <f t="shared" si="3"/>
        <v>4794.8979591836733</v>
      </c>
      <c r="H8" s="119">
        <f t="shared" si="4"/>
        <v>4794.8979591836733</v>
      </c>
      <c r="I8" s="80">
        <f>VLOOKUP(B8,All_Ingredients!$A$1:$F$149,6,FALSE())</f>
        <v>0.98</v>
      </c>
      <c r="J8" s="118">
        <f>VLOOKUP(B8,All_Ingredients!$A$1:$J$149,10,FALSE())</f>
        <v>3.5</v>
      </c>
      <c r="K8" s="121">
        <f t="shared" si="5"/>
        <v>4.8927530195751769</v>
      </c>
      <c r="L8" s="121">
        <f t="shared" si="6"/>
        <v>17.124635568513121</v>
      </c>
    </row>
    <row r="9" spans="1:33" ht="14.25" customHeight="1" x14ac:dyDescent="0.3">
      <c r="A9" s="269" t="s">
        <v>192</v>
      </c>
      <c r="B9" s="113" t="s">
        <v>731</v>
      </c>
      <c r="C9" s="123" t="s">
        <v>14</v>
      </c>
      <c r="D9" s="627">
        <v>300</v>
      </c>
      <c r="E9" s="196">
        <f t="shared" si="2"/>
        <v>19.179591836734694</v>
      </c>
      <c r="F9" s="126">
        <v>1</v>
      </c>
      <c r="G9" s="118">
        <f t="shared" si="3"/>
        <v>5753.8775510204086</v>
      </c>
      <c r="H9" s="119">
        <f t="shared" si="4"/>
        <v>5753.8775510204086</v>
      </c>
      <c r="I9" s="80">
        <f>VLOOKUP(B9,All_Ingredients!$A$1:$F$149,6,FALSE())</f>
        <v>1</v>
      </c>
      <c r="J9" s="118">
        <f>VLOOKUP(B9,All_Ingredients!$A$1:$J$149,10,FALSE())</f>
        <v>8.1520833333333336</v>
      </c>
      <c r="K9" s="121">
        <f t="shared" si="5"/>
        <v>5.753877551020409</v>
      </c>
      <c r="L9" s="121">
        <f t="shared" si="6"/>
        <v>46.906089285714295</v>
      </c>
    </row>
    <row r="10" spans="1:33" ht="14.25" customHeight="1" x14ac:dyDescent="0.3">
      <c r="A10" s="269" t="s">
        <v>95</v>
      </c>
      <c r="B10" s="113" t="s">
        <v>111</v>
      </c>
      <c r="C10" s="123" t="s">
        <v>14</v>
      </c>
      <c r="D10" s="124">
        <v>2</v>
      </c>
      <c r="E10" s="196">
        <f t="shared" si="2"/>
        <v>19.179591836734694</v>
      </c>
      <c r="F10" s="126">
        <v>0.75</v>
      </c>
      <c r="G10" s="118">
        <f t="shared" si="3"/>
        <v>38.359183673469389</v>
      </c>
      <c r="H10" s="119">
        <f t="shared" si="4"/>
        <v>28.769387755102041</v>
      </c>
      <c r="I10" s="80">
        <f>VLOOKUP(B10,All_Ingredients!$A$1:$F$149,6,FALSE())</f>
        <v>1</v>
      </c>
      <c r="J10" s="118">
        <f>VLOOKUP(B10,All_Ingredients!$A$1:$J$149,10,FALSE())</f>
        <v>64.243759177679877</v>
      </c>
      <c r="K10" s="121">
        <f t="shared" si="5"/>
        <v>2.876938775510204E-2</v>
      </c>
      <c r="L10" s="121">
        <f t="shared" si="6"/>
        <v>1.8482536186280678</v>
      </c>
    </row>
    <row r="11" spans="1:33" ht="14.25" customHeight="1" x14ac:dyDescent="0.3">
      <c r="A11" s="269" t="s">
        <v>81</v>
      </c>
      <c r="B11" s="113" t="s">
        <v>83</v>
      </c>
      <c r="C11" s="123" t="s">
        <v>14</v>
      </c>
      <c r="D11" s="122">
        <v>1</v>
      </c>
      <c r="E11" s="196">
        <f t="shared" si="2"/>
        <v>19.179591836734694</v>
      </c>
      <c r="F11" s="126">
        <v>0.75</v>
      </c>
      <c r="G11" s="118">
        <f t="shared" si="3"/>
        <v>19.179591836734694</v>
      </c>
      <c r="H11" s="119">
        <f t="shared" si="4"/>
        <v>14.384693877551021</v>
      </c>
      <c r="I11" s="80">
        <f>VLOOKUP(B11,All_Ingredients!$A$1:$F$149,6,FALSE())</f>
        <v>1</v>
      </c>
      <c r="J11" s="118">
        <f>VLOOKUP(B11,All_Ingredients!$A$1:$J$149,10,FALSE())</f>
        <v>147.88732394366198</v>
      </c>
      <c r="K11" s="121">
        <f t="shared" si="5"/>
        <v>1.438469387755102E-2</v>
      </c>
      <c r="L11" s="121">
        <f t="shared" si="6"/>
        <v>2.1273138832997991</v>
      </c>
    </row>
    <row r="12" spans="1:33" ht="14.25" customHeight="1" x14ac:dyDescent="0.3">
      <c r="A12" s="269" t="s">
        <v>81</v>
      </c>
      <c r="B12" s="113" t="s">
        <v>85</v>
      </c>
      <c r="C12" s="123" t="s">
        <v>14</v>
      </c>
      <c r="D12" s="122">
        <v>1</v>
      </c>
      <c r="E12" s="196">
        <f t="shared" si="2"/>
        <v>19.179591836734694</v>
      </c>
      <c r="F12" s="126">
        <v>0.75</v>
      </c>
      <c r="G12" s="118">
        <f t="shared" si="3"/>
        <v>19.179591836734694</v>
      </c>
      <c r="H12" s="119">
        <f t="shared" si="4"/>
        <v>14.384693877551021</v>
      </c>
      <c r="I12" s="80">
        <f>VLOOKUP(B12,All_Ingredients!$A$1:$F$149,6,FALSE())</f>
        <v>1</v>
      </c>
      <c r="J12" s="118">
        <f>VLOOKUP(B12,All_Ingredients!$A$1:$J$149,10,FALSE())</f>
        <v>140.84507042253523</v>
      </c>
      <c r="K12" s="121">
        <f t="shared" si="5"/>
        <v>1.438469387755102E-2</v>
      </c>
      <c r="L12" s="121">
        <f t="shared" si="6"/>
        <v>2.0260132221902847</v>
      </c>
    </row>
    <row r="13" spans="1:33" ht="14.25" customHeight="1" x14ac:dyDescent="0.3">
      <c r="A13" s="269" t="s">
        <v>95</v>
      </c>
      <c r="B13" s="113" t="s">
        <v>94</v>
      </c>
      <c r="C13" s="123" t="s">
        <v>14</v>
      </c>
      <c r="D13" s="122">
        <v>11</v>
      </c>
      <c r="E13" s="196">
        <f t="shared" si="2"/>
        <v>19.179591836734694</v>
      </c>
      <c r="F13" s="126">
        <v>0.75</v>
      </c>
      <c r="G13" s="118">
        <f t="shared" si="3"/>
        <v>210.97551020408164</v>
      </c>
      <c r="H13" s="119">
        <f t="shared" si="4"/>
        <v>158.23163265306124</v>
      </c>
      <c r="I13" s="80">
        <f>VLOOKUP(B13,All_Ingredients!$A$1:$F$149,6,FALSE())</f>
        <v>1</v>
      </c>
      <c r="J13" s="118">
        <f>VLOOKUP(B13,All_Ingredients!$A$1:$J$149,10,FALSE())</f>
        <v>0.74</v>
      </c>
      <c r="K13" s="121">
        <f t="shared" si="5"/>
        <v>0.15823163265306123</v>
      </c>
      <c r="L13" s="121">
        <f t="shared" si="6"/>
        <v>0.11709140816326531</v>
      </c>
      <c r="R13" t="s">
        <v>521</v>
      </c>
    </row>
    <row r="14" spans="1:33" ht="14.25" customHeight="1" x14ac:dyDescent="0.3">
      <c r="A14" s="269" t="s">
        <v>13</v>
      </c>
      <c r="B14" s="113" t="s">
        <v>787</v>
      </c>
      <c r="C14" s="123" t="s">
        <v>14</v>
      </c>
      <c r="D14" s="122">
        <v>140</v>
      </c>
      <c r="E14" s="196">
        <f t="shared" si="2"/>
        <v>19.179591836734694</v>
      </c>
      <c r="F14" s="126">
        <v>1</v>
      </c>
      <c r="G14" s="118">
        <f t="shared" si="3"/>
        <v>2685.1428571428573</v>
      </c>
      <c r="H14" s="119">
        <f t="shared" si="4"/>
        <v>2685.1428571428573</v>
      </c>
      <c r="I14" s="80">
        <f>VLOOKUP(B14,All_Ingredients!$A$1:$F$149,6,FALSE())</f>
        <v>1</v>
      </c>
      <c r="J14" s="118">
        <f>VLOOKUP(B14,All_Ingredients!$A$1:$J$149,10,FALSE())</f>
        <v>80</v>
      </c>
      <c r="K14" s="121">
        <f t="shared" si="5"/>
        <v>2.6851428571428575</v>
      </c>
      <c r="L14" s="121">
        <f t="shared" si="6"/>
        <v>214.81142857142859</v>
      </c>
      <c r="R14" t="s">
        <v>519</v>
      </c>
    </row>
    <row r="15" spans="1:33" ht="14.25" customHeight="1" x14ac:dyDescent="0.3">
      <c r="A15" s="269" t="s">
        <v>215</v>
      </c>
      <c r="B15" s="113" t="s">
        <v>216</v>
      </c>
      <c r="C15" s="123" t="s">
        <v>14</v>
      </c>
      <c r="D15" s="124">
        <v>2</v>
      </c>
      <c r="E15" s="196">
        <f t="shared" si="2"/>
        <v>19.179591836734694</v>
      </c>
      <c r="F15" s="126">
        <v>0.75</v>
      </c>
      <c r="G15" s="118">
        <f t="shared" si="3"/>
        <v>38.359183673469389</v>
      </c>
      <c r="H15" s="119">
        <f t="shared" si="4"/>
        <v>28.769387755102041</v>
      </c>
      <c r="I15" s="80">
        <f>VLOOKUP(B15,All_Ingredients!$A$1:$F$149,6,FALSE())</f>
        <v>1</v>
      </c>
      <c r="J15" s="118">
        <f>VLOOKUP(B15,All_Ingredients!$A$1:$J$149,10,FALSE())</f>
        <v>35</v>
      </c>
      <c r="K15" s="121">
        <f t="shared" si="5"/>
        <v>2.876938775510204E-2</v>
      </c>
      <c r="L15" s="121">
        <f t="shared" si="6"/>
        <v>1.0069285714285714</v>
      </c>
      <c r="R15" t="s">
        <v>520</v>
      </c>
    </row>
    <row r="16" spans="1:33" ht="14.25" customHeight="1" x14ac:dyDescent="0.3">
      <c r="A16" s="269" t="s">
        <v>182</v>
      </c>
      <c r="B16" s="113" t="s">
        <v>185</v>
      </c>
      <c r="C16" s="123" t="s">
        <v>14</v>
      </c>
      <c r="D16" s="122">
        <v>25</v>
      </c>
      <c r="E16" s="196">
        <f t="shared" si="2"/>
        <v>19.179591836734694</v>
      </c>
      <c r="F16" s="126">
        <v>1</v>
      </c>
      <c r="G16" s="118">
        <f t="shared" si="3"/>
        <v>479.48979591836735</v>
      </c>
      <c r="H16" s="119">
        <f t="shared" si="4"/>
        <v>479.48979591836735</v>
      </c>
      <c r="I16" s="80">
        <f>VLOOKUP(B16,All_Ingredients!$A$1:$F$149,6,FALSE())</f>
        <v>1</v>
      </c>
      <c r="J16" s="118">
        <f>VLOOKUP(B16,All_Ingredients!$A$1:$J$149,10,FALSE())</f>
        <v>17</v>
      </c>
      <c r="K16" s="121">
        <f t="shared" si="5"/>
        <v>0.47948979591836732</v>
      </c>
      <c r="L16" s="121">
        <f t="shared" si="6"/>
        <v>8.1513265306122449</v>
      </c>
    </row>
    <row r="17" spans="1:30" ht="14.25" customHeight="1" x14ac:dyDescent="0.35">
      <c r="A17" s="269" t="s">
        <v>192</v>
      </c>
      <c r="B17" s="113" t="s">
        <v>200</v>
      </c>
      <c r="C17" s="992" t="s">
        <v>161</v>
      </c>
      <c r="D17" s="122">
        <v>40</v>
      </c>
      <c r="E17" s="196">
        <f t="shared" si="2"/>
        <v>19.179591836734694</v>
      </c>
      <c r="F17" s="126">
        <v>1</v>
      </c>
      <c r="G17" s="118">
        <f t="shared" si="3"/>
        <v>767.18367346938771</v>
      </c>
      <c r="H17" s="119">
        <f t="shared" si="4"/>
        <v>767.18367346938771</v>
      </c>
      <c r="I17" s="80">
        <f>VLOOKUP(B17,All_Ingredients!$A$1:$F$149,6,FALSE())</f>
        <v>1</v>
      </c>
      <c r="J17" s="118">
        <f>VLOOKUP(B17,All_Ingredients!$A$1:$J$149,10,FALSE())</f>
        <v>3.25</v>
      </c>
      <c r="K17" s="121">
        <f t="shared" si="5"/>
        <v>0.76718367346938776</v>
      </c>
      <c r="L17" s="121">
        <f t="shared" si="6"/>
        <v>2.4933469387755101</v>
      </c>
    </row>
    <row r="18" spans="1:30" ht="14.25" customHeight="1" x14ac:dyDescent="0.3">
      <c r="A18" s="269"/>
      <c r="B18" s="113" t="s">
        <v>153</v>
      </c>
      <c r="C18" s="123" t="s">
        <v>14</v>
      </c>
      <c r="D18" s="122">
        <v>30</v>
      </c>
      <c r="E18" s="196">
        <f t="shared" si="2"/>
        <v>19.179591836734694</v>
      </c>
      <c r="F18" s="126">
        <v>1</v>
      </c>
      <c r="G18" s="118">
        <f>D18*E18</f>
        <v>575.38775510204084</v>
      </c>
      <c r="H18" s="119">
        <f>G18*F18</f>
        <v>575.38775510204084</v>
      </c>
      <c r="I18" s="80">
        <f>VLOOKUP(B18,All_Ingredients!$A$1:$F$149,6,FALSE())</f>
        <v>1</v>
      </c>
      <c r="J18" s="118">
        <f>VLOOKUP(B18,All_Ingredients!$A$1:$J$149,10,FALSE())</f>
        <v>30</v>
      </c>
      <c r="K18" s="121">
        <f t="shared" si="5"/>
        <v>0.57538775510204088</v>
      </c>
      <c r="L18" s="121">
        <f t="shared" si="6"/>
        <v>17.261632653061227</v>
      </c>
    </row>
    <row r="19" spans="1:30" ht="14.25" customHeight="1" x14ac:dyDescent="0.3">
      <c r="A19" s="269"/>
      <c r="B19" s="113" t="s">
        <v>100</v>
      </c>
      <c r="C19" s="123" t="s">
        <v>14</v>
      </c>
      <c r="D19" s="122">
        <v>3</v>
      </c>
      <c r="E19" s="196">
        <f t="shared" si="2"/>
        <v>19.179591836734694</v>
      </c>
      <c r="F19" s="126">
        <v>1</v>
      </c>
      <c r="G19" s="118">
        <f>D19*E19</f>
        <v>57.538775510204083</v>
      </c>
      <c r="H19" s="119">
        <f>G19*F19</f>
        <v>57.538775510204083</v>
      </c>
      <c r="I19" s="80">
        <f>VLOOKUP(B19,All_Ingredients!$A$1:$F$149,6,FALSE())</f>
        <v>1</v>
      </c>
      <c r="J19" s="118">
        <f>VLOOKUP(B19,All_Ingredients!$A$1:$J$149,10,FALSE())</f>
        <v>31</v>
      </c>
      <c r="K19" s="121">
        <f t="shared" si="5"/>
        <v>5.7538775510204081E-2</v>
      </c>
      <c r="L19" s="121">
        <f t="shared" si="6"/>
        <v>1.7837020408163264</v>
      </c>
    </row>
    <row r="20" spans="1:30" ht="14.25" customHeight="1" x14ac:dyDescent="0.3">
      <c r="A20" s="269"/>
      <c r="B20" s="113" t="s">
        <v>213</v>
      </c>
      <c r="C20" s="123" t="s">
        <v>14</v>
      </c>
      <c r="D20" s="122">
        <v>5</v>
      </c>
      <c r="E20" s="196">
        <f t="shared" si="2"/>
        <v>19.179591836734694</v>
      </c>
      <c r="F20" s="126">
        <v>1</v>
      </c>
      <c r="G20" s="118">
        <f>D20*E20</f>
        <v>95.897959183673464</v>
      </c>
      <c r="H20" s="119">
        <f>G20*F20</f>
        <v>95.897959183673464</v>
      </c>
      <c r="I20" s="80">
        <f>VLOOKUP(B20,All_Ingredients!$A$1:$F$149,6,FALSE())</f>
        <v>1</v>
      </c>
      <c r="J20" s="118">
        <f>VLOOKUP(B20,All_Ingredients!$A$1:$J$149,10,FALSE())</f>
        <v>15.5</v>
      </c>
      <c r="K20" s="121">
        <f t="shared" si="5"/>
        <v>9.589795918367347E-2</v>
      </c>
      <c r="L20" s="121">
        <f t="shared" si="6"/>
        <v>1.4864183673469389</v>
      </c>
    </row>
    <row r="21" spans="1:30" ht="14.25" customHeight="1" x14ac:dyDescent="0.3">
      <c r="A21" s="269"/>
      <c r="B21" s="113" t="s">
        <v>94</v>
      </c>
      <c r="C21" s="123" t="s">
        <v>14</v>
      </c>
      <c r="D21" s="122">
        <v>5</v>
      </c>
      <c r="E21" s="196">
        <f t="shared" si="2"/>
        <v>19.179591836734694</v>
      </c>
      <c r="F21" s="126">
        <v>1</v>
      </c>
      <c r="G21" s="118">
        <f>D21*E21</f>
        <v>95.897959183673464</v>
      </c>
      <c r="H21" s="119">
        <f>G21*F21</f>
        <v>95.897959183673464</v>
      </c>
      <c r="I21" s="80">
        <f>VLOOKUP(B21,All_Ingredients!$A$1:$F$149,6,FALSE())</f>
        <v>1</v>
      </c>
      <c r="J21" s="118">
        <f>VLOOKUP(B21,All_Ingredients!$A$1:$J$149,10,FALSE())</f>
        <v>0.74</v>
      </c>
      <c r="K21" s="121">
        <f t="shared" si="5"/>
        <v>9.589795918367347E-2</v>
      </c>
      <c r="L21" s="121">
        <f t="shared" si="6"/>
        <v>7.0964489795918365E-2</v>
      </c>
    </row>
    <row r="22" spans="1:30" ht="14.25" customHeight="1" x14ac:dyDescent="0.3">
      <c r="B22" s="131"/>
      <c r="C22" s="132"/>
      <c r="D22" s="131"/>
      <c r="E22" s="295"/>
      <c r="F22" s="135"/>
      <c r="G22" s="136"/>
      <c r="H22" s="137"/>
      <c r="I22" s="91"/>
      <c r="J22" s="136"/>
      <c r="K22" s="130"/>
      <c r="L22" s="130"/>
    </row>
    <row r="23" spans="1:30" ht="14.25" customHeight="1" x14ac:dyDescent="0.3">
      <c r="B23" s="131"/>
      <c r="C23" s="132"/>
      <c r="D23" s="131"/>
      <c r="E23" s="295"/>
      <c r="F23" s="135"/>
      <c r="G23" s="136"/>
      <c r="H23" s="137"/>
      <c r="I23" s="91"/>
      <c r="J23" s="136"/>
      <c r="K23" s="130"/>
      <c r="L23" s="130"/>
    </row>
    <row r="24" spans="1:30" ht="14.25" customHeight="1" x14ac:dyDescent="0.3">
      <c r="B24" s="131"/>
      <c r="C24" s="132"/>
      <c r="D24" s="131"/>
      <c r="E24" s="295"/>
      <c r="F24" s="135"/>
      <c r="G24" s="136"/>
      <c r="H24" s="137"/>
      <c r="I24" s="91"/>
      <c r="J24" s="136"/>
      <c r="K24" s="130"/>
      <c r="L24" s="130"/>
      <c r="Z24" s="1265"/>
    </row>
    <row r="25" spans="1:30" ht="14.25" customHeight="1" x14ac:dyDescent="0.35">
      <c r="E25" s="99"/>
      <c r="F25" s="99"/>
      <c r="L25" s="208"/>
      <c r="R25" s="1440" t="s">
        <v>427</v>
      </c>
      <c r="S25" s="1444"/>
      <c r="T25" s="1444"/>
      <c r="U25" s="1444"/>
      <c r="Z25" s="140" t="s">
        <v>256</v>
      </c>
      <c r="AA25" s="141">
        <v>1</v>
      </c>
      <c r="AB25" s="140" t="s">
        <v>253</v>
      </c>
      <c r="AC25" s="142">
        <f>AC30*AA25</f>
        <v>8.8746040225208545E-3</v>
      </c>
      <c r="AD25" s="14"/>
    </row>
    <row r="26" spans="1:30" ht="14.25" customHeight="1" x14ac:dyDescent="0.3">
      <c r="L26" s="208"/>
      <c r="R26" s="1445" t="s">
        <v>365</v>
      </c>
      <c r="S26" s="1446"/>
      <c r="T26" s="1446"/>
      <c r="U26" s="1446"/>
      <c r="Z26" s="14"/>
      <c r="AA26" s="14"/>
      <c r="AB26" s="14"/>
      <c r="AC26" s="14"/>
      <c r="AD26" s="14"/>
    </row>
    <row r="27" spans="1:30" ht="14.25" customHeight="1" x14ac:dyDescent="0.3">
      <c r="L27" s="208"/>
      <c r="R27" s="144" t="s">
        <v>258</v>
      </c>
      <c r="S27" s="145" t="s">
        <v>356</v>
      </c>
      <c r="T27" s="145" t="s">
        <v>260</v>
      </c>
      <c r="U27" s="145" t="s">
        <v>261</v>
      </c>
      <c r="Z27" s="140" t="s">
        <v>262</v>
      </c>
      <c r="AA27" s="146" t="s">
        <v>356</v>
      </c>
      <c r="AB27" s="146" t="s">
        <v>264</v>
      </c>
      <c r="AC27" s="146" t="s">
        <v>266</v>
      </c>
    </row>
    <row r="28" spans="1:30" ht="14.25" customHeight="1" x14ac:dyDescent="0.3">
      <c r="L28" s="208"/>
      <c r="R28" s="147" t="s">
        <v>267</v>
      </c>
      <c r="S28" s="754">
        <f>U28*S40</f>
        <v>27894</v>
      </c>
      <c r="T28" s="754">
        <f>U28*U40</f>
        <v>18596</v>
      </c>
      <c r="U28" s="1344">
        <f>$Z$1</f>
        <v>46490</v>
      </c>
      <c r="Z28" s="150"/>
      <c r="AA28" s="151">
        <f>AA25*$S$40</f>
        <v>0.6</v>
      </c>
      <c r="AB28" s="151">
        <f>AA25*$U$40</f>
        <v>0.4</v>
      </c>
      <c r="AC28" s="153">
        <f>SUM(AA28:AB28)</f>
        <v>1</v>
      </c>
    </row>
    <row r="29" spans="1:30" ht="14.25" customHeight="1" x14ac:dyDescent="0.3">
      <c r="L29" s="208"/>
      <c r="R29" s="147" t="s">
        <v>268</v>
      </c>
      <c r="S29" s="756"/>
      <c r="T29" s="754"/>
      <c r="U29" s="148">
        <f>T29</f>
        <v>0</v>
      </c>
      <c r="Z29" s="150"/>
      <c r="AA29" s="155">
        <f>AA28/$AC$28</f>
        <v>0.6</v>
      </c>
      <c r="AB29" s="155">
        <f>AB28/$AC$28</f>
        <v>0.4</v>
      </c>
      <c r="AC29" s="155">
        <f>AC28/$AC$28</f>
        <v>1</v>
      </c>
    </row>
    <row r="30" spans="1:30" ht="14.25" customHeight="1" x14ac:dyDescent="0.3">
      <c r="L30" s="208"/>
      <c r="R30" s="147" t="s">
        <v>269</v>
      </c>
      <c r="S30" s="756">
        <f>U30*S40</f>
        <v>300</v>
      </c>
      <c r="T30" s="756">
        <f>U30*U40</f>
        <v>200</v>
      </c>
      <c r="U30" s="1329">
        <f>$AB$1</f>
        <v>500</v>
      </c>
      <c r="Z30" s="140" t="s">
        <v>270</v>
      </c>
      <c r="AA30" s="156">
        <f>S35/(S32)</f>
        <v>3.5903250188964475E-3</v>
      </c>
      <c r="AB30" s="157">
        <f>T35/T32</f>
        <v>1.6801022527957461E-2</v>
      </c>
      <c r="AC30" s="158">
        <f>SUMPRODUCT(AA30:AB30,AA29:AB29)</f>
        <v>8.8746040225208545E-3</v>
      </c>
    </row>
    <row r="31" spans="1:30" ht="14.25" customHeight="1" x14ac:dyDescent="0.3">
      <c r="L31" s="208"/>
      <c r="R31" s="147" t="s">
        <v>271</v>
      </c>
      <c r="S31" s="154"/>
      <c r="T31" s="148"/>
      <c r="U31" s="148"/>
    </row>
    <row r="32" spans="1:30" ht="14.25" customHeight="1" x14ac:dyDescent="0.3">
      <c r="B32" s="99"/>
      <c r="E32" s="99"/>
      <c r="F32" s="99"/>
      <c r="L32" s="208"/>
      <c r="R32" s="159" t="s">
        <v>261</v>
      </c>
      <c r="S32" s="148">
        <f>SUM(S28:S30)</f>
        <v>28194</v>
      </c>
      <c r="T32" s="148">
        <f>SUM(T28:T30)</f>
        <v>18796</v>
      </c>
      <c r="U32" s="148">
        <f>SUM(U28:U30)</f>
        <v>46990</v>
      </c>
    </row>
    <row r="33" spans="2:23" ht="14.25" customHeight="1" x14ac:dyDescent="0.3">
      <c r="B33" s="99"/>
      <c r="E33" s="99"/>
      <c r="F33" s="99"/>
      <c r="L33" s="208"/>
      <c r="R33" s="160" t="s">
        <v>272</v>
      </c>
      <c r="S33" s="154"/>
      <c r="T33" s="154"/>
      <c r="U33" s="154"/>
    </row>
    <row r="34" spans="2:23" ht="14.25" customHeight="1" x14ac:dyDescent="0.3">
      <c r="B34" s="99"/>
      <c r="E34" s="99"/>
      <c r="F34" s="99"/>
      <c r="R34" s="161" t="s">
        <v>273</v>
      </c>
      <c r="S34" s="154"/>
      <c r="T34" s="148"/>
      <c r="U34" s="154"/>
    </row>
    <row r="35" spans="2:23" ht="14.25" customHeight="1" x14ac:dyDescent="0.3">
      <c r="B35" s="99"/>
      <c r="E35" s="99"/>
      <c r="F35" s="99"/>
      <c r="R35" s="162" t="s">
        <v>253</v>
      </c>
      <c r="S35" s="1125">
        <f>$L$5</f>
        <v>101.22562358276645</v>
      </c>
      <c r="T35" s="1125">
        <f>SUM(L6:L17)</f>
        <v>315.79201943548844</v>
      </c>
      <c r="U35" s="1125">
        <f>S35+T35</f>
        <v>417.01764301825489</v>
      </c>
    </row>
    <row r="36" spans="2:23" x14ac:dyDescent="0.3">
      <c r="B36" s="99"/>
      <c r="E36" s="99"/>
      <c r="F36" s="99"/>
    </row>
    <row r="37" spans="2:23" x14ac:dyDescent="0.3">
      <c r="B37" s="99"/>
      <c r="C37" s="99"/>
      <c r="E37" s="99"/>
      <c r="F37" s="99"/>
      <c r="M37" s="638"/>
      <c r="N37" s="638"/>
    </row>
    <row r="38" spans="2:23" x14ac:dyDescent="0.3">
      <c r="B38" s="99"/>
      <c r="C38" s="99"/>
      <c r="E38" s="99"/>
      <c r="F38" s="99"/>
    </row>
    <row r="39" spans="2:23" x14ac:dyDescent="0.3">
      <c r="B39" s="99"/>
      <c r="E39" s="99"/>
      <c r="F39" s="99"/>
    </row>
    <row r="40" spans="2:23" ht="52" x14ac:dyDescent="0.3">
      <c r="B40" s="99"/>
      <c r="E40" s="99"/>
      <c r="F40" s="99"/>
      <c r="Q40" s="14"/>
      <c r="R40" s="164" t="s">
        <v>274</v>
      </c>
      <c r="S40" s="165">
        <v>0.6</v>
      </c>
      <c r="T40" s="164" t="s">
        <v>275</v>
      </c>
      <c r="U40" s="166">
        <v>0.4</v>
      </c>
      <c r="V40" s="167">
        <f>S40+U40</f>
        <v>1</v>
      </c>
      <c r="W40" s="14"/>
    </row>
    <row r="41" spans="2:23" x14ac:dyDescent="0.3">
      <c r="B41" s="99"/>
      <c r="E41" s="99"/>
      <c r="F41" s="99"/>
      <c r="Q41" s="14"/>
      <c r="R41" s="14"/>
      <c r="S41" s="14"/>
      <c r="T41" s="14"/>
      <c r="U41" s="168"/>
      <c r="V41" s="14"/>
      <c r="W41" s="14"/>
    </row>
    <row r="42" spans="2:23" x14ac:dyDescent="0.3">
      <c r="B42" s="99"/>
      <c r="E42" s="99"/>
      <c r="F42" s="99"/>
      <c r="Q42" s="14"/>
      <c r="R42" s="14"/>
      <c r="S42" s="14"/>
      <c r="T42" s="14"/>
      <c r="U42" s="14"/>
      <c r="V42" s="14"/>
      <c r="W42" s="14"/>
    </row>
    <row r="43" spans="2:23" x14ac:dyDescent="0.3">
      <c r="Q43" s="169" t="s">
        <v>276</v>
      </c>
      <c r="R43" s="169" t="s">
        <v>277</v>
      </c>
      <c r="S43" s="169" t="s">
        <v>278</v>
      </c>
      <c r="T43" s="169" t="s">
        <v>279</v>
      </c>
      <c r="U43" s="169" t="s">
        <v>280</v>
      </c>
      <c r="V43" s="169" t="s">
        <v>281</v>
      </c>
      <c r="W43" s="257" t="s">
        <v>527</v>
      </c>
    </row>
    <row r="44" spans="2:23" x14ac:dyDescent="0.3">
      <c r="Q44" s="548">
        <v>25000</v>
      </c>
      <c r="R44" s="172">
        <f>D51</f>
        <v>10000</v>
      </c>
      <c r="S44" s="173">
        <v>1</v>
      </c>
      <c r="T44" s="173">
        <v>0</v>
      </c>
      <c r="U44" s="241">
        <f>R44*S44</f>
        <v>10000</v>
      </c>
      <c r="V44" s="175">
        <f>R44*T44</f>
        <v>0</v>
      </c>
      <c r="W44" s="646">
        <f>Q44-U44</f>
        <v>15000</v>
      </c>
    </row>
    <row r="50" spans="1:10" x14ac:dyDescent="0.3">
      <c r="B50" s="144"/>
      <c r="C50" s="144" t="s">
        <v>237</v>
      </c>
      <c r="D50" s="144" t="s">
        <v>283</v>
      </c>
      <c r="E50" s="99"/>
      <c r="F50" s="99"/>
      <c r="G50" s="144" t="s">
        <v>284</v>
      </c>
      <c r="H50" s="144" t="s">
        <v>237</v>
      </c>
      <c r="I50" s="144" t="s">
        <v>526</v>
      </c>
      <c r="J50" s="144" t="s">
        <v>525</v>
      </c>
    </row>
    <row r="51" spans="1:10" x14ac:dyDescent="0.3">
      <c r="B51" s="179" t="s">
        <v>287</v>
      </c>
      <c r="C51" s="180">
        <f>10/$K$1</f>
        <v>10.204081632653061</v>
      </c>
      <c r="D51" s="181">
        <f>$C$1*10</f>
        <v>10000</v>
      </c>
      <c r="E51" s="99"/>
      <c r="F51" s="99"/>
      <c r="G51" s="179" t="s">
        <v>287</v>
      </c>
      <c r="H51" s="276">
        <v>10</v>
      </c>
      <c r="I51" s="180">
        <f>J51/$R$1</f>
        <v>6000</v>
      </c>
      <c r="J51" s="180">
        <f>$W$44</f>
        <v>15000</v>
      </c>
    </row>
    <row r="52" spans="1:10" x14ac:dyDescent="0.3">
      <c r="B52" s="230" t="s">
        <v>266</v>
      </c>
      <c r="C52" s="231">
        <f>$I$1</f>
        <v>19.179591836734694</v>
      </c>
      <c r="D52" s="232">
        <f>$E$1</f>
        <v>18796</v>
      </c>
      <c r="E52" s="99"/>
      <c r="F52" s="99"/>
      <c r="G52" s="147" t="s">
        <v>266</v>
      </c>
      <c r="H52" s="209">
        <f>I52/$D$5</f>
        <v>18.795999999999999</v>
      </c>
      <c r="I52" s="175">
        <f>J52/$R$1</f>
        <v>11277.6</v>
      </c>
      <c r="J52" s="183">
        <f>$S$32</f>
        <v>28194</v>
      </c>
    </row>
    <row r="53" spans="1:10" x14ac:dyDescent="0.3">
      <c r="B53" s="230" t="s">
        <v>288</v>
      </c>
      <c r="C53" s="233">
        <f>MIN(C52, C51)</f>
        <v>10.204081632653061</v>
      </c>
      <c r="D53" s="232">
        <f>(C53*$K$1)*$C$1</f>
        <v>10000</v>
      </c>
      <c r="E53" s="99"/>
      <c r="F53" s="99"/>
      <c r="G53" s="147" t="s">
        <v>288</v>
      </c>
      <c r="H53" s="186">
        <f>MIN(H52,H51)</f>
        <v>10</v>
      </c>
      <c r="I53" s="175">
        <f>J53/$R$1</f>
        <v>6000</v>
      </c>
      <c r="J53" s="175">
        <f>MIN(J52,J51)</f>
        <v>15000</v>
      </c>
    </row>
    <row r="54" spans="1:10" x14ac:dyDescent="0.3">
      <c r="B54" s="230" t="s">
        <v>289</v>
      </c>
      <c r="C54" s="233">
        <f>MIN(MAX(C52-C53,0),C51)</f>
        <v>8.9755102040816332</v>
      </c>
      <c r="D54" s="232">
        <f>(C54*$K$1)*$C$1</f>
        <v>8796.0000000000018</v>
      </c>
      <c r="E54" s="99"/>
      <c r="F54" s="99"/>
      <c r="G54" s="147" t="s">
        <v>289</v>
      </c>
      <c r="H54" s="186">
        <f>MIN(MAX(H52-H53),H51)</f>
        <v>8.7959999999999994</v>
      </c>
      <c r="I54" s="175">
        <f>J54/$R$1</f>
        <v>5277.6</v>
      </c>
      <c r="J54" s="175">
        <f>MIN(MAX(J52-J53),J51)</f>
        <v>13194</v>
      </c>
    </row>
    <row r="55" spans="1:10" x14ac:dyDescent="0.3">
      <c r="B55" s="230" t="s">
        <v>290</v>
      </c>
      <c r="C55" s="233">
        <f>MIN(MAX(C52-C53-C54,0),C51)</f>
        <v>0</v>
      </c>
      <c r="D55" s="232">
        <f>(C55*$K$1)*$C$1</f>
        <v>0</v>
      </c>
      <c r="E55" s="99"/>
      <c r="F55" s="99"/>
      <c r="G55" s="144" t="s">
        <v>290</v>
      </c>
      <c r="H55" s="186">
        <f>MIN(MAX(H52-H53-H54),H51)</f>
        <v>0</v>
      </c>
      <c r="I55" s="175">
        <f>J55/$R$1</f>
        <v>0</v>
      </c>
      <c r="J55" s="175">
        <f>MIN(MAX(J52-J53-J54),J51)</f>
        <v>0</v>
      </c>
    </row>
    <row r="62" spans="1:10" ht="18" x14ac:dyDescent="0.3">
      <c r="A62" s="923"/>
      <c r="B62" s="1438" t="str">
        <f>"لسان العصفور 1 / " &amp; COUNTIF($C$53:$C$55, "&gt;0")</f>
        <v>لسان العصفور 1 / 2</v>
      </c>
      <c r="C62" s="1438"/>
      <c r="D62" s="1438"/>
      <c r="E62" s="1438"/>
      <c r="F62" s="1438"/>
      <c r="G62" s="1438"/>
      <c r="H62" s="1438"/>
    </row>
    <row r="63" spans="1:10" ht="17.75" customHeight="1" x14ac:dyDescent="0.3">
      <c r="A63" s="923"/>
      <c r="B63" s="1436" t="str">
        <f>"Orzo Pasta 1 / " &amp; COUNTIF($C$53:$C$55, "&gt;0")</f>
        <v>Orzo Pasta 1 / 2</v>
      </c>
      <c r="C63" s="1436"/>
      <c r="D63" s="1436"/>
      <c r="E63" s="1436"/>
      <c r="F63" s="1436"/>
      <c r="G63" s="1436"/>
      <c r="H63" s="1436"/>
    </row>
    <row r="64" spans="1:10" ht="53" customHeight="1" x14ac:dyDescent="0.3">
      <c r="A64" s="90"/>
      <c r="B64" s="90" t="s">
        <v>245</v>
      </c>
      <c r="C64" s="106" t="s">
        <v>246</v>
      </c>
      <c r="D64" s="90" t="s">
        <v>235</v>
      </c>
      <c r="E64" s="217" t="s">
        <v>238</v>
      </c>
      <c r="F64" s="107" t="s">
        <v>247</v>
      </c>
      <c r="G64" s="90" t="s">
        <v>248</v>
      </c>
      <c r="H64" s="217" t="s">
        <v>249</v>
      </c>
    </row>
    <row r="65" spans="1:8" ht="25.5" customHeight="1" x14ac:dyDescent="0.3">
      <c r="A65" s="269" t="s">
        <v>13</v>
      </c>
      <c r="B65" s="122" t="str">
        <f t="shared" ref="B65:D81" si="7">B5</f>
        <v>Pasta Orzo - مكرونة لسان عصفور</v>
      </c>
      <c r="C65" s="122" t="str">
        <f t="shared" si="7"/>
        <v>gm</v>
      </c>
      <c r="D65" s="122">
        <f t="shared" si="7"/>
        <v>600</v>
      </c>
      <c r="E65" s="196">
        <f>H53</f>
        <v>10</v>
      </c>
      <c r="F65" s="126">
        <f t="shared" ref="F65:F81" si="8">F5</f>
        <v>1</v>
      </c>
      <c r="G65" s="118">
        <f>D65*E65</f>
        <v>6000</v>
      </c>
      <c r="H65" s="119">
        <f>G65*F65</f>
        <v>6000</v>
      </c>
    </row>
    <row r="66" spans="1:8" ht="14.25" customHeight="1" x14ac:dyDescent="0.3">
      <c r="A66" s="269" t="s">
        <v>13</v>
      </c>
      <c r="B66" s="122" t="str">
        <f t="shared" si="7"/>
        <v>Onion - بصل</v>
      </c>
      <c r="C66" s="122" t="str">
        <f t="shared" si="7"/>
        <v>gm</v>
      </c>
      <c r="D66" s="122">
        <f t="shared" si="7"/>
        <v>150</v>
      </c>
      <c r="E66" s="196">
        <f>$C$53</f>
        <v>10.204081632653061</v>
      </c>
      <c r="F66" s="126">
        <f t="shared" si="8"/>
        <v>0.95</v>
      </c>
      <c r="G66" s="118">
        <f t="shared" ref="G66:G77" si="9">D66*E66</f>
        <v>1530.612244897959</v>
      </c>
      <c r="H66" s="119">
        <f t="shared" ref="H66:H77" si="10">G66*F66</f>
        <v>1454.081632653061</v>
      </c>
    </row>
    <row r="67" spans="1:8" ht="14.25" customHeight="1" x14ac:dyDescent="0.3">
      <c r="A67" s="269" t="s">
        <v>13</v>
      </c>
      <c r="B67" s="122" t="str">
        <f t="shared" si="7"/>
        <v>Garlic - ثوم مقشر</v>
      </c>
      <c r="C67" s="122" t="str">
        <f t="shared" si="7"/>
        <v>gm</v>
      </c>
      <c r="D67" s="122">
        <f t="shared" si="7"/>
        <v>50</v>
      </c>
      <c r="E67" s="196">
        <f t="shared" ref="E67:E81" si="11">$C$53</f>
        <v>10.204081632653061</v>
      </c>
      <c r="F67" s="126">
        <f t="shared" si="8"/>
        <v>1</v>
      </c>
      <c r="G67" s="118">
        <f t="shared" si="9"/>
        <v>510.20408163265307</v>
      </c>
      <c r="H67" s="119">
        <f t="shared" si="10"/>
        <v>510.20408163265307</v>
      </c>
    </row>
    <row r="68" spans="1:8" ht="14.25" customHeight="1" x14ac:dyDescent="0.3">
      <c r="A68" s="269" t="s">
        <v>13</v>
      </c>
      <c r="B68" s="122" t="str">
        <f t="shared" si="7"/>
        <v>Tomato - طماطم</v>
      </c>
      <c r="C68" s="122" t="str">
        <f t="shared" si="7"/>
        <v>gm</v>
      </c>
      <c r="D68" s="122">
        <f t="shared" si="7"/>
        <v>250</v>
      </c>
      <c r="E68" s="196">
        <f t="shared" si="11"/>
        <v>10.204081632653061</v>
      </c>
      <c r="F68" s="126">
        <f t="shared" si="8"/>
        <v>1</v>
      </c>
      <c r="G68" s="118">
        <f t="shared" si="9"/>
        <v>2551.0204081632651</v>
      </c>
      <c r="H68" s="119">
        <f t="shared" si="10"/>
        <v>2551.0204081632651</v>
      </c>
    </row>
    <row r="69" spans="1:8" ht="14.25" customHeight="1" x14ac:dyDescent="0.3">
      <c r="A69" s="269" t="s">
        <v>192</v>
      </c>
      <c r="B69" s="122" t="str">
        <f t="shared" si="7"/>
        <v>Tomato Paste - صلصة طماطم</v>
      </c>
      <c r="C69" s="122" t="str">
        <f t="shared" si="7"/>
        <v>gm</v>
      </c>
      <c r="D69" s="122">
        <f t="shared" si="7"/>
        <v>300</v>
      </c>
      <c r="E69" s="196">
        <f t="shared" si="11"/>
        <v>10.204081632653061</v>
      </c>
      <c r="F69" s="126">
        <f t="shared" si="8"/>
        <v>1</v>
      </c>
      <c r="G69" s="118">
        <f t="shared" si="9"/>
        <v>3061.2244897959181</v>
      </c>
      <c r="H69" s="119">
        <f t="shared" si="10"/>
        <v>3061.2244897959181</v>
      </c>
    </row>
    <row r="70" spans="1:8" ht="14.25" customHeight="1" x14ac:dyDescent="0.3">
      <c r="A70" s="269" t="s">
        <v>95</v>
      </c>
      <c r="B70" s="122" t="str">
        <f t="shared" si="7"/>
        <v>Paprika Powder - بابريكا مطحون</v>
      </c>
      <c r="C70" s="122" t="str">
        <f t="shared" si="7"/>
        <v>gm</v>
      </c>
      <c r="D70" s="122">
        <f t="shared" si="7"/>
        <v>2</v>
      </c>
      <c r="E70" s="196">
        <f t="shared" si="11"/>
        <v>10.204081632653061</v>
      </c>
      <c r="F70" s="126">
        <f t="shared" si="8"/>
        <v>0.75</v>
      </c>
      <c r="G70" s="118">
        <f t="shared" si="9"/>
        <v>20.408163265306122</v>
      </c>
      <c r="H70" s="119">
        <f t="shared" si="10"/>
        <v>15.306122448979592</v>
      </c>
    </row>
    <row r="71" spans="1:8" ht="14.25" customHeight="1" x14ac:dyDescent="0.3">
      <c r="A71" s="269" t="s">
        <v>81</v>
      </c>
      <c r="B71" s="122" t="str">
        <f t="shared" si="7"/>
        <v>Dry Oregano - أوريجانو مجفف</v>
      </c>
      <c r="C71" s="122" t="str">
        <f t="shared" si="7"/>
        <v>gm</v>
      </c>
      <c r="D71" s="122">
        <f t="shared" si="7"/>
        <v>1</v>
      </c>
      <c r="E71" s="196">
        <f t="shared" si="11"/>
        <v>10.204081632653061</v>
      </c>
      <c r="F71" s="126">
        <f t="shared" si="8"/>
        <v>0.75</v>
      </c>
      <c r="G71" s="118">
        <f t="shared" si="9"/>
        <v>10.204081632653061</v>
      </c>
      <c r="H71" s="119">
        <f t="shared" si="10"/>
        <v>7.6530612244897958</v>
      </c>
    </row>
    <row r="72" spans="1:8" ht="14.25" customHeight="1" x14ac:dyDescent="0.3">
      <c r="A72" s="269" t="s">
        <v>81</v>
      </c>
      <c r="B72" s="122" t="str">
        <f t="shared" si="7"/>
        <v>Dry Basil - ريحان مجفف</v>
      </c>
      <c r="C72" s="122" t="str">
        <f t="shared" si="7"/>
        <v>gm</v>
      </c>
      <c r="D72" s="122">
        <f t="shared" si="7"/>
        <v>1</v>
      </c>
      <c r="E72" s="196">
        <f t="shared" si="11"/>
        <v>10.204081632653061</v>
      </c>
      <c r="F72" s="126">
        <f t="shared" si="8"/>
        <v>0.75</v>
      </c>
      <c r="G72" s="118">
        <f t="shared" si="9"/>
        <v>10.204081632653061</v>
      </c>
      <c r="H72" s="119">
        <f t="shared" si="10"/>
        <v>7.6530612244897958</v>
      </c>
    </row>
    <row r="73" spans="1:8" ht="14.25" customHeight="1" x14ac:dyDescent="0.3">
      <c r="A73" s="269" t="s">
        <v>95</v>
      </c>
      <c r="B73" s="122" t="str">
        <f t="shared" si="7"/>
        <v>Salt - ملح</v>
      </c>
      <c r="C73" s="122" t="str">
        <f t="shared" si="7"/>
        <v>gm</v>
      </c>
      <c r="D73" s="122">
        <f t="shared" si="7"/>
        <v>11</v>
      </c>
      <c r="E73" s="196">
        <f t="shared" si="11"/>
        <v>10.204081632653061</v>
      </c>
      <c r="F73" s="126">
        <f t="shared" si="8"/>
        <v>0.75</v>
      </c>
      <c r="G73" s="118">
        <f t="shared" si="9"/>
        <v>112.24489795918367</v>
      </c>
      <c r="H73" s="119">
        <f t="shared" si="10"/>
        <v>84.183673469387756</v>
      </c>
    </row>
    <row r="74" spans="1:8" ht="14.25" customHeight="1" x14ac:dyDescent="0.3">
      <c r="A74" s="269" t="s">
        <v>13</v>
      </c>
      <c r="B74" s="122" t="str">
        <f t="shared" si="7"/>
        <v>Fresh Baby Spinach - سبانخ هولندي</v>
      </c>
      <c r="C74" s="122" t="str">
        <f t="shared" si="7"/>
        <v>gm</v>
      </c>
      <c r="D74" s="122">
        <f t="shared" si="7"/>
        <v>140</v>
      </c>
      <c r="E74" s="196">
        <f t="shared" si="11"/>
        <v>10.204081632653061</v>
      </c>
      <c r="F74" s="126">
        <f t="shared" si="8"/>
        <v>1</v>
      </c>
      <c r="G74" s="118">
        <f t="shared" si="9"/>
        <v>1428.5714285714284</v>
      </c>
      <c r="H74" s="119">
        <f t="shared" si="10"/>
        <v>1428.5714285714284</v>
      </c>
    </row>
    <row r="75" spans="1:8" ht="14.25" customHeight="1" x14ac:dyDescent="0.3">
      <c r="A75" s="269" t="s">
        <v>215</v>
      </c>
      <c r="B75" s="122" t="str">
        <f t="shared" si="7"/>
        <v>Orange Color - لون برتقالي</v>
      </c>
      <c r="C75" s="122" t="str">
        <f t="shared" si="7"/>
        <v>gm</v>
      </c>
      <c r="D75" s="122">
        <f t="shared" si="7"/>
        <v>2</v>
      </c>
      <c r="E75" s="196">
        <f t="shared" si="11"/>
        <v>10.204081632653061</v>
      </c>
      <c r="F75" s="126">
        <f t="shared" si="8"/>
        <v>0.75</v>
      </c>
      <c r="G75" s="118">
        <f t="shared" si="9"/>
        <v>20.408163265306122</v>
      </c>
      <c r="H75" s="119">
        <f t="shared" si="10"/>
        <v>15.306122448979592</v>
      </c>
    </row>
    <row r="76" spans="1:8" ht="14.25" customHeight="1" x14ac:dyDescent="0.3">
      <c r="A76" s="269" t="s">
        <v>182</v>
      </c>
      <c r="B76" s="122" t="str">
        <f t="shared" si="7"/>
        <v>Honey - عسل</v>
      </c>
      <c r="C76" s="122" t="str">
        <f t="shared" si="7"/>
        <v>gm</v>
      </c>
      <c r="D76" s="122">
        <f t="shared" si="7"/>
        <v>25</v>
      </c>
      <c r="E76" s="196">
        <f t="shared" si="11"/>
        <v>10.204081632653061</v>
      </c>
      <c r="F76" s="126">
        <f t="shared" si="8"/>
        <v>1</v>
      </c>
      <c r="G76" s="118">
        <f t="shared" si="9"/>
        <v>255.10204081632654</v>
      </c>
      <c r="H76" s="119">
        <f t="shared" si="10"/>
        <v>255.10204081632654</v>
      </c>
    </row>
    <row r="77" spans="1:8" ht="14.25" customHeight="1" x14ac:dyDescent="0.3">
      <c r="A77" s="269" t="s">
        <v>192</v>
      </c>
      <c r="B77" s="122" t="str">
        <f t="shared" si="7"/>
        <v>Tomato Ketchup - كاتشب طماطم</v>
      </c>
      <c r="C77" s="122" t="str">
        <f t="shared" si="7"/>
        <v>ml</v>
      </c>
      <c r="D77" s="122">
        <f t="shared" si="7"/>
        <v>40</v>
      </c>
      <c r="E77" s="196">
        <f t="shared" si="11"/>
        <v>10.204081632653061</v>
      </c>
      <c r="F77" s="126">
        <f t="shared" si="8"/>
        <v>1</v>
      </c>
      <c r="G77" s="118">
        <f t="shared" si="9"/>
        <v>408.16326530612241</v>
      </c>
      <c r="H77" s="119">
        <f t="shared" si="10"/>
        <v>408.16326530612241</v>
      </c>
    </row>
    <row r="78" spans="1:8" ht="20.25" customHeight="1" x14ac:dyDescent="0.3">
      <c r="A78" s="269" t="s">
        <v>192</v>
      </c>
      <c r="B78" s="122" t="str">
        <f t="shared" si="7"/>
        <v>Butter - زبدة</v>
      </c>
      <c r="C78" s="122" t="str">
        <f t="shared" si="7"/>
        <v>gm</v>
      </c>
      <c r="D78" s="122">
        <f t="shared" si="7"/>
        <v>30</v>
      </c>
      <c r="E78" s="196">
        <f t="shared" si="11"/>
        <v>10.204081632653061</v>
      </c>
      <c r="F78" s="126">
        <f t="shared" si="8"/>
        <v>1</v>
      </c>
      <c r="G78" s="118">
        <f>D78*E78</f>
        <v>306.12244897959181</v>
      </c>
      <c r="H78" s="119">
        <f>G78*F78</f>
        <v>306.12244897959181</v>
      </c>
    </row>
    <row r="79" spans="1:8" ht="14.25" customHeight="1" x14ac:dyDescent="0.3">
      <c r="A79" s="269" t="s">
        <v>192</v>
      </c>
      <c r="B79" s="122" t="str">
        <f t="shared" si="7"/>
        <v>Black Pepper Powder - فلفل أسود مطحون</v>
      </c>
      <c r="C79" s="122" t="str">
        <f t="shared" si="7"/>
        <v>gm</v>
      </c>
      <c r="D79" s="122">
        <f t="shared" si="7"/>
        <v>3</v>
      </c>
      <c r="E79" s="196">
        <f t="shared" si="11"/>
        <v>10.204081632653061</v>
      </c>
      <c r="F79" s="126">
        <f t="shared" si="8"/>
        <v>1</v>
      </c>
      <c r="G79" s="118">
        <f>D79*E79</f>
        <v>30.612244897959183</v>
      </c>
      <c r="H79" s="119">
        <f>G79*F79</f>
        <v>30.612244897959183</v>
      </c>
    </row>
    <row r="80" spans="1:8" x14ac:dyDescent="0.3">
      <c r="A80" s="269" t="s">
        <v>192</v>
      </c>
      <c r="B80" s="122" t="str">
        <f t="shared" si="7"/>
        <v>Olive Oil - زيت زيتون</v>
      </c>
      <c r="C80" s="122" t="str">
        <f t="shared" si="7"/>
        <v>gm</v>
      </c>
      <c r="D80" s="122">
        <f t="shared" si="7"/>
        <v>5</v>
      </c>
      <c r="E80" s="196">
        <f t="shared" si="11"/>
        <v>10.204081632653061</v>
      </c>
      <c r="F80" s="126">
        <f t="shared" si="8"/>
        <v>1</v>
      </c>
      <c r="G80" s="118">
        <f>D80*E80</f>
        <v>51.020408163265301</v>
      </c>
      <c r="H80" s="119">
        <f>G80*F80</f>
        <v>51.020408163265301</v>
      </c>
    </row>
    <row r="81" spans="1:8" x14ac:dyDescent="0.3">
      <c r="A81" s="269" t="s">
        <v>192</v>
      </c>
      <c r="B81" s="122" t="str">
        <f t="shared" si="7"/>
        <v>Salt - ملح</v>
      </c>
      <c r="C81" s="122" t="str">
        <f t="shared" si="7"/>
        <v>gm</v>
      </c>
      <c r="D81" s="122">
        <f t="shared" si="7"/>
        <v>5</v>
      </c>
      <c r="E81" s="196">
        <f t="shared" si="11"/>
        <v>10.204081632653061</v>
      </c>
      <c r="F81" s="126">
        <f t="shared" si="8"/>
        <v>1</v>
      </c>
      <c r="G81" s="118">
        <f>D81*E81</f>
        <v>51.020408163265301</v>
      </c>
      <c r="H81" s="119">
        <f>G81*F81</f>
        <v>51.020408163265301</v>
      </c>
    </row>
    <row r="82" spans="1:8" ht="18" x14ac:dyDescent="0.3">
      <c r="A82" s="210"/>
      <c r="B82" s="197" t="s">
        <v>356</v>
      </c>
      <c r="C82" s="199" t="s">
        <v>277</v>
      </c>
      <c r="D82" s="14"/>
      <c r="E82" s="199" t="s">
        <v>292</v>
      </c>
      <c r="F82" s="14"/>
      <c r="G82" s="878" t="s">
        <v>268</v>
      </c>
      <c r="H82" s="878" t="s">
        <v>714</v>
      </c>
    </row>
    <row r="83" spans="1:8" ht="20" x14ac:dyDescent="0.4">
      <c r="A83" s="210"/>
      <c r="B83" s="198">
        <f>$J$53</f>
        <v>15000</v>
      </c>
      <c r="C83" s="198">
        <f>E83+G83</f>
        <v>10000</v>
      </c>
      <c r="D83" s="915"/>
      <c r="E83" s="198">
        <f>$D$53*$S$44</f>
        <v>10000</v>
      </c>
      <c r="F83" s="919"/>
      <c r="G83" s="198">
        <f>$D$53*$T$44</f>
        <v>0</v>
      </c>
      <c r="H83" s="198">
        <f>B83+E83</f>
        <v>25000</v>
      </c>
    </row>
    <row r="85" spans="1:8" ht="18" x14ac:dyDescent="0.3">
      <c r="A85" s="923"/>
      <c r="B85" s="1438" t="str">
        <f>"لسان العصفور 2 / " &amp; COUNTIF($C$53:$C$55, "&gt;0")</f>
        <v>لسان العصفور 2 / 2</v>
      </c>
      <c r="C85" s="1438"/>
      <c r="D85" s="1438"/>
      <c r="E85" s="1438"/>
      <c r="F85" s="1438"/>
      <c r="G85" s="1438"/>
      <c r="H85" s="1438"/>
    </row>
    <row r="86" spans="1:8" ht="18" x14ac:dyDescent="0.3">
      <c r="A86" s="923"/>
      <c r="B86" s="1436" t="str">
        <f>"Orzo Pasta 2 / " &amp; COUNTIF($C$53:$C$55, "&gt;0")</f>
        <v>Orzo Pasta 2 / 2</v>
      </c>
      <c r="C86" s="1436"/>
      <c r="D86" s="1436"/>
      <c r="E86" s="1436"/>
      <c r="F86" s="1436"/>
      <c r="G86" s="1436"/>
      <c r="H86" s="1436"/>
    </row>
    <row r="87" spans="1:8" ht="44" customHeight="1" x14ac:dyDescent="0.3">
      <c r="A87" s="90"/>
      <c r="B87" s="90" t="s">
        <v>245</v>
      </c>
      <c r="C87" s="106" t="s">
        <v>246</v>
      </c>
      <c r="D87" s="90" t="s">
        <v>235</v>
      </c>
      <c r="E87" s="217" t="s">
        <v>238</v>
      </c>
      <c r="F87" s="107" t="s">
        <v>247</v>
      </c>
      <c r="G87" s="90" t="s">
        <v>248</v>
      </c>
      <c r="H87" s="217" t="s">
        <v>249</v>
      </c>
    </row>
    <row r="88" spans="1:8" x14ac:dyDescent="0.3">
      <c r="A88" s="269" t="s">
        <v>13</v>
      </c>
      <c r="B88" s="122" t="str">
        <f t="shared" ref="B88:D102" si="12">B5</f>
        <v>Pasta Orzo - مكرونة لسان عصفور</v>
      </c>
      <c r="C88" s="122" t="str">
        <f t="shared" si="12"/>
        <v>gm</v>
      </c>
      <c r="D88" s="122">
        <f t="shared" si="12"/>
        <v>600</v>
      </c>
      <c r="E88" s="196">
        <f>H54</f>
        <v>8.7959999999999994</v>
      </c>
      <c r="F88" s="126">
        <f>F5</f>
        <v>1</v>
      </c>
      <c r="G88" s="118">
        <f>D88*E88</f>
        <v>5277.5999999999995</v>
      </c>
      <c r="H88" s="119">
        <f>G88*F88</f>
        <v>5277.5999999999995</v>
      </c>
    </row>
    <row r="89" spans="1:8" x14ac:dyDescent="0.3">
      <c r="A89" s="269" t="s">
        <v>13</v>
      </c>
      <c r="B89" s="122" t="str">
        <f t="shared" si="12"/>
        <v>Onion - بصل</v>
      </c>
      <c r="C89" s="122" t="str">
        <f t="shared" si="12"/>
        <v>gm</v>
      </c>
      <c r="D89" s="122">
        <f t="shared" si="12"/>
        <v>150</v>
      </c>
      <c r="E89" s="196">
        <f>$C$54</f>
        <v>8.9755102040816332</v>
      </c>
      <c r="F89" s="126">
        <f t="shared" ref="F89:F104" si="13">F6</f>
        <v>0.95</v>
      </c>
      <c r="G89" s="118">
        <f t="shared" ref="G89:G100" si="14">D89*E89</f>
        <v>1346.3265306122451</v>
      </c>
      <c r="H89" s="119">
        <f t="shared" ref="H89:H100" si="15">G89*F89</f>
        <v>1279.0102040816328</v>
      </c>
    </row>
    <row r="90" spans="1:8" x14ac:dyDescent="0.3">
      <c r="A90" s="269" t="s">
        <v>13</v>
      </c>
      <c r="B90" s="122" t="str">
        <f t="shared" si="12"/>
        <v>Garlic - ثوم مقشر</v>
      </c>
      <c r="C90" s="122" t="str">
        <f t="shared" si="12"/>
        <v>gm</v>
      </c>
      <c r="D90" s="122">
        <f t="shared" si="12"/>
        <v>50</v>
      </c>
      <c r="E90" s="196">
        <f t="shared" ref="E90:E104" si="16">$C$54</f>
        <v>8.9755102040816332</v>
      </c>
      <c r="F90" s="126">
        <f t="shared" si="13"/>
        <v>1</v>
      </c>
      <c r="G90" s="118">
        <f t="shared" si="14"/>
        <v>448.77551020408168</v>
      </c>
      <c r="H90" s="119">
        <f t="shared" si="15"/>
        <v>448.77551020408168</v>
      </c>
    </row>
    <row r="91" spans="1:8" x14ac:dyDescent="0.3">
      <c r="A91" s="269" t="s">
        <v>13</v>
      </c>
      <c r="B91" s="122" t="str">
        <f t="shared" si="12"/>
        <v>Tomato - طماطم</v>
      </c>
      <c r="C91" s="122" t="str">
        <f t="shared" si="12"/>
        <v>gm</v>
      </c>
      <c r="D91" s="122">
        <f t="shared" si="12"/>
        <v>250</v>
      </c>
      <c r="E91" s="196">
        <f t="shared" si="16"/>
        <v>8.9755102040816332</v>
      </c>
      <c r="F91" s="126">
        <f t="shared" si="13"/>
        <v>1</v>
      </c>
      <c r="G91" s="118">
        <f t="shared" si="14"/>
        <v>2243.8775510204082</v>
      </c>
      <c r="H91" s="119">
        <f t="shared" si="15"/>
        <v>2243.8775510204082</v>
      </c>
    </row>
    <row r="92" spans="1:8" x14ac:dyDescent="0.3">
      <c r="A92" s="269" t="s">
        <v>192</v>
      </c>
      <c r="B92" s="122" t="str">
        <f t="shared" si="12"/>
        <v>Tomato Paste - صلصة طماطم</v>
      </c>
      <c r="C92" s="122" t="str">
        <f t="shared" si="12"/>
        <v>gm</v>
      </c>
      <c r="D92" s="122">
        <f t="shared" si="12"/>
        <v>300</v>
      </c>
      <c r="E92" s="196">
        <f t="shared" si="16"/>
        <v>8.9755102040816332</v>
      </c>
      <c r="F92" s="126">
        <f t="shared" si="13"/>
        <v>1</v>
      </c>
      <c r="G92" s="118">
        <f t="shared" si="14"/>
        <v>2692.6530612244901</v>
      </c>
      <c r="H92" s="119">
        <f t="shared" si="15"/>
        <v>2692.6530612244901</v>
      </c>
    </row>
    <row r="93" spans="1:8" x14ac:dyDescent="0.3">
      <c r="A93" s="269" t="s">
        <v>95</v>
      </c>
      <c r="B93" s="122" t="str">
        <f t="shared" si="12"/>
        <v>Paprika Powder - بابريكا مطحون</v>
      </c>
      <c r="C93" s="122" t="str">
        <f t="shared" si="12"/>
        <v>gm</v>
      </c>
      <c r="D93" s="122">
        <f t="shared" si="12"/>
        <v>2</v>
      </c>
      <c r="E93" s="196">
        <f t="shared" si="16"/>
        <v>8.9755102040816332</v>
      </c>
      <c r="F93" s="126">
        <f t="shared" si="13"/>
        <v>0.75</v>
      </c>
      <c r="G93" s="118">
        <f t="shared" si="14"/>
        <v>17.951020408163266</v>
      </c>
      <c r="H93" s="119">
        <f t="shared" si="15"/>
        <v>13.46326530612245</v>
      </c>
    </row>
    <row r="94" spans="1:8" x14ac:dyDescent="0.3">
      <c r="A94" s="269" t="s">
        <v>81</v>
      </c>
      <c r="B94" s="122" t="str">
        <f t="shared" si="12"/>
        <v>Dry Oregano - أوريجانو مجفف</v>
      </c>
      <c r="C94" s="122" t="str">
        <f t="shared" si="12"/>
        <v>gm</v>
      </c>
      <c r="D94" s="122">
        <f t="shared" si="12"/>
        <v>1</v>
      </c>
      <c r="E94" s="196">
        <f t="shared" si="16"/>
        <v>8.9755102040816332</v>
      </c>
      <c r="F94" s="126">
        <f t="shared" si="13"/>
        <v>0.75</v>
      </c>
      <c r="G94" s="118">
        <f t="shared" si="14"/>
        <v>8.9755102040816332</v>
      </c>
      <c r="H94" s="119">
        <f t="shared" si="15"/>
        <v>6.7316326530612249</v>
      </c>
    </row>
    <row r="95" spans="1:8" x14ac:dyDescent="0.3">
      <c r="A95" s="269" t="s">
        <v>81</v>
      </c>
      <c r="B95" s="122" t="str">
        <f t="shared" si="12"/>
        <v>Dry Basil - ريحان مجفف</v>
      </c>
      <c r="C95" s="122" t="str">
        <f t="shared" si="12"/>
        <v>gm</v>
      </c>
      <c r="D95" s="122">
        <f t="shared" si="12"/>
        <v>1</v>
      </c>
      <c r="E95" s="196">
        <f t="shared" si="16"/>
        <v>8.9755102040816332</v>
      </c>
      <c r="F95" s="126">
        <f t="shared" si="13"/>
        <v>0.75</v>
      </c>
      <c r="G95" s="118">
        <f t="shared" si="14"/>
        <v>8.9755102040816332</v>
      </c>
      <c r="H95" s="119">
        <f t="shared" si="15"/>
        <v>6.7316326530612249</v>
      </c>
    </row>
    <row r="96" spans="1:8" x14ac:dyDescent="0.3">
      <c r="A96" s="269" t="s">
        <v>95</v>
      </c>
      <c r="B96" s="122" t="str">
        <f t="shared" si="12"/>
        <v>Salt - ملح</v>
      </c>
      <c r="C96" s="122" t="str">
        <f t="shared" si="12"/>
        <v>gm</v>
      </c>
      <c r="D96" s="122">
        <f t="shared" si="12"/>
        <v>11</v>
      </c>
      <c r="E96" s="196">
        <f t="shared" si="16"/>
        <v>8.9755102040816332</v>
      </c>
      <c r="F96" s="126">
        <f t="shared" si="13"/>
        <v>0.75</v>
      </c>
      <c r="G96" s="118">
        <f t="shared" si="14"/>
        <v>98.730612244897969</v>
      </c>
      <c r="H96" s="119">
        <f t="shared" si="15"/>
        <v>74.04795918367347</v>
      </c>
    </row>
    <row r="97" spans="1:8" x14ac:dyDescent="0.3">
      <c r="A97" s="269" t="s">
        <v>13</v>
      </c>
      <c r="B97" s="122" t="str">
        <f t="shared" si="12"/>
        <v>Fresh Baby Spinach - سبانخ هولندي</v>
      </c>
      <c r="C97" s="122" t="str">
        <f t="shared" si="12"/>
        <v>gm</v>
      </c>
      <c r="D97" s="122">
        <f t="shared" si="12"/>
        <v>140</v>
      </c>
      <c r="E97" s="196">
        <f t="shared" si="16"/>
        <v>8.9755102040816332</v>
      </c>
      <c r="F97" s="126">
        <f t="shared" si="13"/>
        <v>1</v>
      </c>
      <c r="G97" s="118">
        <f t="shared" si="14"/>
        <v>1256.5714285714287</v>
      </c>
      <c r="H97" s="119">
        <f t="shared" si="15"/>
        <v>1256.5714285714287</v>
      </c>
    </row>
    <row r="98" spans="1:8" x14ac:dyDescent="0.3">
      <c r="A98" s="269" t="s">
        <v>215</v>
      </c>
      <c r="B98" s="122" t="str">
        <f t="shared" si="12"/>
        <v>Orange Color - لون برتقالي</v>
      </c>
      <c r="C98" s="122" t="str">
        <f t="shared" si="12"/>
        <v>gm</v>
      </c>
      <c r="D98" s="122">
        <f t="shared" si="12"/>
        <v>2</v>
      </c>
      <c r="E98" s="196">
        <f t="shared" si="16"/>
        <v>8.9755102040816332</v>
      </c>
      <c r="F98" s="126">
        <f t="shared" si="13"/>
        <v>0.75</v>
      </c>
      <c r="G98" s="118">
        <f t="shared" si="14"/>
        <v>17.951020408163266</v>
      </c>
      <c r="H98" s="119">
        <f t="shared" si="15"/>
        <v>13.46326530612245</v>
      </c>
    </row>
    <row r="99" spans="1:8" x14ac:dyDescent="0.3">
      <c r="A99" s="269" t="s">
        <v>182</v>
      </c>
      <c r="B99" s="122" t="str">
        <f t="shared" si="12"/>
        <v>Honey - عسل</v>
      </c>
      <c r="C99" s="122" t="str">
        <f t="shared" si="12"/>
        <v>gm</v>
      </c>
      <c r="D99" s="122">
        <f t="shared" si="12"/>
        <v>25</v>
      </c>
      <c r="E99" s="196">
        <f t="shared" si="16"/>
        <v>8.9755102040816332</v>
      </c>
      <c r="F99" s="126">
        <f t="shared" si="13"/>
        <v>1</v>
      </c>
      <c r="G99" s="118">
        <f t="shared" si="14"/>
        <v>224.38775510204084</v>
      </c>
      <c r="H99" s="119">
        <f t="shared" si="15"/>
        <v>224.38775510204084</v>
      </c>
    </row>
    <row r="100" spans="1:8" x14ac:dyDescent="0.3">
      <c r="A100" s="269" t="s">
        <v>192</v>
      </c>
      <c r="B100" s="122" t="str">
        <f t="shared" si="12"/>
        <v>Tomato Ketchup - كاتشب طماطم</v>
      </c>
      <c r="C100" s="122" t="str">
        <f t="shared" si="12"/>
        <v>ml</v>
      </c>
      <c r="D100" s="122">
        <f t="shared" si="12"/>
        <v>40</v>
      </c>
      <c r="E100" s="196">
        <f t="shared" si="16"/>
        <v>8.9755102040816332</v>
      </c>
      <c r="F100" s="126">
        <f t="shared" si="13"/>
        <v>1</v>
      </c>
      <c r="G100" s="118">
        <f t="shared" si="14"/>
        <v>359.0204081632653</v>
      </c>
      <c r="H100" s="119">
        <f t="shared" si="15"/>
        <v>359.0204081632653</v>
      </c>
    </row>
    <row r="101" spans="1:8" x14ac:dyDescent="0.3">
      <c r="A101" s="269" t="s">
        <v>192</v>
      </c>
      <c r="B101" s="122" t="str">
        <f t="shared" si="12"/>
        <v>Butter - زبدة</v>
      </c>
      <c r="C101" s="122" t="str">
        <f t="shared" si="12"/>
        <v>gm</v>
      </c>
      <c r="D101" s="122">
        <f t="shared" si="12"/>
        <v>30</v>
      </c>
      <c r="E101" s="196">
        <f t="shared" si="16"/>
        <v>8.9755102040816332</v>
      </c>
      <c r="F101" s="126">
        <f t="shared" si="13"/>
        <v>1</v>
      </c>
      <c r="G101" s="118">
        <f>D101*E101</f>
        <v>269.26530612244898</v>
      </c>
      <c r="H101" s="119">
        <f>G101*F101</f>
        <v>269.26530612244898</v>
      </c>
    </row>
    <row r="102" spans="1:8" x14ac:dyDescent="0.3">
      <c r="A102" s="269" t="s">
        <v>192</v>
      </c>
      <c r="B102" s="122" t="str">
        <f t="shared" si="12"/>
        <v>Black Pepper Powder - فلفل أسود مطحون</v>
      </c>
      <c r="C102" s="122" t="str">
        <f t="shared" si="12"/>
        <v>gm</v>
      </c>
      <c r="D102" s="122">
        <f t="shared" si="12"/>
        <v>3</v>
      </c>
      <c r="E102" s="196">
        <f t="shared" si="16"/>
        <v>8.9755102040816332</v>
      </c>
      <c r="F102" s="126">
        <f t="shared" si="13"/>
        <v>1</v>
      </c>
      <c r="G102" s="118">
        <f>D102*E102</f>
        <v>26.9265306122449</v>
      </c>
      <c r="H102" s="119">
        <f>G102*F102</f>
        <v>26.9265306122449</v>
      </c>
    </row>
    <row r="103" spans="1:8" x14ac:dyDescent="0.3">
      <c r="A103" s="269" t="s">
        <v>192</v>
      </c>
      <c r="B103" s="122" t="str">
        <f t="shared" ref="B103:D104" si="17">B20</f>
        <v>Olive Oil - زيت زيتون</v>
      </c>
      <c r="C103" s="122" t="str">
        <f t="shared" si="17"/>
        <v>gm</v>
      </c>
      <c r="D103" s="122">
        <f t="shared" si="17"/>
        <v>5</v>
      </c>
      <c r="E103" s="196">
        <f t="shared" si="16"/>
        <v>8.9755102040816332</v>
      </c>
      <c r="F103" s="126">
        <f t="shared" si="13"/>
        <v>1</v>
      </c>
      <c r="G103" s="118">
        <f>D103*E103</f>
        <v>44.877551020408163</v>
      </c>
      <c r="H103" s="119">
        <f>G103*F103</f>
        <v>44.877551020408163</v>
      </c>
    </row>
    <row r="104" spans="1:8" x14ac:dyDescent="0.3">
      <c r="A104" s="269" t="s">
        <v>192</v>
      </c>
      <c r="B104" s="122" t="str">
        <f t="shared" si="17"/>
        <v>Salt - ملح</v>
      </c>
      <c r="C104" s="122" t="str">
        <f t="shared" si="17"/>
        <v>gm</v>
      </c>
      <c r="D104" s="122">
        <f t="shared" si="17"/>
        <v>5</v>
      </c>
      <c r="E104" s="196">
        <f t="shared" si="16"/>
        <v>8.9755102040816332</v>
      </c>
      <c r="F104" s="126">
        <f t="shared" si="13"/>
        <v>1</v>
      </c>
      <c r="G104" s="118">
        <f>D104*E104</f>
        <v>44.877551020408163</v>
      </c>
      <c r="H104" s="119">
        <f>G104*F104</f>
        <v>44.877551020408163</v>
      </c>
    </row>
    <row r="105" spans="1:8" ht="18" x14ac:dyDescent="0.3">
      <c r="B105" s="197" t="s">
        <v>356</v>
      </c>
      <c r="C105" s="199" t="s">
        <v>277</v>
      </c>
      <c r="D105" s="14"/>
      <c r="E105" s="199" t="s">
        <v>292</v>
      </c>
      <c r="F105" s="14"/>
      <c r="G105" s="878" t="s">
        <v>268</v>
      </c>
      <c r="H105" s="878" t="s">
        <v>714</v>
      </c>
    </row>
    <row r="106" spans="1:8" ht="20" x14ac:dyDescent="0.4">
      <c r="B106" s="198">
        <f>$J$54</f>
        <v>13194</v>
      </c>
      <c r="C106" s="198">
        <f>E106+G106</f>
        <v>8796.0000000000018</v>
      </c>
      <c r="D106" s="915"/>
      <c r="E106" s="198">
        <f>$D$54*$S$44</f>
        <v>8796.0000000000018</v>
      </c>
      <c r="F106" s="919"/>
      <c r="G106" s="198">
        <f>$D$54*$T$44</f>
        <v>0</v>
      </c>
      <c r="H106" s="198">
        <f>B106+E106</f>
        <v>21990</v>
      </c>
    </row>
    <row r="109" spans="1:8" ht="18" x14ac:dyDescent="0.3">
      <c r="A109" s="923"/>
      <c r="B109" s="1438" t="str">
        <f>"لسان العصفور 3 / " &amp; COUNTIF($C$53:$C$55, "&gt;0")</f>
        <v>لسان العصفور 3 / 2</v>
      </c>
      <c r="C109" s="1438"/>
      <c r="D109" s="1438"/>
      <c r="E109" s="1438"/>
      <c r="F109" s="1438"/>
      <c r="G109" s="1438"/>
      <c r="H109" s="1438"/>
    </row>
    <row r="110" spans="1:8" ht="18" x14ac:dyDescent="0.3">
      <c r="A110" s="923"/>
      <c r="B110" s="1436" t="str">
        <f>"Orzo Pasta 3 / " &amp; COUNTIF($C$53:$C$55, "&gt;0")</f>
        <v>Orzo Pasta 3 / 2</v>
      </c>
      <c r="C110" s="1436"/>
      <c r="D110" s="1436"/>
      <c r="E110" s="1436"/>
      <c r="F110" s="1436"/>
      <c r="G110" s="1436"/>
      <c r="H110" s="1436"/>
    </row>
    <row r="111" spans="1:8" ht="42.5" customHeight="1" x14ac:dyDescent="0.3">
      <c r="A111" s="90"/>
      <c r="B111" s="90" t="s">
        <v>245</v>
      </c>
      <c r="C111" s="106" t="s">
        <v>246</v>
      </c>
      <c r="D111" s="90" t="s">
        <v>235</v>
      </c>
      <c r="E111" s="217" t="s">
        <v>238</v>
      </c>
      <c r="F111" s="107" t="s">
        <v>247</v>
      </c>
      <c r="G111" s="90" t="s">
        <v>248</v>
      </c>
      <c r="H111" s="217" t="s">
        <v>249</v>
      </c>
    </row>
    <row r="112" spans="1:8" x14ac:dyDescent="0.3">
      <c r="A112" s="269" t="s">
        <v>13</v>
      </c>
      <c r="B112" s="122" t="str">
        <f t="shared" ref="B112:D128" si="18">B5</f>
        <v>Pasta Orzo - مكرونة لسان عصفور</v>
      </c>
      <c r="C112" s="122" t="str">
        <f t="shared" si="18"/>
        <v>gm</v>
      </c>
      <c r="D112" s="122">
        <f t="shared" si="18"/>
        <v>600</v>
      </c>
      <c r="E112" s="196">
        <f>$H$55</f>
        <v>0</v>
      </c>
      <c r="F112" s="126">
        <f>F5</f>
        <v>1</v>
      </c>
      <c r="G112" s="118">
        <f>D112*E112</f>
        <v>0</v>
      </c>
      <c r="H112" s="119">
        <f>G112*F112</f>
        <v>0</v>
      </c>
    </row>
    <row r="113" spans="1:8" x14ac:dyDescent="0.3">
      <c r="A113" s="269" t="s">
        <v>13</v>
      </c>
      <c r="B113" s="122" t="str">
        <f t="shared" si="18"/>
        <v>Onion - بصل</v>
      </c>
      <c r="C113" s="122" t="str">
        <f t="shared" si="18"/>
        <v>gm</v>
      </c>
      <c r="D113" s="122">
        <f t="shared" si="18"/>
        <v>150</v>
      </c>
      <c r="E113" s="196">
        <f>$C$55</f>
        <v>0</v>
      </c>
      <c r="F113" s="126">
        <f t="shared" ref="F113:F128" si="19">F6</f>
        <v>0.95</v>
      </c>
      <c r="G113" s="118">
        <f t="shared" ref="G113:G124" si="20">D113*E113</f>
        <v>0</v>
      </c>
      <c r="H113" s="119">
        <f t="shared" ref="H113:H124" si="21">G113*F113</f>
        <v>0</v>
      </c>
    </row>
    <row r="114" spans="1:8" x14ac:dyDescent="0.3">
      <c r="A114" s="269" t="s">
        <v>13</v>
      </c>
      <c r="B114" s="122" t="str">
        <f t="shared" si="18"/>
        <v>Garlic - ثوم مقشر</v>
      </c>
      <c r="C114" s="122" t="str">
        <f t="shared" si="18"/>
        <v>gm</v>
      </c>
      <c r="D114" s="122">
        <f t="shared" si="18"/>
        <v>50</v>
      </c>
      <c r="E114" s="196">
        <f t="shared" ref="E114:E128" si="22">$C$55</f>
        <v>0</v>
      </c>
      <c r="F114" s="126">
        <f t="shared" si="19"/>
        <v>1</v>
      </c>
      <c r="G114" s="118">
        <f t="shared" si="20"/>
        <v>0</v>
      </c>
      <c r="H114" s="119">
        <f t="shared" si="21"/>
        <v>0</v>
      </c>
    </row>
    <row r="115" spans="1:8" x14ac:dyDescent="0.3">
      <c r="A115" s="269" t="s">
        <v>13</v>
      </c>
      <c r="B115" s="122" t="str">
        <f t="shared" si="18"/>
        <v>Tomato - طماطم</v>
      </c>
      <c r="C115" s="122" t="str">
        <f t="shared" si="18"/>
        <v>gm</v>
      </c>
      <c r="D115" s="122">
        <f t="shared" si="18"/>
        <v>250</v>
      </c>
      <c r="E115" s="196">
        <f t="shared" si="22"/>
        <v>0</v>
      </c>
      <c r="F115" s="126">
        <f t="shared" si="19"/>
        <v>1</v>
      </c>
      <c r="G115" s="118">
        <f t="shared" si="20"/>
        <v>0</v>
      </c>
      <c r="H115" s="119">
        <f t="shared" si="21"/>
        <v>0</v>
      </c>
    </row>
    <row r="116" spans="1:8" x14ac:dyDescent="0.3">
      <c r="A116" s="269" t="s">
        <v>192</v>
      </c>
      <c r="B116" s="122" t="str">
        <f t="shared" si="18"/>
        <v>Tomato Paste - صلصة طماطم</v>
      </c>
      <c r="C116" s="122" t="str">
        <f t="shared" si="18"/>
        <v>gm</v>
      </c>
      <c r="D116" s="122">
        <f t="shared" si="18"/>
        <v>300</v>
      </c>
      <c r="E116" s="196">
        <f t="shared" si="22"/>
        <v>0</v>
      </c>
      <c r="F116" s="126">
        <f t="shared" si="19"/>
        <v>1</v>
      </c>
      <c r="G116" s="118">
        <f t="shared" si="20"/>
        <v>0</v>
      </c>
      <c r="H116" s="119">
        <f t="shared" si="21"/>
        <v>0</v>
      </c>
    </row>
    <row r="117" spans="1:8" x14ac:dyDescent="0.3">
      <c r="A117" s="269" t="s">
        <v>95</v>
      </c>
      <c r="B117" s="122" t="str">
        <f t="shared" si="18"/>
        <v>Paprika Powder - بابريكا مطحون</v>
      </c>
      <c r="C117" s="122" t="str">
        <f t="shared" si="18"/>
        <v>gm</v>
      </c>
      <c r="D117" s="122">
        <f t="shared" si="18"/>
        <v>2</v>
      </c>
      <c r="E117" s="196">
        <f t="shared" si="22"/>
        <v>0</v>
      </c>
      <c r="F117" s="126">
        <f t="shared" si="19"/>
        <v>0.75</v>
      </c>
      <c r="G117" s="118">
        <f t="shared" si="20"/>
        <v>0</v>
      </c>
      <c r="H117" s="119">
        <f t="shared" si="21"/>
        <v>0</v>
      </c>
    </row>
    <row r="118" spans="1:8" x14ac:dyDescent="0.3">
      <c r="A118" s="269" t="s">
        <v>81</v>
      </c>
      <c r="B118" s="122" t="str">
        <f t="shared" si="18"/>
        <v>Dry Oregano - أوريجانو مجفف</v>
      </c>
      <c r="C118" s="122" t="str">
        <f t="shared" si="18"/>
        <v>gm</v>
      </c>
      <c r="D118" s="122">
        <f t="shared" si="18"/>
        <v>1</v>
      </c>
      <c r="E118" s="196">
        <f t="shared" si="22"/>
        <v>0</v>
      </c>
      <c r="F118" s="126">
        <f t="shared" si="19"/>
        <v>0.75</v>
      </c>
      <c r="G118" s="118">
        <f t="shared" si="20"/>
        <v>0</v>
      </c>
      <c r="H118" s="119">
        <f t="shared" si="21"/>
        <v>0</v>
      </c>
    </row>
    <row r="119" spans="1:8" x14ac:dyDescent="0.3">
      <c r="A119" s="269" t="s">
        <v>81</v>
      </c>
      <c r="B119" s="122" t="str">
        <f t="shared" si="18"/>
        <v>Dry Basil - ريحان مجفف</v>
      </c>
      <c r="C119" s="122" t="str">
        <f t="shared" si="18"/>
        <v>gm</v>
      </c>
      <c r="D119" s="122">
        <f t="shared" si="18"/>
        <v>1</v>
      </c>
      <c r="E119" s="196">
        <f t="shared" si="22"/>
        <v>0</v>
      </c>
      <c r="F119" s="126">
        <f t="shared" si="19"/>
        <v>0.75</v>
      </c>
      <c r="G119" s="118">
        <f t="shared" si="20"/>
        <v>0</v>
      </c>
      <c r="H119" s="119">
        <f t="shared" si="21"/>
        <v>0</v>
      </c>
    </row>
    <row r="120" spans="1:8" x14ac:dyDescent="0.3">
      <c r="A120" s="269" t="s">
        <v>95</v>
      </c>
      <c r="B120" s="122" t="str">
        <f t="shared" si="18"/>
        <v>Salt - ملح</v>
      </c>
      <c r="C120" s="122" t="str">
        <f t="shared" si="18"/>
        <v>gm</v>
      </c>
      <c r="D120" s="122">
        <f t="shared" si="18"/>
        <v>11</v>
      </c>
      <c r="E120" s="196">
        <f t="shared" si="22"/>
        <v>0</v>
      </c>
      <c r="F120" s="126">
        <f t="shared" si="19"/>
        <v>0.75</v>
      </c>
      <c r="G120" s="118">
        <f t="shared" si="20"/>
        <v>0</v>
      </c>
      <c r="H120" s="119">
        <f t="shared" si="21"/>
        <v>0</v>
      </c>
    </row>
    <row r="121" spans="1:8" x14ac:dyDescent="0.3">
      <c r="A121" s="269" t="s">
        <v>13</v>
      </c>
      <c r="B121" s="122" t="str">
        <f t="shared" si="18"/>
        <v>Fresh Baby Spinach - سبانخ هولندي</v>
      </c>
      <c r="C121" s="122" t="str">
        <f t="shared" si="18"/>
        <v>gm</v>
      </c>
      <c r="D121" s="122">
        <f t="shared" si="18"/>
        <v>140</v>
      </c>
      <c r="E121" s="196">
        <f t="shared" si="22"/>
        <v>0</v>
      </c>
      <c r="F121" s="126">
        <f t="shared" si="19"/>
        <v>1</v>
      </c>
      <c r="G121" s="118">
        <f t="shared" si="20"/>
        <v>0</v>
      </c>
      <c r="H121" s="119">
        <f t="shared" si="21"/>
        <v>0</v>
      </c>
    </row>
    <row r="122" spans="1:8" x14ac:dyDescent="0.3">
      <c r="A122" s="269" t="s">
        <v>215</v>
      </c>
      <c r="B122" s="122" t="str">
        <f t="shared" si="18"/>
        <v>Orange Color - لون برتقالي</v>
      </c>
      <c r="C122" s="122" t="str">
        <f t="shared" si="18"/>
        <v>gm</v>
      </c>
      <c r="D122" s="122">
        <f t="shared" si="18"/>
        <v>2</v>
      </c>
      <c r="E122" s="196">
        <f t="shared" si="22"/>
        <v>0</v>
      </c>
      <c r="F122" s="126">
        <f t="shared" si="19"/>
        <v>0.75</v>
      </c>
      <c r="G122" s="118">
        <f t="shared" si="20"/>
        <v>0</v>
      </c>
      <c r="H122" s="119">
        <f t="shared" si="21"/>
        <v>0</v>
      </c>
    </row>
    <row r="123" spans="1:8" x14ac:dyDescent="0.3">
      <c r="A123" s="269" t="s">
        <v>182</v>
      </c>
      <c r="B123" s="122" t="str">
        <f t="shared" si="18"/>
        <v>Honey - عسل</v>
      </c>
      <c r="C123" s="122" t="str">
        <f t="shared" si="18"/>
        <v>gm</v>
      </c>
      <c r="D123" s="122">
        <f t="shared" si="18"/>
        <v>25</v>
      </c>
      <c r="E123" s="196">
        <f t="shared" si="22"/>
        <v>0</v>
      </c>
      <c r="F123" s="126">
        <f t="shared" si="19"/>
        <v>1</v>
      </c>
      <c r="G123" s="118">
        <f t="shared" si="20"/>
        <v>0</v>
      </c>
      <c r="H123" s="119">
        <f t="shared" si="21"/>
        <v>0</v>
      </c>
    </row>
    <row r="124" spans="1:8" x14ac:dyDescent="0.3">
      <c r="A124" s="269" t="s">
        <v>192</v>
      </c>
      <c r="B124" s="122" t="str">
        <f t="shared" si="18"/>
        <v>Tomato Ketchup - كاتشب طماطم</v>
      </c>
      <c r="C124" s="122" t="str">
        <f t="shared" si="18"/>
        <v>ml</v>
      </c>
      <c r="D124" s="122">
        <f t="shared" si="18"/>
        <v>40</v>
      </c>
      <c r="E124" s="196">
        <f t="shared" si="22"/>
        <v>0</v>
      </c>
      <c r="F124" s="126">
        <f t="shared" si="19"/>
        <v>1</v>
      </c>
      <c r="G124" s="118">
        <f t="shared" si="20"/>
        <v>0</v>
      </c>
      <c r="H124" s="119">
        <f t="shared" si="21"/>
        <v>0</v>
      </c>
    </row>
    <row r="125" spans="1:8" x14ac:dyDescent="0.3">
      <c r="A125" s="269" t="s">
        <v>192</v>
      </c>
      <c r="B125" s="122" t="str">
        <f t="shared" si="18"/>
        <v>Butter - زبدة</v>
      </c>
      <c r="C125" s="122" t="str">
        <f t="shared" si="18"/>
        <v>gm</v>
      </c>
      <c r="D125" s="122">
        <f t="shared" si="18"/>
        <v>30</v>
      </c>
      <c r="E125" s="196">
        <f t="shared" si="22"/>
        <v>0</v>
      </c>
      <c r="F125" s="126">
        <f t="shared" si="19"/>
        <v>1</v>
      </c>
      <c r="G125" s="118">
        <f>D125*E125</f>
        <v>0</v>
      </c>
      <c r="H125" s="119">
        <f>G125*F125</f>
        <v>0</v>
      </c>
    </row>
    <row r="126" spans="1:8" x14ac:dyDescent="0.3">
      <c r="A126" s="269" t="s">
        <v>192</v>
      </c>
      <c r="B126" s="122" t="str">
        <f t="shared" si="18"/>
        <v>Black Pepper Powder - فلفل أسود مطحون</v>
      </c>
      <c r="C126" s="122" t="str">
        <f t="shared" si="18"/>
        <v>gm</v>
      </c>
      <c r="D126" s="122">
        <f t="shared" si="18"/>
        <v>3</v>
      </c>
      <c r="E126" s="196">
        <f t="shared" si="22"/>
        <v>0</v>
      </c>
      <c r="F126" s="126">
        <f t="shared" si="19"/>
        <v>1</v>
      </c>
      <c r="G126" s="118">
        <f>D126*E126</f>
        <v>0</v>
      </c>
      <c r="H126" s="119">
        <f>G126*F126</f>
        <v>0</v>
      </c>
    </row>
    <row r="127" spans="1:8" x14ac:dyDescent="0.3">
      <c r="A127" s="269" t="s">
        <v>192</v>
      </c>
      <c r="B127" s="122" t="str">
        <f t="shared" si="18"/>
        <v>Olive Oil - زيت زيتون</v>
      </c>
      <c r="C127" s="122" t="str">
        <f t="shared" si="18"/>
        <v>gm</v>
      </c>
      <c r="D127" s="122">
        <f t="shared" si="18"/>
        <v>5</v>
      </c>
      <c r="E127" s="196">
        <f t="shared" si="22"/>
        <v>0</v>
      </c>
      <c r="F127" s="126">
        <f t="shared" si="19"/>
        <v>1</v>
      </c>
      <c r="G127" s="118">
        <f>D127*E127</f>
        <v>0</v>
      </c>
      <c r="H127" s="119">
        <f>G127*F127</f>
        <v>0</v>
      </c>
    </row>
    <row r="128" spans="1:8" x14ac:dyDescent="0.3">
      <c r="A128" s="269" t="s">
        <v>192</v>
      </c>
      <c r="B128" s="122" t="str">
        <f t="shared" si="18"/>
        <v>Salt - ملح</v>
      </c>
      <c r="C128" s="122" t="str">
        <f t="shared" si="18"/>
        <v>gm</v>
      </c>
      <c r="D128" s="122">
        <f t="shared" si="18"/>
        <v>5</v>
      </c>
      <c r="E128" s="196">
        <f t="shared" si="22"/>
        <v>0</v>
      </c>
      <c r="F128" s="126">
        <f t="shared" si="19"/>
        <v>1</v>
      </c>
      <c r="G128" s="118">
        <f>D128*E128</f>
        <v>0</v>
      </c>
      <c r="H128" s="119">
        <f>G128*F128</f>
        <v>0</v>
      </c>
    </row>
    <row r="129" spans="2:8" ht="18" x14ac:dyDescent="0.3">
      <c r="B129" s="197" t="s">
        <v>356</v>
      </c>
      <c r="C129" s="199" t="s">
        <v>277</v>
      </c>
      <c r="D129" s="14"/>
      <c r="E129" s="199" t="s">
        <v>292</v>
      </c>
      <c r="F129" s="14"/>
      <c r="G129" s="878" t="s">
        <v>268</v>
      </c>
      <c r="H129" s="878" t="s">
        <v>714</v>
      </c>
    </row>
    <row r="130" spans="2:8" ht="20" x14ac:dyDescent="0.4">
      <c r="B130" s="198">
        <f>$J$55</f>
        <v>0</v>
      </c>
      <c r="C130" s="198">
        <f>E130+G130</f>
        <v>0</v>
      </c>
      <c r="D130" s="915"/>
      <c r="E130" s="198">
        <f>$D$55*$S$44</f>
        <v>0</v>
      </c>
      <c r="F130" s="919"/>
      <c r="G130" s="198">
        <f>$D$55*$T$44</f>
        <v>0</v>
      </c>
      <c r="H130" s="198">
        <f>B130+E130</f>
        <v>0</v>
      </c>
    </row>
  </sheetData>
  <mergeCells count="10">
    <mergeCell ref="B110:H110"/>
    <mergeCell ref="B85:H85"/>
    <mergeCell ref="B86:H86"/>
    <mergeCell ref="B62:H62"/>
    <mergeCell ref="B63:H63"/>
    <mergeCell ref="AE2:AG3"/>
    <mergeCell ref="F2:G3"/>
    <mergeCell ref="R26:U26"/>
    <mergeCell ref="R25:U25"/>
    <mergeCell ref="B109:H109"/>
  </mergeCells>
  <printOptions horizontalCentered="1"/>
  <pageMargins left="0.5" right="0.5" top="1" bottom="0.5" header="0.3" footer="0.511811023622047"/>
  <pageSetup paperSize="9" scale="28" orientation="portrait" r:id="rId1"/>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6DFE2E-E8C4-43F7-BA6D-11A24BB0DFDA}">
  <sheetPr codeName="Sheet79">
    <tabColor theme="6" tint="-0.249977111117893"/>
    <pageSetUpPr fitToPage="1"/>
  </sheetPr>
  <dimension ref="A1:AT973"/>
  <sheetViews>
    <sheetView zoomScaleNormal="100" workbookViewId="0">
      <selection activeCell="T95" sqref="T95"/>
    </sheetView>
  </sheetViews>
  <sheetFormatPr defaultColWidth="12.5" defaultRowHeight="12.5" x14ac:dyDescent="0.25"/>
  <cols>
    <col min="1" max="1" width="12.5" style="14" customWidth="1"/>
    <col min="2" max="2" width="38.33203125" style="14" customWidth="1"/>
    <col min="3" max="3" width="24" style="14" customWidth="1"/>
    <col min="4" max="4" width="19" style="14" customWidth="1"/>
    <col min="5" max="5" width="16.1640625" style="14" customWidth="1"/>
    <col min="6" max="6" width="23.08203125" style="14" customWidth="1"/>
    <col min="7" max="7" width="22.33203125" style="14" customWidth="1"/>
    <col min="8" max="8" width="36.1640625" style="14" customWidth="1"/>
    <col min="9" max="11" width="12.5" style="14" customWidth="1"/>
    <col min="12" max="12" width="8.33203125" style="14" customWidth="1"/>
    <col min="13" max="13" width="11.9140625" style="14" customWidth="1"/>
    <col min="14" max="14" width="8.83203125" style="14" customWidth="1"/>
    <col min="15" max="15" width="31.33203125" style="14" bestFit="1" customWidth="1"/>
    <col min="16" max="18" width="12.5" style="14" customWidth="1"/>
    <col min="19" max="19" width="15.9140625" style="14" customWidth="1"/>
    <col min="20" max="27" width="12.5" style="14" customWidth="1"/>
    <col min="28" max="28" width="11.75" style="14" bestFit="1" customWidth="1"/>
    <col min="29" max="29" width="13.25" style="14" bestFit="1" customWidth="1"/>
    <col min="30" max="30" width="10.08203125" style="14" bestFit="1" customWidth="1"/>
    <col min="31" max="31" width="7" style="14" bestFit="1" customWidth="1"/>
    <col min="32" max="35" width="4.5" style="14" customWidth="1"/>
    <col min="36" max="36" width="34.08203125" style="14" customWidth="1"/>
    <col min="37" max="37" width="12.5" style="14" customWidth="1"/>
    <col min="38" max="41" width="12.5" style="14"/>
    <col min="42" max="42" width="17.25" style="14" customWidth="1"/>
    <col min="43" max="16384" width="12.5" style="14"/>
  </cols>
  <sheetData>
    <row r="1" spans="1:46" ht="28.5" customHeight="1" x14ac:dyDescent="0.3">
      <c r="A1" s="1"/>
      <c r="B1" s="79" t="s">
        <v>235</v>
      </c>
      <c r="C1" s="80">
        <v>1000</v>
      </c>
      <c r="D1" s="81" t="s">
        <v>236</v>
      </c>
      <c r="E1" s="116">
        <f>S32</f>
        <v>27690</v>
      </c>
      <c r="F1" s="79" t="s">
        <v>237</v>
      </c>
      <c r="G1" s="619">
        <f>(E1/C1)</f>
        <v>27.69</v>
      </c>
      <c r="H1" s="79" t="s">
        <v>238</v>
      </c>
      <c r="I1" s="248">
        <f>(G1/K1)</f>
        <v>28.255102040816329</v>
      </c>
      <c r="J1" s="85" t="s">
        <v>239</v>
      </c>
      <c r="K1" s="80">
        <v>0.98</v>
      </c>
      <c r="L1" s="99"/>
      <c r="M1" s="99"/>
      <c r="N1" s="99"/>
      <c r="O1" s="90" t="s">
        <v>240</v>
      </c>
      <c r="P1" s="91" t="s">
        <v>336</v>
      </c>
      <c r="Q1" s="92" t="s">
        <v>242</v>
      </c>
      <c r="R1" s="91">
        <v>0.57999999999999996</v>
      </c>
      <c r="S1" s="90" t="s">
        <v>501</v>
      </c>
      <c r="T1" s="91" t="s">
        <v>303</v>
      </c>
      <c r="U1" s="92" t="s">
        <v>431</v>
      </c>
      <c r="V1" s="622">
        <v>0.84</v>
      </c>
      <c r="W1" s="14">
        <f>2100/2500</f>
        <v>0.84</v>
      </c>
      <c r="Y1" s="90" t="s">
        <v>463</v>
      </c>
      <c r="Z1" s="835">
        <v>27190</v>
      </c>
      <c r="AA1" s="90" t="s">
        <v>578</v>
      </c>
      <c r="AB1" s="835">
        <v>500</v>
      </c>
      <c r="AC1" s="90" t="s">
        <v>567</v>
      </c>
      <c r="AD1" s="835">
        <v>183</v>
      </c>
      <c r="AJ1" s="93" t="s">
        <v>254</v>
      </c>
      <c r="AK1" s="93">
        <v>10000</v>
      </c>
      <c r="AL1" s="623" t="s">
        <v>503</v>
      </c>
      <c r="AM1" s="624">
        <f>$S$32</f>
        <v>27690</v>
      </c>
      <c r="AN1" s="93" t="s">
        <v>243</v>
      </c>
      <c r="AO1" s="328">
        <f>(($S$32)/$R$1)/$AK$1</f>
        <v>4.7741379310344829</v>
      </c>
      <c r="AP1" s="94"/>
    </row>
    <row r="2" spans="1:46" ht="12.75" customHeight="1" x14ac:dyDescent="0.25">
      <c r="A2" s="329"/>
      <c r="B2" s="1449" t="s">
        <v>497</v>
      </c>
      <c r="C2" s="1449"/>
      <c r="D2" s="1449"/>
      <c r="E2" s="1449"/>
      <c r="F2" s="1449"/>
      <c r="G2" s="1449"/>
      <c r="H2" s="1449"/>
      <c r="I2" s="292"/>
      <c r="J2" s="292"/>
      <c r="K2" s="292"/>
      <c r="L2" s="292"/>
      <c r="M2" s="130"/>
      <c r="O2" s="99"/>
      <c r="P2" s="99"/>
      <c r="Q2" s="99"/>
      <c r="R2" s="99"/>
      <c r="S2" s="99"/>
      <c r="T2" s="99"/>
      <c r="U2" s="99"/>
      <c r="AJ2" s="100"/>
      <c r="AK2" s="100"/>
      <c r="AL2" s="1442" t="s">
        <v>508</v>
      </c>
      <c r="AM2" s="1442"/>
      <c r="AN2" s="101"/>
      <c r="AO2" s="100"/>
      <c r="AP2" s="100"/>
    </row>
    <row r="3" spans="1:46" ht="12.75" customHeight="1" x14ac:dyDescent="0.25">
      <c r="A3" s="329"/>
      <c r="B3" s="1450"/>
      <c r="C3" s="1450"/>
      <c r="D3" s="1450"/>
      <c r="E3" s="1450"/>
      <c r="F3" s="1450"/>
      <c r="G3" s="1450"/>
      <c r="H3" s="1450"/>
      <c r="I3" s="292"/>
      <c r="J3" s="292"/>
      <c r="K3" s="292"/>
      <c r="L3" s="292"/>
      <c r="M3" s="130"/>
      <c r="O3" s="99"/>
      <c r="P3" s="99"/>
      <c r="Q3" s="99"/>
      <c r="R3" s="99"/>
      <c r="S3" s="99"/>
      <c r="T3" s="99"/>
      <c r="U3" s="99"/>
      <c r="AJ3" s="103"/>
      <c r="AK3" s="103"/>
      <c r="AL3" s="104"/>
      <c r="AM3" s="104"/>
      <c r="AN3" s="104"/>
      <c r="AO3" s="103"/>
      <c r="AP3" s="103"/>
    </row>
    <row r="4" spans="1:46" ht="68.75" customHeight="1" x14ac:dyDescent="0.25">
      <c r="A4" s="90" t="s">
        <v>1</v>
      </c>
      <c r="B4" s="90" t="s">
        <v>245</v>
      </c>
      <c r="C4" s="106" t="s">
        <v>246</v>
      </c>
      <c r="D4" s="90" t="s">
        <v>235</v>
      </c>
      <c r="E4" s="107" t="s">
        <v>238</v>
      </c>
      <c r="F4" s="107" t="s">
        <v>247</v>
      </c>
      <c r="G4" s="90" t="s">
        <v>248</v>
      </c>
      <c r="H4" s="330" t="s">
        <v>339</v>
      </c>
      <c r="I4" s="90" t="s">
        <v>250</v>
      </c>
      <c r="J4" s="90" t="s">
        <v>251</v>
      </c>
      <c r="K4" s="90" t="s">
        <v>252</v>
      </c>
      <c r="L4" s="90" t="s">
        <v>253</v>
      </c>
      <c r="M4" s="130"/>
      <c r="O4" s="99"/>
      <c r="P4" s="99"/>
      <c r="Q4" s="99"/>
      <c r="R4" s="99"/>
      <c r="S4" s="99"/>
      <c r="AJ4" s="109" t="s">
        <v>245</v>
      </c>
      <c r="AK4" s="110" t="s">
        <v>246</v>
      </c>
      <c r="AL4" s="109" t="s">
        <v>254</v>
      </c>
      <c r="AM4" s="109" t="s">
        <v>238</v>
      </c>
      <c r="AN4" s="109" t="s">
        <v>247</v>
      </c>
      <c r="AO4" s="109" t="s">
        <v>248</v>
      </c>
      <c r="AP4" s="111" t="s">
        <v>249</v>
      </c>
      <c r="AQ4" s="90" t="s">
        <v>250</v>
      </c>
      <c r="AR4" s="90" t="s">
        <v>251</v>
      </c>
      <c r="AS4" s="90" t="s">
        <v>252</v>
      </c>
      <c r="AT4" s="90" t="s">
        <v>253</v>
      </c>
    </row>
    <row r="5" spans="1:46" ht="14.25" customHeight="1" x14ac:dyDescent="0.25">
      <c r="A5" s="294" t="s">
        <v>225</v>
      </c>
      <c r="B5" s="124" t="s">
        <v>224</v>
      </c>
      <c r="C5" s="123" t="s">
        <v>231</v>
      </c>
      <c r="D5" s="620">
        <f>C1/$R$1</f>
        <v>1724.1379310344828</v>
      </c>
      <c r="E5" s="115">
        <f>$G$1</f>
        <v>27.69</v>
      </c>
      <c r="F5" s="126">
        <v>1</v>
      </c>
      <c r="G5" s="118">
        <f>D5*E5</f>
        <v>47741.379310344833</v>
      </c>
      <c r="H5" s="119">
        <f>G5*F5</f>
        <v>47741.379310344833</v>
      </c>
      <c r="I5" s="80">
        <f>VLOOKUP(B5,All_Ingredients!$A$1:$F$149,6,FALSE())</f>
        <v>0.86</v>
      </c>
      <c r="J5" s="118">
        <f>VLOOKUP(B5,All_Ingredients!$A$1:$J$149,10,FALSE())</f>
        <v>17.100000000000001</v>
      </c>
      <c r="K5" s="121">
        <f>(H5/I5)/1000</f>
        <v>55.513231756214928</v>
      </c>
      <c r="L5" s="121">
        <f>K5*J5</f>
        <v>949.27626303127533</v>
      </c>
      <c r="M5" s="130"/>
      <c r="AJ5" s="122" t="s">
        <v>224</v>
      </c>
      <c r="AK5" s="123" t="s">
        <v>231</v>
      </c>
      <c r="AL5" s="124">
        <v>10</v>
      </c>
      <c r="AM5" s="196">
        <f>$AO$1</f>
        <v>4.7741379310344829</v>
      </c>
      <c r="AN5" s="126">
        <v>1</v>
      </c>
      <c r="AO5" s="377">
        <f>AL5*AM5</f>
        <v>47.741379310344826</v>
      </c>
      <c r="AP5" s="378">
        <f>AO5*AN5</f>
        <v>47.741379310344826</v>
      </c>
      <c r="AQ5" s="294"/>
      <c r="AR5" s="1152"/>
      <c r="AS5" s="174"/>
      <c r="AT5" s="1153"/>
    </row>
    <row r="6" spans="1:46" ht="14.25" customHeight="1" x14ac:dyDescent="0.25">
      <c r="B6" s="124" t="s">
        <v>545</v>
      </c>
      <c r="C6" s="123" t="s">
        <v>14</v>
      </c>
      <c r="D6" s="267">
        <f>($D$5*$R$1)*P11</f>
        <v>80</v>
      </c>
      <c r="E6" s="115">
        <f>$G$1</f>
        <v>27.69</v>
      </c>
      <c r="F6" s="126">
        <v>1</v>
      </c>
      <c r="G6" s="118">
        <f>D6*E6</f>
        <v>2215.2000000000003</v>
      </c>
      <c r="H6" s="119">
        <f>G6*F6</f>
        <v>2215.2000000000003</v>
      </c>
      <c r="I6" s="80">
        <f>VLOOKUP(B6,All_Ingredients!$A$1:$F$149,6,FALSE())</f>
        <v>1</v>
      </c>
      <c r="J6" s="118">
        <f>VLOOKUP(B6,All_Ingredients!$A$1:$J$149,10,FALSE())</f>
        <v>10.196078431372548</v>
      </c>
      <c r="K6" s="121">
        <f t="shared" ref="K6:K9" si="0">(H6/I6)/1000</f>
        <v>2.2152000000000003</v>
      </c>
      <c r="L6" s="121">
        <f t="shared" ref="L6:L9" si="1">K6*J6</f>
        <v>22.586352941176472</v>
      </c>
      <c r="M6" s="130"/>
      <c r="AJ6" s="122" t="s">
        <v>55</v>
      </c>
      <c r="AK6" s="333" t="s">
        <v>14</v>
      </c>
      <c r="AL6" s="334">
        <v>100</v>
      </c>
      <c r="AM6" s="196">
        <f t="shared" ref="AM6:AM19" si="2">$AO$1</f>
        <v>4.7741379310344829</v>
      </c>
      <c r="AN6" s="126">
        <v>1</v>
      </c>
      <c r="AO6" s="377">
        <f t="shared" ref="AO6:AO19" si="3">AL6*AM6</f>
        <v>477.41379310344831</v>
      </c>
      <c r="AP6" s="378">
        <f t="shared" ref="AP6:AP19" si="4">AO6*AN6</f>
        <v>477.41379310344831</v>
      </c>
      <c r="AQ6" s="1153">
        <f>VLOOKUP(AJ6,Marination_Ordering!$A:$J,6,FALSE)</f>
        <v>0.87</v>
      </c>
      <c r="AR6" s="1153">
        <f>VLOOKUP(AJ6,Marination_Ordering!$A:$J,10,FALSE)</f>
        <v>3.2</v>
      </c>
      <c r="AS6" s="174">
        <f>AP6/AQ6</f>
        <v>548.75148632580272</v>
      </c>
      <c r="AT6" s="1153">
        <f>AR6*(AS6/1000)</f>
        <v>1.7560047562425689</v>
      </c>
    </row>
    <row r="7" spans="1:46" ht="14.25" customHeight="1" x14ac:dyDescent="0.25">
      <c r="B7" s="124" t="s">
        <v>19</v>
      </c>
      <c r="C7" s="123" t="s">
        <v>14</v>
      </c>
      <c r="D7" s="267">
        <f>(($D$5*$R$1)*P12)/$V$1</f>
        <v>166.66666666666669</v>
      </c>
      <c r="E7" s="115">
        <f>$G$1</f>
        <v>27.69</v>
      </c>
      <c r="F7" s="126">
        <v>1</v>
      </c>
      <c r="G7" s="118">
        <f>D7*E7</f>
        <v>4615.0000000000009</v>
      </c>
      <c r="H7" s="119">
        <f>G7*F7</f>
        <v>4615.0000000000009</v>
      </c>
      <c r="I7" s="80">
        <f>VLOOKUP(B7,All_Ingredients!$A$1:$F$149,6,FALSE())</f>
        <v>0.84</v>
      </c>
      <c r="J7" s="118">
        <f>VLOOKUP(B7,All_Ingredients!$A$1:$J$149,10,FALSE())</f>
        <v>2.6</v>
      </c>
      <c r="K7" s="121">
        <f t="shared" si="0"/>
        <v>5.4940476190476204</v>
      </c>
      <c r="L7" s="121">
        <f t="shared" si="1"/>
        <v>14.284523809523813</v>
      </c>
      <c r="M7" s="130"/>
      <c r="AJ7" s="122" t="s">
        <v>762</v>
      </c>
      <c r="AK7" s="333" t="s">
        <v>14</v>
      </c>
      <c r="AL7" s="334">
        <v>100</v>
      </c>
      <c r="AM7" s="196">
        <f t="shared" si="2"/>
        <v>4.7741379310344829</v>
      </c>
      <c r="AN7" s="126">
        <v>1</v>
      </c>
      <c r="AO7" s="377">
        <f t="shared" si="3"/>
        <v>477.41379310344831</v>
      </c>
      <c r="AP7" s="378">
        <f t="shared" si="4"/>
        <v>477.41379310344831</v>
      </c>
      <c r="AQ7" s="1153">
        <f>VLOOKUP(AJ7,Marination_Ordering!$A:$J,6,FALSE)</f>
        <v>1</v>
      </c>
      <c r="AR7" s="1153">
        <f>VLOOKUP(AJ7,Marination_Ordering!$A:$J,10,FALSE)</f>
        <v>10.5</v>
      </c>
      <c r="AS7" s="174">
        <f t="shared" ref="AS7:AS9" si="5">AP7/AQ7</f>
        <v>477.41379310344831</v>
      </c>
      <c r="AT7" s="1153">
        <f t="shared" ref="AT7:AT9" si="6">AR7*(AS7/1000)</f>
        <v>5.0128448275862079</v>
      </c>
    </row>
    <row r="8" spans="1:46" ht="14.25" customHeight="1" x14ac:dyDescent="0.25">
      <c r="B8" s="124" t="s">
        <v>498</v>
      </c>
      <c r="C8" s="123" t="s">
        <v>14</v>
      </c>
      <c r="D8" s="267">
        <f>($D$5*$R$1)*P13</f>
        <v>80</v>
      </c>
      <c r="E8" s="115">
        <f>$G$1</f>
        <v>27.69</v>
      </c>
      <c r="F8" s="126">
        <v>1</v>
      </c>
      <c r="G8" s="118">
        <f>D8*E8</f>
        <v>2215.2000000000003</v>
      </c>
      <c r="H8" s="119">
        <f>G8*F8</f>
        <v>2215.2000000000003</v>
      </c>
      <c r="I8" s="80">
        <f>VLOOKUP(B8,All_Ingredients!$A$1:$F$149,6,FALSE())</f>
        <v>1</v>
      </c>
      <c r="J8" s="118">
        <f>VLOOKUP(B8,All_Ingredients!$A$1:$J$149,10,FALSE())</f>
        <v>16.666666666666668</v>
      </c>
      <c r="K8" s="121">
        <f t="shared" si="0"/>
        <v>2.2152000000000003</v>
      </c>
      <c r="L8" s="121">
        <f t="shared" si="1"/>
        <v>36.920000000000009</v>
      </c>
      <c r="M8" s="130"/>
      <c r="AJ8" s="122" t="s">
        <v>106</v>
      </c>
      <c r="AK8" s="333" t="s">
        <v>14</v>
      </c>
      <c r="AL8" s="334">
        <v>10</v>
      </c>
      <c r="AM8" s="196">
        <f t="shared" si="2"/>
        <v>4.7741379310344829</v>
      </c>
      <c r="AN8" s="126">
        <v>1</v>
      </c>
      <c r="AO8" s="377">
        <f t="shared" si="3"/>
        <v>47.741379310344826</v>
      </c>
      <c r="AP8" s="378">
        <f t="shared" si="4"/>
        <v>47.741379310344826</v>
      </c>
      <c r="AQ8" s="1153">
        <f>VLOOKUP(AJ8,Marination_Ordering!$A:$J,6,FALSE)</f>
        <v>1</v>
      </c>
      <c r="AR8" s="1153">
        <f>VLOOKUP(AJ8,Marination_Ordering!$A:$J,10,FALSE)</f>
        <v>15</v>
      </c>
      <c r="AS8" s="174">
        <f t="shared" si="5"/>
        <v>47.741379310344826</v>
      </c>
      <c r="AT8" s="1153">
        <f t="shared" si="6"/>
        <v>0.71612068965517239</v>
      </c>
    </row>
    <row r="9" spans="1:46" ht="14.25" customHeight="1" x14ac:dyDescent="0.25">
      <c r="B9" s="124" t="s">
        <v>500</v>
      </c>
      <c r="C9" s="123" t="s">
        <v>14</v>
      </c>
      <c r="D9" s="267">
        <f>($D$5*$R$1)*P14</f>
        <v>100</v>
      </c>
      <c r="E9" s="115">
        <f>$G$1</f>
        <v>27.69</v>
      </c>
      <c r="F9" s="126">
        <v>1</v>
      </c>
      <c r="G9" s="118">
        <f>D9*E9</f>
        <v>2769</v>
      </c>
      <c r="H9" s="119">
        <f>G9*F9</f>
        <v>2769</v>
      </c>
      <c r="I9" s="80">
        <f>VLOOKUP(B9,All_Ingredients!$A$1:$F$149,6,FALSE())</f>
        <v>0.88</v>
      </c>
      <c r="J9" s="118">
        <f>VLOOKUP(B9,All_Ingredients!$A$1:$J$149,10,FALSE())</f>
        <v>3</v>
      </c>
      <c r="K9" s="121">
        <f t="shared" si="0"/>
        <v>3.146590909090909</v>
      </c>
      <c r="L9" s="121">
        <f t="shared" si="1"/>
        <v>9.439772727272727</v>
      </c>
      <c r="M9" s="130"/>
      <c r="N9" s="130"/>
      <c r="AJ9" s="122" t="s">
        <v>108</v>
      </c>
      <c r="AK9" s="333" t="s">
        <v>14</v>
      </c>
      <c r="AL9" s="334">
        <v>10</v>
      </c>
      <c r="AM9" s="196">
        <f t="shared" si="2"/>
        <v>4.7741379310344829</v>
      </c>
      <c r="AN9" s="126">
        <v>1</v>
      </c>
      <c r="AO9" s="377">
        <f t="shared" si="3"/>
        <v>47.741379310344826</v>
      </c>
      <c r="AP9" s="378">
        <f t="shared" si="4"/>
        <v>47.741379310344826</v>
      </c>
      <c r="AQ9" s="1153">
        <f>VLOOKUP(AJ9,Marination_Ordering!$A:$J,6,FALSE)</f>
        <v>1</v>
      </c>
      <c r="AR9" s="1153">
        <f>VLOOKUP(AJ9,Marination_Ordering!$A:$J,10,FALSE)</f>
        <v>8</v>
      </c>
      <c r="AS9" s="174">
        <f t="shared" si="5"/>
        <v>47.741379310344826</v>
      </c>
      <c r="AT9" s="1153">
        <f t="shared" si="6"/>
        <v>0.38193103448275861</v>
      </c>
    </row>
    <row r="10" spans="1:46" ht="14.25" customHeight="1" x14ac:dyDescent="0.25">
      <c r="B10" s="211"/>
      <c r="C10" s="211"/>
      <c r="D10" s="211"/>
      <c r="E10" s="332"/>
      <c r="F10" s="135"/>
      <c r="G10" s="136"/>
      <c r="H10" s="137"/>
      <c r="I10" s="91"/>
      <c r="J10" s="136"/>
      <c r="K10" s="130"/>
      <c r="L10" s="130"/>
      <c r="M10" s="130"/>
      <c r="N10" s="130"/>
      <c r="AJ10" s="122" t="s">
        <v>94</v>
      </c>
      <c r="AK10" s="333" t="s">
        <v>14</v>
      </c>
      <c r="AL10" s="334">
        <v>5</v>
      </c>
      <c r="AM10" s="196">
        <f t="shared" si="2"/>
        <v>4.7741379310344829</v>
      </c>
      <c r="AN10" s="126">
        <v>1</v>
      </c>
      <c r="AO10" s="377">
        <f t="shared" si="3"/>
        <v>23.870689655172413</v>
      </c>
      <c r="AP10" s="378">
        <f t="shared" si="4"/>
        <v>23.870689655172413</v>
      </c>
      <c r="AQ10" s="1153">
        <f>VLOOKUP(AJ10,Marination_Ordering!$A:$J,6,FALSE)</f>
        <v>1</v>
      </c>
      <c r="AR10" s="1153">
        <f>VLOOKUP(AJ10,Marination_Ordering!$A:$J,10,FALSE)</f>
        <v>0.74</v>
      </c>
      <c r="AS10" s="174">
        <f t="shared" ref="AS10:AS19" si="7">AP10/AQ10</f>
        <v>23.870689655172413</v>
      </c>
      <c r="AT10" s="1153">
        <f t="shared" ref="AT10:AT19" si="8">AR10*(AS10/1000)</f>
        <v>1.7664310344827586E-2</v>
      </c>
    </row>
    <row r="11" spans="1:46" ht="14.25" customHeight="1" x14ac:dyDescent="0.25">
      <c r="B11" s="211"/>
      <c r="C11" s="211"/>
      <c r="D11" s="211"/>
      <c r="E11" s="332"/>
      <c r="F11" s="135"/>
      <c r="G11" s="136"/>
      <c r="H11" s="137"/>
      <c r="I11" s="91"/>
      <c r="J11" s="136"/>
      <c r="K11" s="130"/>
      <c r="L11" s="130"/>
      <c r="M11" s="136"/>
      <c r="N11" s="130"/>
      <c r="O11" s="135" t="s">
        <v>545</v>
      </c>
      <c r="P11" s="621">
        <v>0.08</v>
      </c>
      <c r="AJ11" s="122" t="s">
        <v>102</v>
      </c>
      <c r="AK11" s="333" t="s">
        <v>14</v>
      </c>
      <c r="AL11" s="334">
        <v>5</v>
      </c>
      <c r="AM11" s="196">
        <f t="shared" si="2"/>
        <v>4.7741379310344829</v>
      </c>
      <c r="AN11" s="126">
        <v>1</v>
      </c>
      <c r="AO11" s="377">
        <f t="shared" si="3"/>
        <v>23.870689655172413</v>
      </c>
      <c r="AP11" s="378">
        <f t="shared" si="4"/>
        <v>23.870689655172413</v>
      </c>
      <c r="AQ11" s="1153">
        <f>VLOOKUP(AJ11,Marination_Ordering!$A:$J,6,FALSE)</f>
        <v>1</v>
      </c>
      <c r="AR11" s="1153">
        <f>VLOOKUP(AJ11,Marination_Ordering!$A:$J,10,FALSE)</f>
        <v>47</v>
      </c>
      <c r="AS11" s="174">
        <f t="shared" si="7"/>
        <v>23.870689655172413</v>
      </c>
      <c r="AT11" s="1153">
        <f t="shared" si="8"/>
        <v>1.1219224137931034</v>
      </c>
    </row>
    <row r="12" spans="1:46" ht="14.25" customHeight="1" x14ac:dyDescent="0.25">
      <c r="B12" s="211"/>
      <c r="C12" s="331"/>
      <c r="D12" s="211"/>
      <c r="E12" s="332"/>
      <c r="F12" s="135"/>
      <c r="G12" s="136"/>
      <c r="H12" s="137"/>
      <c r="I12" s="91"/>
      <c r="J12" s="136"/>
      <c r="K12" s="130"/>
      <c r="L12" s="130"/>
      <c r="M12" s="136"/>
      <c r="N12" s="130"/>
      <c r="O12" s="135" t="s">
        <v>19</v>
      </c>
      <c r="P12" s="621">
        <v>0.14000000000000001</v>
      </c>
      <c r="AJ12" s="122" t="s">
        <v>174</v>
      </c>
      <c r="AK12" s="333" t="s">
        <v>14</v>
      </c>
      <c r="AL12" s="334">
        <v>100</v>
      </c>
      <c r="AM12" s="196">
        <f t="shared" si="2"/>
        <v>4.7741379310344829</v>
      </c>
      <c r="AN12" s="126">
        <v>1</v>
      </c>
      <c r="AO12" s="377">
        <f t="shared" si="3"/>
        <v>477.41379310344831</v>
      </c>
      <c r="AP12" s="378">
        <f t="shared" si="4"/>
        <v>477.41379310344831</v>
      </c>
      <c r="AQ12" s="1153">
        <f>VLOOKUP(AJ12,Marination_Ordering!$A:$J,6,FALSE)</f>
        <v>1</v>
      </c>
      <c r="AR12" s="1153">
        <f>VLOOKUP(AJ12,Marination_Ordering!$A:$J,10,FALSE)</f>
        <v>17.934782608695652</v>
      </c>
      <c r="AS12" s="174">
        <f t="shared" si="7"/>
        <v>477.41379310344831</v>
      </c>
      <c r="AT12" s="1153">
        <f t="shared" si="8"/>
        <v>8.5623125937031492</v>
      </c>
    </row>
    <row r="13" spans="1:46" ht="14.25" customHeight="1" x14ac:dyDescent="0.25">
      <c r="B13" s="211"/>
      <c r="C13" s="331"/>
      <c r="D13" s="211"/>
      <c r="E13" s="332"/>
      <c r="F13" s="135"/>
      <c r="G13" s="253"/>
      <c r="H13" s="137"/>
      <c r="I13" s="91"/>
      <c r="J13" s="136"/>
      <c r="K13" s="130"/>
      <c r="L13" s="130"/>
      <c r="M13" s="136"/>
      <c r="N13" s="136"/>
      <c r="O13" s="135" t="s">
        <v>498</v>
      </c>
      <c r="P13" s="621">
        <v>0.08</v>
      </c>
      <c r="AJ13" s="122" t="s">
        <v>214</v>
      </c>
      <c r="AK13" s="333" t="s">
        <v>161</v>
      </c>
      <c r="AL13" s="334">
        <v>100</v>
      </c>
      <c r="AM13" s="196">
        <f t="shared" si="2"/>
        <v>4.7741379310344829</v>
      </c>
      <c r="AN13" s="126">
        <v>1</v>
      </c>
      <c r="AO13" s="377">
        <f t="shared" si="3"/>
        <v>477.41379310344831</v>
      </c>
      <c r="AP13" s="378">
        <f t="shared" si="4"/>
        <v>477.41379310344831</v>
      </c>
      <c r="AQ13" s="1153">
        <f>VLOOKUP(AJ13,Marination_Ordering!$A:$J,6,FALSE)</f>
        <v>1</v>
      </c>
      <c r="AR13" s="1153">
        <f>VLOOKUP(AJ13,Marination_Ordering!$A:$J,10,FALSE)</f>
        <v>5</v>
      </c>
      <c r="AS13" s="174">
        <f t="shared" si="7"/>
        <v>477.41379310344831</v>
      </c>
      <c r="AT13" s="1153">
        <f t="shared" si="8"/>
        <v>2.3870689655172415</v>
      </c>
    </row>
    <row r="14" spans="1:46" ht="14.25" customHeight="1" x14ac:dyDescent="0.25">
      <c r="B14" s="211"/>
      <c r="C14" s="331"/>
      <c r="D14" s="211"/>
      <c r="E14" s="332"/>
      <c r="F14" s="135"/>
      <c r="G14" s="136"/>
      <c r="H14" s="137"/>
      <c r="I14" s="91"/>
      <c r="J14" s="136"/>
      <c r="K14" s="130"/>
      <c r="L14" s="130"/>
      <c r="M14" s="136"/>
      <c r="N14" s="136"/>
      <c r="O14" s="99" t="s">
        <v>500</v>
      </c>
      <c r="P14" s="621">
        <v>0.1</v>
      </c>
      <c r="AJ14" s="122" t="s">
        <v>763</v>
      </c>
      <c r="AK14" s="333" t="s">
        <v>14</v>
      </c>
      <c r="AL14" s="334">
        <v>50</v>
      </c>
      <c r="AM14" s="196">
        <f t="shared" si="2"/>
        <v>4.7741379310344829</v>
      </c>
      <c r="AN14" s="126">
        <v>1</v>
      </c>
      <c r="AO14" s="377">
        <f t="shared" si="3"/>
        <v>238.70689655172416</v>
      </c>
      <c r="AP14" s="378">
        <f t="shared" si="4"/>
        <v>238.70689655172416</v>
      </c>
      <c r="AQ14" s="1153">
        <f>VLOOKUP(AJ14,Marination_Ordering!$A:$J,6,FALSE)</f>
        <v>1</v>
      </c>
      <c r="AR14" s="1153">
        <f>VLOOKUP(AJ14,Marination_Ordering!$A:$J,10,FALSE)</f>
        <v>40.74074074074074</v>
      </c>
      <c r="AS14" s="174">
        <f t="shared" si="7"/>
        <v>238.70689655172416</v>
      </c>
      <c r="AT14" s="1153">
        <f t="shared" si="8"/>
        <v>9.7250957854406135</v>
      </c>
    </row>
    <row r="15" spans="1:46" ht="14.25" customHeight="1" x14ac:dyDescent="0.25">
      <c r="C15" s="331"/>
      <c r="D15" s="211"/>
      <c r="E15" s="332"/>
      <c r="F15" s="135"/>
      <c r="G15" s="253"/>
      <c r="H15" s="137"/>
      <c r="I15" s="91"/>
      <c r="J15" s="136"/>
      <c r="K15" s="130"/>
      <c r="L15" s="130"/>
      <c r="M15" s="130"/>
      <c r="N15" s="136"/>
      <c r="O15" s="99" t="s">
        <v>266</v>
      </c>
      <c r="P15" s="413">
        <f>SUM(P11:P14)</f>
        <v>0.4</v>
      </c>
      <c r="AJ15" s="122" t="s">
        <v>167</v>
      </c>
      <c r="AK15" s="333" t="s">
        <v>161</v>
      </c>
      <c r="AL15" s="334">
        <v>400</v>
      </c>
      <c r="AM15" s="196">
        <f t="shared" si="2"/>
        <v>4.7741379310344829</v>
      </c>
      <c r="AN15" s="126">
        <v>1</v>
      </c>
      <c r="AO15" s="377">
        <f t="shared" si="3"/>
        <v>1909.6551724137933</v>
      </c>
      <c r="AP15" s="378">
        <f t="shared" si="4"/>
        <v>1909.6551724137933</v>
      </c>
      <c r="AQ15" s="1153">
        <f>VLOOKUP(AJ15,Marination_Ordering!$A:$J,6,FALSE)</f>
        <v>1</v>
      </c>
      <c r="AR15" s="1153">
        <f>VLOOKUP(AJ15,Marination_Ordering!$A:$J,10,FALSE)</f>
        <v>12.666666666666666</v>
      </c>
      <c r="AS15" s="174">
        <f t="shared" si="7"/>
        <v>1909.6551724137933</v>
      </c>
      <c r="AT15" s="1153">
        <f t="shared" si="8"/>
        <v>24.188965517241382</v>
      </c>
    </row>
    <row r="16" spans="1:46" ht="14.25" customHeight="1" x14ac:dyDescent="0.25">
      <c r="C16" s="331"/>
      <c r="D16" s="211"/>
      <c r="E16" s="332"/>
      <c r="G16" s="253"/>
      <c r="H16" s="137"/>
      <c r="I16" s="91"/>
      <c r="J16" s="136"/>
      <c r="K16" s="130"/>
      <c r="L16" s="130"/>
      <c r="M16" s="130"/>
      <c r="N16" s="136"/>
      <c r="AJ16" s="122" t="s">
        <v>129</v>
      </c>
      <c r="AK16" s="333" t="s">
        <v>14</v>
      </c>
      <c r="AL16" s="334">
        <v>5</v>
      </c>
      <c r="AM16" s="196">
        <f t="shared" si="2"/>
        <v>4.7741379310344829</v>
      </c>
      <c r="AN16" s="126">
        <v>1</v>
      </c>
      <c r="AO16" s="377">
        <f t="shared" si="3"/>
        <v>23.870689655172413</v>
      </c>
      <c r="AP16" s="378">
        <f t="shared" si="4"/>
        <v>23.870689655172413</v>
      </c>
      <c r="AQ16" s="1153">
        <f>VLOOKUP(AJ16,Marination_Ordering!$A:$J,6,FALSE)</f>
        <v>1</v>
      </c>
      <c r="AR16" s="1153">
        <f>VLOOKUP(AJ16,Marination_Ordering!$A:$J,10,FALSE)</f>
        <v>107</v>
      </c>
      <c r="AS16" s="174">
        <f t="shared" si="7"/>
        <v>23.870689655172413</v>
      </c>
      <c r="AT16" s="1153">
        <f t="shared" si="8"/>
        <v>2.5541637931034482</v>
      </c>
    </row>
    <row r="17" spans="2:46" ht="14.25" customHeight="1" x14ac:dyDescent="0.25">
      <c r="C17" s="331"/>
      <c r="D17" s="211"/>
      <c r="E17" s="332"/>
      <c r="G17" s="253"/>
      <c r="H17" s="137"/>
      <c r="I17" s="91"/>
      <c r="J17" s="136"/>
      <c r="K17" s="130"/>
      <c r="L17" s="130"/>
      <c r="M17" s="130"/>
      <c r="AJ17" s="122" t="s">
        <v>164</v>
      </c>
      <c r="AK17" s="333" t="s">
        <v>14</v>
      </c>
      <c r="AL17" s="334">
        <v>200</v>
      </c>
      <c r="AM17" s="196">
        <f t="shared" si="2"/>
        <v>4.7741379310344829</v>
      </c>
      <c r="AN17" s="126">
        <v>1</v>
      </c>
      <c r="AO17" s="377">
        <f t="shared" si="3"/>
        <v>954.82758620689663</v>
      </c>
      <c r="AP17" s="378">
        <f t="shared" si="4"/>
        <v>954.82758620689663</v>
      </c>
      <c r="AQ17" s="1153">
        <f>VLOOKUP(AJ17,Marination_Ordering!$A:$J,6,FALSE)</f>
        <v>1</v>
      </c>
      <c r="AR17" s="1153">
        <f>VLOOKUP(AJ17,Marination_Ordering!$A:$J,10,FALSE)</f>
        <v>6.6959999999999997</v>
      </c>
      <c r="AS17" s="174">
        <f t="shared" si="7"/>
        <v>954.82758620689663</v>
      </c>
      <c r="AT17" s="1153">
        <f t="shared" si="8"/>
        <v>6.3935255172413799</v>
      </c>
    </row>
    <row r="18" spans="2:46" ht="14.25" customHeight="1" x14ac:dyDescent="0.25">
      <c r="C18" s="331"/>
      <c r="D18" s="211"/>
      <c r="E18" s="332"/>
      <c r="G18" s="253"/>
      <c r="H18" s="137"/>
      <c r="I18" s="91"/>
      <c r="J18" s="136"/>
      <c r="K18" s="130"/>
      <c r="L18" s="130"/>
      <c r="M18" s="130"/>
      <c r="AJ18" s="122" t="s">
        <v>61</v>
      </c>
      <c r="AK18" s="333" t="s">
        <v>14</v>
      </c>
      <c r="AL18" s="334">
        <v>10</v>
      </c>
      <c r="AM18" s="196">
        <f t="shared" si="2"/>
        <v>4.7741379310344829</v>
      </c>
      <c r="AN18" s="126">
        <v>1</v>
      </c>
      <c r="AO18" s="377">
        <f t="shared" si="3"/>
        <v>47.741379310344826</v>
      </c>
      <c r="AP18" s="378">
        <f t="shared" si="4"/>
        <v>47.741379310344826</v>
      </c>
      <c r="AQ18" s="1153">
        <f>VLOOKUP(AJ18,Marination_Ordering!$A:$J,6,FALSE)</f>
        <v>0.94</v>
      </c>
      <c r="AR18" s="1153">
        <f>VLOOKUP(AJ18,Marination_Ordering!$A:$J,10,FALSE)</f>
        <v>3.6363636363636367</v>
      </c>
      <c r="AS18" s="174">
        <f t="shared" si="7"/>
        <v>50.788701393983857</v>
      </c>
      <c r="AT18" s="1153">
        <f t="shared" si="8"/>
        <v>0.18468618688721405</v>
      </c>
    </row>
    <row r="19" spans="2:46" ht="14.25" customHeight="1" x14ac:dyDescent="0.3">
      <c r="B19" s="11"/>
      <c r="C19" s="335"/>
      <c r="D19" s="336"/>
      <c r="E19" s="99"/>
      <c r="K19" s="138"/>
      <c r="L19" s="91"/>
      <c r="M19" s="136"/>
      <c r="N19" s="130"/>
      <c r="O19" s="130"/>
      <c r="AJ19" s="122" t="s">
        <v>34</v>
      </c>
      <c r="AK19" s="333" t="s">
        <v>14</v>
      </c>
      <c r="AL19" s="334">
        <v>35</v>
      </c>
      <c r="AM19" s="196">
        <f t="shared" si="2"/>
        <v>4.7741379310344829</v>
      </c>
      <c r="AN19" s="126">
        <v>1</v>
      </c>
      <c r="AO19" s="377">
        <f t="shared" si="3"/>
        <v>167.09482758620689</v>
      </c>
      <c r="AP19" s="378">
        <f t="shared" si="4"/>
        <v>167.09482758620689</v>
      </c>
      <c r="AQ19" s="1153">
        <f>VLOOKUP(AJ19,Marination_Ordering!$A:$J,6,FALSE)</f>
        <v>0.86</v>
      </c>
      <c r="AR19" s="1153">
        <f>VLOOKUP(AJ19,Marination_Ordering!$A:$J,10,FALSE)</f>
        <v>14</v>
      </c>
      <c r="AS19" s="174">
        <f t="shared" si="7"/>
        <v>194.2963111467522</v>
      </c>
      <c r="AT19" s="1153">
        <f t="shared" si="8"/>
        <v>2.7201483560545308</v>
      </c>
    </row>
    <row r="20" spans="2:46" ht="14.25" customHeight="1" x14ac:dyDescent="0.3">
      <c r="B20" s="11"/>
      <c r="C20" s="617"/>
      <c r="D20" s="336"/>
      <c r="E20" s="99"/>
      <c r="K20" s="138"/>
      <c r="L20" s="91"/>
      <c r="M20" s="136"/>
      <c r="N20" s="130"/>
      <c r="O20" s="130"/>
    </row>
    <row r="21" spans="2:46" ht="12.75" customHeight="1" x14ac:dyDescent="0.25">
      <c r="B21" s="99"/>
      <c r="C21" s="618"/>
      <c r="E21" s="99"/>
      <c r="F21" s="99"/>
      <c r="K21" s="138"/>
      <c r="L21" s="91"/>
      <c r="M21" s="136"/>
      <c r="N21" s="130"/>
      <c r="O21" s="130"/>
    </row>
    <row r="22" spans="2:46" ht="12.75" customHeight="1" x14ac:dyDescent="0.25">
      <c r="B22" s="99"/>
      <c r="E22" s="99"/>
      <c r="F22" s="99"/>
      <c r="K22" s="138"/>
      <c r="L22" s="91"/>
      <c r="M22" s="136"/>
      <c r="N22" s="130"/>
      <c r="O22" s="130"/>
    </row>
    <row r="23" spans="2:46" x14ac:dyDescent="0.25">
      <c r="C23" s="618"/>
    </row>
    <row r="24" spans="2:46" x14ac:dyDescent="0.25">
      <c r="Z24" s="1208"/>
    </row>
    <row r="25" spans="2:46" ht="14" customHeight="1" x14ac:dyDescent="0.3">
      <c r="C25"/>
      <c r="R25" s="1467" t="s">
        <v>496</v>
      </c>
      <c r="S25" s="1444"/>
      <c r="T25" s="1444"/>
      <c r="U25" s="1444"/>
      <c r="V25" s="1187"/>
      <c r="W25" s="1187"/>
      <c r="Z25" s="140" t="s">
        <v>256</v>
      </c>
      <c r="AA25" s="141">
        <v>1</v>
      </c>
      <c r="AB25" s="150" t="s">
        <v>253</v>
      </c>
      <c r="AC25" s="1207">
        <f>((AA25*1.4)*AD30)+(Z30*(AA28/R1))</f>
        <v>4.0585020955949458E-2</v>
      </c>
    </row>
    <row r="26" spans="2:46" ht="14" customHeight="1" x14ac:dyDescent="0.3">
      <c r="C26"/>
      <c r="R26" s="1451" t="s">
        <v>295</v>
      </c>
      <c r="S26" s="1452"/>
      <c r="T26" s="1452"/>
      <c r="U26" s="1452"/>
      <c r="V26" s="1187"/>
      <c r="W26" s="1187"/>
    </row>
    <row r="27" spans="2:46" ht="14" customHeight="1" thickBot="1" x14ac:dyDescent="0.35">
      <c r="C27"/>
      <c r="R27" s="225" t="s">
        <v>258</v>
      </c>
      <c r="S27" s="226" t="s">
        <v>363</v>
      </c>
      <c r="T27" s="226" t="s">
        <v>471</v>
      </c>
      <c r="U27" s="226" t="s">
        <v>261</v>
      </c>
      <c r="V27" s="145" t="s">
        <v>808</v>
      </c>
      <c r="W27" s="145" t="s">
        <v>817</v>
      </c>
      <c r="Y27" s="140" t="s">
        <v>262</v>
      </c>
      <c r="Z27" s="1166" t="s">
        <v>316</v>
      </c>
      <c r="AA27" s="1166" t="s">
        <v>838</v>
      </c>
      <c r="AB27" s="1166" t="s">
        <v>471</v>
      </c>
      <c r="AC27" s="1167" t="s">
        <v>817</v>
      </c>
      <c r="AD27" s="146" t="s">
        <v>266</v>
      </c>
    </row>
    <row r="28" spans="2:46" ht="14" customHeight="1" thickBot="1" x14ac:dyDescent="0.35">
      <c r="C28"/>
      <c r="M28" s="337"/>
      <c r="R28" s="143" t="s">
        <v>267</v>
      </c>
      <c r="S28" s="1334">
        <f>$Z$1</f>
        <v>27190</v>
      </c>
      <c r="T28" s="1331">
        <f>S28*$P$15</f>
        <v>10876</v>
      </c>
      <c r="U28" s="1331">
        <f>S28+T28</f>
        <v>38066</v>
      </c>
      <c r="V28" s="148">
        <f>SUM(AP5:AP19)</f>
        <v>5442.5172413793107</v>
      </c>
      <c r="W28" s="148">
        <f>H37</f>
        <v>2196</v>
      </c>
      <c r="Y28" s="150"/>
      <c r="Z28" s="1169"/>
      <c r="AA28" s="151">
        <f>AA25</f>
        <v>1</v>
      </c>
      <c r="AB28" s="151">
        <f>AA25*P15</f>
        <v>0.4</v>
      </c>
      <c r="AC28" s="1169"/>
      <c r="AD28" s="153">
        <f>SUM(AA28:AB28)</f>
        <v>1.4</v>
      </c>
    </row>
    <row r="29" spans="2:46" ht="14" customHeight="1" thickBot="1" x14ac:dyDescent="0.35">
      <c r="R29" s="143" t="s">
        <v>268</v>
      </c>
      <c r="S29" s="229"/>
      <c r="T29" s="1331"/>
      <c r="U29" s="1331">
        <f>T29</f>
        <v>0</v>
      </c>
      <c r="V29" s="148"/>
      <c r="W29" s="148"/>
      <c r="Y29" s="150"/>
      <c r="Z29" s="1173"/>
      <c r="AA29" s="155">
        <f>AA28/$AD$28</f>
        <v>0.7142857142857143</v>
      </c>
      <c r="AB29" s="155">
        <f>AB28/$AD$28</f>
        <v>0.28571428571428575</v>
      </c>
      <c r="AC29" s="1173"/>
      <c r="AD29" s="155">
        <f>AD28/$AD$28</f>
        <v>1</v>
      </c>
    </row>
    <row r="30" spans="2:46" ht="14" customHeight="1" thickBot="1" x14ac:dyDescent="0.35">
      <c r="R30" s="143" t="s">
        <v>269</v>
      </c>
      <c r="S30" s="1345">
        <f>$AB$1</f>
        <v>500</v>
      </c>
      <c r="T30" s="1331">
        <f>S30*$P$15</f>
        <v>200</v>
      </c>
      <c r="U30" s="1331">
        <f>S30+T30</f>
        <v>700</v>
      </c>
      <c r="V30" s="1124"/>
      <c r="W30" s="1124"/>
      <c r="Y30" s="140" t="s">
        <v>270</v>
      </c>
      <c r="Z30" s="1177">
        <f>V35/(S32/R1)</f>
        <v>1.3766350217923539E-3</v>
      </c>
      <c r="AA30" s="156">
        <f>S35/(S32)</f>
        <v>3.4282277465918214E-2</v>
      </c>
      <c r="AB30" s="157">
        <f>T35/T32</f>
        <v>7.5145042865631109E-3</v>
      </c>
      <c r="AC30" s="1180">
        <f>W35/U32</f>
        <v>6.595950836738025E-4</v>
      </c>
      <c r="AD30" s="1182">
        <f>SUMPRODUCT(AA30:AB30,AA29:AB29)+AC30</f>
        <v>2.7293937355490561E-2</v>
      </c>
    </row>
    <row r="31" spans="2:46" ht="14" customHeight="1" thickBot="1" x14ac:dyDescent="0.35">
      <c r="R31" s="143" t="s">
        <v>271</v>
      </c>
      <c r="S31" s="229"/>
      <c r="T31" s="227"/>
      <c r="U31" s="227"/>
      <c r="V31" s="148"/>
      <c r="W31" s="148"/>
    </row>
    <row r="32" spans="2:46" ht="14" customHeight="1" thickBot="1" x14ac:dyDescent="0.35">
      <c r="R32" s="235" t="s">
        <v>261</v>
      </c>
      <c r="S32" s="227">
        <f>S28+S30</f>
        <v>27690</v>
      </c>
      <c r="T32" s="227">
        <f>SUM(T28:T30)</f>
        <v>11076</v>
      </c>
      <c r="U32" s="227">
        <f>SUM(U28:U30)</f>
        <v>38766</v>
      </c>
      <c r="V32" s="227">
        <f>SUM(V28:V30)</f>
        <v>5442.5172413793107</v>
      </c>
      <c r="W32" s="148">
        <f>SUM(W28:W30)</f>
        <v>2196</v>
      </c>
      <c r="AH32" s="130"/>
      <c r="AI32" s="130"/>
    </row>
    <row r="33" spans="2:23" ht="14" customHeight="1" thickBot="1" x14ac:dyDescent="0.35">
      <c r="R33" s="340"/>
      <c r="S33" s="341"/>
      <c r="T33" s="341"/>
      <c r="U33" s="342"/>
      <c r="V33" s="154"/>
      <c r="W33" s="154"/>
    </row>
    <row r="34" spans="2:23" ht="14" customHeight="1" thickBot="1" x14ac:dyDescent="0.35">
      <c r="R34" s="177" t="s">
        <v>273</v>
      </c>
      <c r="S34" s="343"/>
      <c r="T34" s="344"/>
      <c r="U34" s="343"/>
      <c r="V34" s="154"/>
      <c r="W34" s="154"/>
    </row>
    <row r="35" spans="2:23" ht="12.75" customHeight="1" thickBot="1" x14ac:dyDescent="0.35">
      <c r="B35" s="1484" t="s">
        <v>715</v>
      </c>
      <c r="C35" s="1484"/>
      <c r="D35" s="1484"/>
      <c r="E35" s="1484"/>
      <c r="F35" s="1484"/>
      <c r="G35" s="870"/>
      <c r="H35" s="870"/>
      <c r="I35" s="877"/>
      <c r="J35" s="877"/>
      <c r="K35" s="877"/>
      <c r="L35" s="877"/>
      <c r="R35" s="162" t="s">
        <v>253</v>
      </c>
      <c r="S35" s="1125">
        <f>$L$5</f>
        <v>949.27626303127533</v>
      </c>
      <c r="T35" s="1125">
        <f>SUM(L6:L9)</f>
        <v>83.230649477973017</v>
      </c>
      <c r="U35" s="1125">
        <f>S35+T35+V35+W35</f>
        <v>1123.7992302702405</v>
      </c>
      <c r="V35" s="1125">
        <f>SUM(AT6:AT19)</f>
        <v>65.722454747293597</v>
      </c>
      <c r="W35" s="1125">
        <f>L37</f>
        <v>25.56986301369863</v>
      </c>
    </row>
    <row r="36" spans="2:23" ht="12.75" customHeight="1" x14ac:dyDescent="0.25">
      <c r="B36" s="848" t="s">
        <v>245</v>
      </c>
      <c r="C36" s="848" t="s">
        <v>321</v>
      </c>
      <c r="D36" s="850" t="s">
        <v>645</v>
      </c>
      <c r="E36" s="847" t="s">
        <v>646</v>
      </c>
      <c r="F36" s="850" t="s">
        <v>647</v>
      </c>
      <c r="G36" s="870"/>
      <c r="H36" s="850" t="s">
        <v>647</v>
      </c>
      <c r="I36" s="850" t="s">
        <v>250</v>
      </c>
      <c r="J36" s="850" t="s">
        <v>251</v>
      </c>
      <c r="K36" s="850" t="s">
        <v>252</v>
      </c>
      <c r="L36" s="850" t="s">
        <v>253</v>
      </c>
    </row>
    <row r="37" spans="2:23" ht="12.75" customHeight="1" x14ac:dyDescent="0.25">
      <c r="B37" s="843" t="s">
        <v>28</v>
      </c>
      <c r="C37" s="844" t="s">
        <v>14</v>
      </c>
      <c r="D37" s="845">
        <v>12</v>
      </c>
      <c r="E37" s="843">
        <f>$AD$1</f>
        <v>183</v>
      </c>
      <c r="F37" s="843">
        <f>D37*E37</f>
        <v>2196</v>
      </c>
      <c r="G37" s="869"/>
      <c r="H37" s="843">
        <f>F37</f>
        <v>2196</v>
      </c>
      <c r="I37" s="843">
        <f>VLOOKUP(B37,All_Ingredients!$A$1:$F$149,6,FALSE())</f>
        <v>0.73</v>
      </c>
      <c r="J37" s="843">
        <f>VLOOKUP(B37,All_Ingredients!$A$1:$J$149,10,FALSE())</f>
        <v>8.5</v>
      </c>
      <c r="K37" s="843">
        <f>(H37/I37)/1000</f>
        <v>3.0082191780821916</v>
      </c>
      <c r="L37" s="843">
        <f>K37*J37</f>
        <v>25.56986301369863</v>
      </c>
    </row>
    <row r="38" spans="2:23" ht="12.75" customHeight="1" x14ac:dyDescent="0.25">
      <c r="B38" s="99"/>
      <c r="E38" s="99"/>
      <c r="F38" s="99"/>
    </row>
    <row r="39" spans="2:23" ht="12.75" customHeight="1" x14ac:dyDescent="0.25">
      <c r="B39" s="99"/>
      <c r="C39" s="99"/>
      <c r="D39" s="345"/>
      <c r="E39" s="99"/>
      <c r="F39" s="99"/>
      <c r="G39" s="99"/>
      <c r="H39" s="99"/>
      <c r="I39" s="99"/>
      <c r="J39" s="99"/>
    </row>
    <row r="40" spans="2:23" x14ac:dyDescent="0.25">
      <c r="B40" s="99"/>
      <c r="C40" s="99"/>
      <c r="D40" s="99"/>
      <c r="E40" s="99"/>
      <c r="F40" s="99"/>
      <c r="G40" s="99"/>
      <c r="H40" s="99"/>
      <c r="I40" s="99"/>
      <c r="J40" s="99"/>
    </row>
    <row r="41" spans="2:23" ht="17.75" customHeight="1" x14ac:dyDescent="0.25">
      <c r="B41" s="283"/>
    </row>
    <row r="42" spans="2:23" ht="17.75" customHeight="1" x14ac:dyDescent="0.25">
      <c r="B42" s="261"/>
    </row>
    <row r="43" spans="2:23" ht="12.75" customHeight="1" x14ac:dyDescent="0.25">
      <c r="B43" s="346"/>
      <c r="C43" s="347"/>
      <c r="D43" s="346"/>
      <c r="E43" s="346"/>
      <c r="F43" s="346"/>
      <c r="G43" s="346"/>
      <c r="H43" s="346"/>
      <c r="I43" s="346"/>
      <c r="J43" s="346"/>
    </row>
    <row r="44" spans="2:23" ht="14" customHeight="1" x14ac:dyDescent="0.25">
      <c r="B44" s="348"/>
      <c r="C44" s="348"/>
      <c r="D44" s="332"/>
      <c r="E44" s="332"/>
      <c r="F44" s="135"/>
      <c r="G44" s="136"/>
      <c r="H44" s="137"/>
      <c r="I44" s="91"/>
      <c r="J44" s="138"/>
    </row>
    <row r="45" spans="2:23" ht="14" customHeight="1" x14ac:dyDescent="0.25">
      <c r="B45" s="348"/>
      <c r="C45" s="348"/>
      <c r="D45" s="332"/>
      <c r="E45" s="332"/>
      <c r="F45" s="135"/>
      <c r="G45" s="136"/>
      <c r="H45" s="137"/>
      <c r="I45" s="91"/>
      <c r="J45" s="138"/>
    </row>
    <row r="46" spans="2:23" ht="14.25" customHeight="1" x14ac:dyDescent="0.25">
      <c r="B46" s="348"/>
      <c r="C46" s="348"/>
      <c r="D46" s="332"/>
      <c r="E46" s="332"/>
      <c r="F46" s="135"/>
      <c r="G46" s="136"/>
      <c r="H46" s="137"/>
      <c r="I46" s="91"/>
      <c r="J46" s="138"/>
    </row>
    <row r="47" spans="2:23" ht="14.25" customHeight="1" x14ac:dyDescent="0.25">
      <c r="B47" s="348"/>
      <c r="C47" s="348"/>
      <c r="D47" s="332"/>
      <c r="E47" s="332"/>
      <c r="F47" s="135"/>
    </row>
    <row r="48" spans="2:23" ht="14.25" customHeight="1" x14ac:dyDescent="0.25">
      <c r="B48" s="348"/>
      <c r="C48" s="348"/>
      <c r="D48" s="332"/>
      <c r="E48" s="332"/>
      <c r="F48" s="135"/>
      <c r="G48" s="99"/>
      <c r="H48" s="99"/>
      <c r="I48" s="99"/>
      <c r="J48" s="99"/>
    </row>
    <row r="49" spans="1:10" ht="14.25" customHeight="1" x14ac:dyDescent="0.25">
      <c r="B49" s="348"/>
      <c r="C49" s="348"/>
      <c r="D49" s="332"/>
      <c r="E49" s="332"/>
      <c r="F49" s="135"/>
      <c r="G49" s="99"/>
      <c r="H49" s="99"/>
      <c r="I49" s="99"/>
      <c r="J49" s="99"/>
    </row>
    <row r="50" spans="1:10" ht="14.25" customHeight="1" x14ac:dyDescent="0.25">
      <c r="B50" s="348"/>
      <c r="C50" s="348"/>
      <c r="D50" s="332"/>
      <c r="E50" s="332"/>
      <c r="F50" s="135"/>
    </row>
    <row r="51" spans="1:10" ht="14.25" customHeight="1" x14ac:dyDescent="0.3">
      <c r="B51" s="178"/>
      <c r="C51" s="178"/>
      <c r="D51" s="178"/>
      <c r="E51" s="99"/>
      <c r="F51" s="99"/>
    </row>
    <row r="52" spans="1:10" ht="14.25" customHeight="1" x14ac:dyDescent="0.3">
      <c r="B52" s="178"/>
      <c r="C52" s="887"/>
      <c r="D52" s="477"/>
      <c r="E52" s="182"/>
      <c r="F52" s="99"/>
      <c r="G52" s="346"/>
      <c r="H52" s="346"/>
      <c r="I52" s="346"/>
      <c r="J52" s="346"/>
    </row>
    <row r="53" spans="1:10" ht="14.25" customHeight="1" x14ac:dyDescent="0.3">
      <c r="B53" s="11"/>
      <c r="C53" s="335"/>
      <c r="D53" s="478"/>
      <c r="E53" s="99"/>
      <c r="F53" s="99"/>
      <c r="G53" s="136"/>
      <c r="H53" s="137"/>
      <c r="I53" s="91"/>
      <c r="J53" s="138"/>
    </row>
    <row r="54" spans="1:10" ht="14.25" customHeight="1" x14ac:dyDescent="0.3">
      <c r="B54" s="11"/>
      <c r="C54" s="335"/>
      <c r="D54" s="478"/>
      <c r="E54" s="99"/>
      <c r="F54" s="99"/>
      <c r="G54" s="136"/>
      <c r="H54" s="137"/>
      <c r="I54" s="91"/>
      <c r="J54" s="138"/>
    </row>
    <row r="55" spans="1:10" ht="14.25" customHeight="1" x14ac:dyDescent="0.3">
      <c r="B55" s="11"/>
      <c r="C55" s="335"/>
      <c r="D55" s="478"/>
      <c r="E55" s="99"/>
      <c r="F55" s="99"/>
      <c r="G55" s="136"/>
      <c r="H55" s="137"/>
      <c r="I55" s="91"/>
      <c r="J55" s="138"/>
    </row>
    <row r="56" spans="1:10" ht="14.25" customHeight="1" x14ac:dyDescent="0.3">
      <c r="B56" s="11"/>
      <c r="C56" s="335"/>
      <c r="D56" s="336"/>
      <c r="E56" s="99"/>
      <c r="F56" s="99"/>
      <c r="G56" s="136"/>
      <c r="H56" s="137"/>
      <c r="I56" s="91"/>
      <c r="J56" s="138"/>
    </row>
    <row r="57" spans="1:10" ht="17.75" customHeight="1" x14ac:dyDescent="0.25">
      <c r="B57" s="261"/>
    </row>
    <row r="58" spans="1:10" ht="12.75" customHeight="1" x14ac:dyDescent="0.25">
      <c r="B58" s="346"/>
      <c r="C58" s="347"/>
      <c r="D58" s="346"/>
      <c r="E58" s="346"/>
      <c r="F58" s="346"/>
      <c r="G58" s="346"/>
      <c r="H58" s="346"/>
      <c r="I58" s="346"/>
      <c r="J58" s="346"/>
    </row>
    <row r="59" spans="1:10" ht="14.25" customHeight="1" x14ac:dyDescent="0.25">
      <c r="B59" s="348"/>
      <c r="C59" s="348"/>
      <c r="D59" s="348"/>
      <c r="E59" s="332"/>
      <c r="F59" s="135"/>
      <c r="G59" s="136"/>
      <c r="H59" s="137"/>
      <c r="I59" s="91"/>
      <c r="J59" s="138"/>
    </row>
    <row r="60" spans="1:10" ht="14.25" customHeight="1" x14ac:dyDescent="0.25">
      <c r="B60" s="348"/>
      <c r="C60" s="348"/>
      <c r="D60" s="348"/>
      <c r="E60" s="332"/>
      <c r="F60" s="135"/>
      <c r="G60" s="136"/>
      <c r="H60" s="137"/>
      <c r="I60" s="91"/>
      <c r="J60" s="138"/>
    </row>
    <row r="61" spans="1:10" ht="14.25" customHeight="1" x14ac:dyDescent="0.25">
      <c r="B61" s="348"/>
      <c r="C61" s="348"/>
      <c r="D61" s="348"/>
      <c r="E61" s="332"/>
      <c r="F61" s="135"/>
      <c r="G61" s="136"/>
      <c r="H61" s="137"/>
      <c r="I61" s="91"/>
      <c r="J61" s="138"/>
    </row>
    <row r="62" spans="1:10" ht="12.75" customHeight="1" x14ac:dyDescent="0.25">
      <c r="B62" s="261"/>
    </row>
    <row r="63" spans="1:10" ht="18" customHeight="1" x14ac:dyDescent="0.3">
      <c r="B63" s="261"/>
      <c r="C63"/>
      <c r="D63"/>
      <c r="E63"/>
      <c r="F63"/>
      <c r="G63"/>
      <c r="H63"/>
    </row>
    <row r="64" spans="1:10" ht="13" x14ac:dyDescent="0.25">
      <c r="A64" s="370"/>
      <c r="B64" s="346"/>
      <c r="C64" s="347"/>
      <c r="D64" s="346"/>
      <c r="E64" s="346"/>
      <c r="F64" s="346"/>
      <c r="G64" s="346"/>
      <c r="H64" s="346"/>
    </row>
    <row r="65" spans="2:12" ht="14" customHeight="1" x14ac:dyDescent="0.25">
      <c r="B65" s="348"/>
      <c r="C65" s="348"/>
      <c r="D65" s="886"/>
      <c r="E65" s="295"/>
      <c r="F65" s="135"/>
      <c r="G65" s="139"/>
      <c r="H65" s="137"/>
      <c r="I65" s="91"/>
      <c r="J65" s="136"/>
      <c r="K65" s="91"/>
      <c r="L65" s="136"/>
    </row>
    <row r="66" spans="2:12" ht="14.25" customHeight="1" x14ac:dyDescent="0.25">
      <c r="B66" s="348"/>
      <c r="C66" s="348"/>
      <c r="D66" s="348"/>
      <c r="E66" s="480"/>
      <c r="F66" s="135"/>
      <c r="G66" s="136"/>
      <c r="H66" s="137"/>
    </row>
    <row r="67" spans="2:12" ht="14.25" customHeight="1" x14ac:dyDescent="0.25">
      <c r="B67" s="348"/>
      <c r="C67" s="348"/>
      <c r="D67" s="348"/>
      <c r="E67" s="480"/>
      <c r="F67" s="135"/>
      <c r="G67" s="136"/>
      <c r="H67" s="137"/>
    </row>
    <row r="68" spans="2:12" ht="14.25" customHeight="1" x14ac:dyDescent="0.25">
      <c r="B68" s="348"/>
      <c r="C68" s="348"/>
      <c r="D68" s="348"/>
      <c r="E68" s="480"/>
      <c r="F68" s="135"/>
      <c r="G68" s="136"/>
      <c r="H68" s="137"/>
    </row>
    <row r="69" spans="2:12" ht="14.25" customHeight="1" x14ac:dyDescent="0.25">
      <c r="B69" s="348"/>
      <c r="C69" s="348"/>
      <c r="D69" s="348"/>
      <c r="E69" s="480"/>
      <c r="F69" s="135"/>
      <c r="G69" s="136"/>
      <c r="H69" s="137"/>
    </row>
    <row r="70" spans="2:12" ht="14.25" customHeight="1" x14ac:dyDescent="0.25">
      <c r="B70" s="348"/>
      <c r="C70" s="348"/>
      <c r="D70" s="348"/>
      <c r="E70" s="480"/>
      <c r="F70" s="135"/>
      <c r="G70" s="136"/>
      <c r="H70" s="137"/>
    </row>
    <row r="71" spans="2:12" ht="14.25" customHeight="1" x14ac:dyDescent="0.25">
      <c r="B71" s="348"/>
      <c r="C71" s="348"/>
      <c r="D71" s="348"/>
      <c r="E71" s="480"/>
      <c r="F71" s="135"/>
      <c r="G71" s="136"/>
      <c r="H71" s="137"/>
    </row>
    <row r="72" spans="2:12" ht="14.25" customHeight="1" x14ac:dyDescent="0.25">
      <c r="B72" s="348"/>
      <c r="C72" s="348"/>
      <c r="D72" s="348"/>
      <c r="E72" s="480"/>
      <c r="F72" s="135"/>
      <c r="G72" s="136"/>
      <c r="H72" s="137"/>
    </row>
    <row r="73" spans="2:12" ht="14.25" customHeight="1" x14ac:dyDescent="0.25">
      <c r="B73" s="348"/>
      <c r="C73" s="348"/>
      <c r="D73" s="348"/>
      <c r="E73" s="480"/>
      <c r="F73" s="135"/>
      <c r="G73" s="136"/>
      <c r="H73" s="137"/>
    </row>
    <row r="74" spans="2:12" ht="14.25" customHeight="1" x14ac:dyDescent="0.25">
      <c r="B74" s="348"/>
      <c r="C74" s="348"/>
      <c r="D74" s="348"/>
      <c r="E74" s="480"/>
      <c r="F74" s="135"/>
      <c r="G74" s="136"/>
      <c r="H74" s="137"/>
    </row>
    <row r="75" spans="2:12" ht="14.25" customHeight="1" x14ac:dyDescent="0.25">
      <c r="B75" s="348"/>
      <c r="C75" s="348"/>
      <c r="D75" s="348"/>
      <c r="E75" s="480"/>
      <c r="F75" s="135"/>
      <c r="G75" s="136"/>
      <c r="H75" s="137"/>
    </row>
    <row r="76" spans="2:12" ht="20.25" customHeight="1" x14ac:dyDescent="0.4">
      <c r="B76" s="203"/>
      <c r="C76" s="481"/>
      <c r="D76" s="482"/>
      <c r="E76" s="483"/>
      <c r="F76" s="482"/>
      <c r="G76" s="484"/>
    </row>
    <row r="78" spans="2:12" ht="12.75" customHeight="1" x14ac:dyDescent="0.25">
      <c r="E78" s="99"/>
      <c r="F78" s="99"/>
    </row>
    <row r="79" spans="2:12" ht="12.75" customHeight="1" x14ac:dyDescent="0.25">
      <c r="E79" s="99"/>
      <c r="F79" s="99"/>
    </row>
    <row r="80" spans="2:12" ht="12.75" customHeight="1" x14ac:dyDescent="0.25">
      <c r="B80" s="99"/>
      <c r="E80" s="99"/>
      <c r="F80" s="99"/>
    </row>
    <row r="81" spans="2:6" ht="12.75" customHeight="1" x14ac:dyDescent="0.25">
      <c r="B81" s="99"/>
      <c r="E81" s="99"/>
      <c r="F81" s="99"/>
    </row>
    <row r="82" spans="2:6" ht="12.75" customHeight="1" x14ac:dyDescent="0.25">
      <c r="B82" s="99"/>
      <c r="E82" s="99"/>
      <c r="F82" s="99"/>
    </row>
    <row r="83" spans="2:6" ht="12.75" customHeight="1" x14ac:dyDescent="0.25">
      <c r="B83" s="99"/>
      <c r="E83" s="99"/>
      <c r="F83" s="99"/>
    </row>
    <row r="84" spans="2:6" ht="12.75" customHeight="1" x14ac:dyDescent="0.25">
      <c r="B84" s="99"/>
      <c r="E84" s="99"/>
      <c r="F84" s="99"/>
    </row>
    <row r="85" spans="2:6" ht="12.75" customHeight="1" x14ac:dyDescent="0.25">
      <c r="B85" s="99"/>
      <c r="E85" s="99"/>
      <c r="F85" s="99"/>
    </row>
    <row r="86" spans="2:6" ht="12.75" customHeight="1" x14ac:dyDescent="0.25">
      <c r="B86" s="99"/>
      <c r="E86" s="99"/>
      <c r="F86" s="99"/>
    </row>
    <row r="87" spans="2:6" ht="12.75" customHeight="1" x14ac:dyDescent="0.25">
      <c r="B87" s="99"/>
      <c r="E87" s="99"/>
      <c r="F87" s="99"/>
    </row>
    <row r="88" spans="2:6" ht="12.75" customHeight="1" x14ac:dyDescent="0.25">
      <c r="B88" s="99"/>
      <c r="E88" s="99"/>
      <c r="F88" s="99"/>
    </row>
    <row r="89" spans="2:6" ht="12.75" customHeight="1" x14ac:dyDescent="0.25">
      <c r="B89" s="99"/>
      <c r="E89" s="99"/>
      <c r="F89" s="99"/>
    </row>
    <row r="90" spans="2:6" ht="12.75" customHeight="1" x14ac:dyDescent="0.25">
      <c r="B90" s="99"/>
      <c r="E90" s="99"/>
      <c r="F90" s="99"/>
    </row>
    <row r="91" spans="2:6" ht="12.75" customHeight="1" x14ac:dyDescent="0.25">
      <c r="B91" s="99"/>
      <c r="E91" s="99"/>
      <c r="F91" s="99"/>
    </row>
    <row r="92" spans="2:6" ht="12.75" customHeight="1" x14ac:dyDescent="0.25">
      <c r="B92" s="99"/>
      <c r="E92" s="99"/>
      <c r="F92" s="99"/>
    </row>
    <row r="93" spans="2:6" ht="12.75" customHeight="1" x14ac:dyDescent="0.25">
      <c r="B93" s="99"/>
      <c r="E93" s="99"/>
      <c r="F93" s="99"/>
    </row>
    <row r="94" spans="2:6" ht="12.75" customHeight="1" x14ac:dyDescent="0.25">
      <c r="B94" s="99"/>
      <c r="E94" s="99"/>
      <c r="F94" s="99"/>
    </row>
    <row r="95" spans="2:6" ht="12.75" customHeight="1" x14ac:dyDescent="0.25">
      <c r="B95" s="99"/>
      <c r="E95" s="99"/>
      <c r="F95" s="99"/>
    </row>
    <row r="96" spans="2:6" ht="12.75" customHeight="1" x14ac:dyDescent="0.25">
      <c r="B96" s="99"/>
      <c r="E96" s="99"/>
      <c r="F96" s="99"/>
    </row>
    <row r="97" spans="2:6" ht="12.75" customHeight="1" x14ac:dyDescent="0.25">
      <c r="B97" s="99"/>
      <c r="E97" s="99"/>
      <c r="F97" s="99"/>
    </row>
    <row r="98" spans="2:6" ht="12.75" customHeight="1" x14ac:dyDescent="0.25">
      <c r="B98" s="99"/>
      <c r="E98" s="99"/>
      <c r="F98" s="99"/>
    </row>
    <row r="99" spans="2:6" ht="12.75" customHeight="1" x14ac:dyDescent="0.25">
      <c r="B99" s="99"/>
      <c r="E99" s="99"/>
      <c r="F99" s="99"/>
    </row>
    <row r="100" spans="2:6" ht="12.75" customHeight="1" x14ac:dyDescent="0.25">
      <c r="B100" s="99"/>
      <c r="E100" s="99"/>
      <c r="F100" s="99"/>
    </row>
    <row r="101" spans="2:6" ht="12.75" customHeight="1" x14ac:dyDescent="0.25">
      <c r="B101" s="99"/>
      <c r="E101" s="99"/>
      <c r="F101" s="99"/>
    </row>
    <row r="102" spans="2:6" ht="12.75" customHeight="1" x14ac:dyDescent="0.25">
      <c r="B102" s="99"/>
      <c r="E102" s="99"/>
      <c r="F102" s="99"/>
    </row>
    <row r="103" spans="2:6" ht="12.75" customHeight="1" x14ac:dyDescent="0.25">
      <c r="B103" s="99"/>
      <c r="E103" s="99"/>
      <c r="F103" s="99"/>
    </row>
    <row r="104" spans="2:6" ht="12.75" customHeight="1" x14ac:dyDescent="0.25">
      <c r="B104" s="99"/>
      <c r="E104" s="99"/>
      <c r="F104" s="99"/>
    </row>
    <row r="105" spans="2:6" ht="12.75" customHeight="1" x14ac:dyDescent="0.25">
      <c r="B105" s="99"/>
      <c r="E105" s="99"/>
      <c r="F105" s="99"/>
    </row>
    <row r="106" spans="2:6" ht="12.75" customHeight="1" x14ac:dyDescent="0.25">
      <c r="B106" s="99"/>
      <c r="E106" s="99"/>
      <c r="F106" s="99"/>
    </row>
    <row r="107" spans="2:6" ht="12.75" customHeight="1" x14ac:dyDescent="0.25">
      <c r="B107" s="99"/>
      <c r="E107" s="99"/>
      <c r="F107" s="99"/>
    </row>
    <row r="108" spans="2:6" ht="12.75" customHeight="1" x14ac:dyDescent="0.25">
      <c r="B108" s="99"/>
      <c r="E108" s="99"/>
      <c r="F108" s="99"/>
    </row>
    <row r="109" spans="2:6" ht="12.75" customHeight="1" x14ac:dyDescent="0.25">
      <c r="B109" s="99"/>
      <c r="E109" s="99"/>
      <c r="F109" s="99"/>
    </row>
    <row r="110" spans="2:6" ht="12.75" customHeight="1" x14ac:dyDescent="0.25">
      <c r="B110" s="99"/>
      <c r="E110" s="99"/>
      <c r="F110" s="99"/>
    </row>
    <row r="111" spans="2:6" ht="12.75" customHeight="1" x14ac:dyDescent="0.25">
      <c r="B111" s="99"/>
      <c r="E111" s="99"/>
      <c r="F111" s="99"/>
    </row>
    <row r="112" spans="2:6" ht="12.75" customHeight="1" x14ac:dyDescent="0.25">
      <c r="B112" s="99"/>
      <c r="E112" s="99"/>
      <c r="F112" s="99"/>
    </row>
    <row r="113" spans="2:6" ht="12.75" customHeight="1" x14ac:dyDescent="0.25">
      <c r="B113" s="99"/>
      <c r="E113" s="99"/>
      <c r="F113" s="99"/>
    </row>
    <row r="114" spans="2:6" ht="12.75" customHeight="1" x14ac:dyDescent="0.25">
      <c r="B114" s="99"/>
      <c r="E114" s="99"/>
      <c r="F114" s="99"/>
    </row>
    <row r="115" spans="2:6" ht="12.75" customHeight="1" x14ac:dyDescent="0.25">
      <c r="B115" s="99"/>
      <c r="E115" s="99"/>
      <c r="F115" s="99"/>
    </row>
    <row r="116" spans="2:6" ht="12.75" customHeight="1" x14ac:dyDescent="0.25">
      <c r="B116" s="99"/>
      <c r="E116" s="99"/>
      <c r="F116" s="99"/>
    </row>
    <row r="117" spans="2:6" ht="12.75" customHeight="1" x14ac:dyDescent="0.25">
      <c r="B117" s="99"/>
      <c r="E117" s="99"/>
      <c r="F117" s="99"/>
    </row>
    <row r="118" spans="2:6" ht="12.75" customHeight="1" x14ac:dyDescent="0.25">
      <c r="B118" s="99"/>
      <c r="E118" s="99"/>
      <c r="F118" s="99"/>
    </row>
    <row r="119" spans="2:6" ht="12.75" customHeight="1" x14ac:dyDescent="0.25">
      <c r="B119" s="99"/>
      <c r="E119" s="99"/>
      <c r="F119" s="99"/>
    </row>
    <row r="120" spans="2:6" ht="12.75" customHeight="1" x14ac:dyDescent="0.25">
      <c r="B120" s="99"/>
      <c r="E120" s="99"/>
      <c r="F120" s="99"/>
    </row>
    <row r="121" spans="2:6" ht="12.75" customHeight="1" x14ac:dyDescent="0.25">
      <c r="B121" s="99"/>
      <c r="E121" s="99"/>
      <c r="F121" s="99"/>
    </row>
    <row r="122" spans="2:6" ht="12.75" customHeight="1" x14ac:dyDescent="0.25">
      <c r="B122" s="99"/>
      <c r="E122" s="99"/>
      <c r="F122" s="99"/>
    </row>
    <row r="123" spans="2:6" ht="12.75" customHeight="1" x14ac:dyDescent="0.25">
      <c r="B123" s="99"/>
      <c r="E123" s="99"/>
      <c r="F123" s="99"/>
    </row>
    <row r="124" spans="2:6" ht="12.75" customHeight="1" x14ac:dyDescent="0.25">
      <c r="B124" s="99"/>
      <c r="E124" s="99"/>
      <c r="F124" s="99"/>
    </row>
    <row r="125" spans="2:6" ht="12.75" customHeight="1" x14ac:dyDescent="0.25">
      <c r="B125" s="99"/>
      <c r="E125" s="99"/>
      <c r="F125" s="99"/>
    </row>
    <row r="126" spans="2:6" ht="12.75" customHeight="1" x14ac:dyDescent="0.25">
      <c r="B126" s="99"/>
      <c r="E126" s="99"/>
      <c r="F126" s="99"/>
    </row>
    <row r="127" spans="2:6" ht="12.75" customHeight="1" x14ac:dyDescent="0.25">
      <c r="B127" s="99"/>
      <c r="E127" s="99"/>
      <c r="F127" s="99"/>
    </row>
    <row r="128" spans="2:6" ht="12.75" customHeight="1" x14ac:dyDescent="0.25">
      <c r="B128" s="99"/>
      <c r="E128" s="99"/>
      <c r="F128" s="99"/>
    </row>
    <row r="129" spans="2:6" ht="12.75" customHeight="1" x14ac:dyDescent="0.25">
      <c r="B129" s="99"/>
      <c r="E129" s="99"/>
      <c r="F129" s="99"/>
    </row>
    <row r="130" spans="2:6" ht="12.75" customHeight="1" x14ac:dyDescent="0.25">
      <c r="B130" s="99"/>
      <c r="E130" s="99"/>
      <c r="F130" s="99"/>
    </row>
    <row r="131" spans="2:6" ht="12.75" customHeight="1" x14ac:dyDescent="0.25">
      <c r="B131" s="99"/>
      <c r="E131" s="99"/>
      <c r="F131" s="99"/>
    </row>
    <row r="132" spans="2:6" ht="12.75" customHeight="1" x14ac:dyDescent="0.25">
      <c r="B132" s="99"/>
      <c r="E132" s="99"/>
      <c r="F132" s="99"/>
    </row>
    <row r="133" spans="2:6" ht="12.75" customHeight="1" x14ac:dyDescent="0.25">
      <c r="B133" s="99"/>
      <c r="E133" s="99"/>
      <c r="F133" s="99"/>
    </row>
    <row r="134" spans="2:6" ht="12.75" customHeight="1" x14ac:dyDescent="0.25">
      <c r="B134" s="99"/>
      <c r="E134" s="99"/>
      <c r="F134" s="99"/>
    </row>
    <row r="135" spans="2:6" ht="12.75" customHeight="1" x14ac:dyDescent="0.25">
      <c r="B135" s="99"/>
      <c r="E135" s="99"/>
      <c r="F135" s="99"/>
    </row>
    <row r="136" spans="2:6" ht="12.75" customHeight="1" x14ac:dyDescent="0.25">
      <c r="B136" s="99"/>
      <c r="E136" s="99"/>
      <c r="F136" s="99"/>
    </row>
    <row r="137" spans="2:6" ht="12.75" customHeight="1" x14ac:dyDescent="0.25">
      <c r="B137" s="99"/>
      <c r="E137" s="99"/>
      <c r="F137" s="99"/>
    </row>
    <row r="138" spans="2:6" ht="12.75" customHeight="1" x14ac:dyDescent="0.25">
      <c r="B138" s="99"/>
      <c r="E138" s="99"/>
      <c r="F138" s="99"/>
    </row>
    <row r="139" spans="2:6" ht="12.75" customHeight="1" x14ac:dyDescent="0.25">
      <c r="B139" s="99"/>
      <c r="E139" s="99"/>
      <c r="F139" s="99"/>
    </row>
    <row r="140" spans="2:6" ht="12.75" customHeight="1" x14ac:dyDescent="0.25">
      <c r="B140" s="99"/>
      <c r="E140" s="99"/>
      <c r="F140" s="99"/>
    </row>
    <row r="141" spans="2:6" ht="12.75" customHeight="1" x14ac:dyDescent="0.25">
      <c r="B141" s="99"/>
      <c r="E141" s="99"/>
      <c r="F141" s="99"/>
    </row>
    <row r="142" spans="2:6" ht="12.75" customHeight="1" x14ac:dyDescent="0.25">
      <c r="B142" s="99"/>
      <c r="E142" s="99"/>
      <c r="F142" s="99"/>
    </row>
    <row r="143" spans="2:6" ht="12.75" customHeight="1" x14ac:dyDescent="0.25">
      <c r="B143" s="99"/>
      <c r="E143" s="99"/>
      <c r="F143" s="99"/>
    </row>
    <row r="144" spans="2:6" ht="12.75" customHeight="1" x14ac:dyDescent="0.25">
      <c r="B144" s="99"/>
      <c r="E144" s="99"/>
      <c r="F144" s="99"/>
    </row>
    <row r="145" spans="2:6" ht="12.75" customHeight="1" x14ac:dyDescent="0.25">
      <c r="B145" s="99"/>
      <c r="E145" s="99"/>
      <c r="F145" s="99"/>
    </row>
    <row r="146" spans="2:6" ht="12.75" customHeight="1" x14ac:dyDescent="0.25">
      <c r="B146" s="99"/>
      <c r="E146" s="99"/>
      <c r="F146" s="99"/>
    </row>
    <row r="147" spans="2:6" ht="12.75" customHeight="1" x14ac:dyDescent="0.25">
      <c r="B147" s="99"/>
      <c r="E147" s="99"/>
      <c r="F147" s="99"/>
    </row>
    <row r="148" spans="2:6" ht="12.75" customHeight="1" x14ac:dyDescent="0.25">
      <c r="B148" s="99"/>
      <c r="E148" s="99"/>
      <c r="F148" s="99"/>
    </row>
    <row r="149" spans="2:6" ht="12.75" customHeight="1" x14ac:dyDescent="0.25">
      <c r="B149" s="99"/>
      <c r="E149" s="99"/>
      <c r="F149" s="99"/>
    </row>
    <row r="150" spans="2:6" ht="12.75" customHeight="1" x14ac:dyDescent="0.25">
      <c r="B150" s="99"/>
      <c r="E150" s="99"/>
      <c r="F150" s="99"/>
    </row>
    <row r="151" spans="2:6" ht="12.75" customHeight="1" x14ac:dyDescent="0.25">
      <c r="B151" s="99"/>
      <c r="E151" s="99"/>
      <c r="F151" s="99"/>
    </row>
    <row r="152" spans="2:6" ht="12.75" customHeight="1" x14ac:dyDescent="0.25">
      <c r="B152" s="99"/>
      <c r="E152" s="99"/>
      <c r="F152" s="99"/>
    </row>
    <row r="153" spans="2:6" ht="12.75" customHeight="1" x14ac:dyDescent="0.25">
      <c r="B153" s="99"/>
      <c r="E153" s="99"/>
      <c r="F153" s="99"/>
    </row>
    <row r="154" spans="2:6" ht="12.75" customHeight="1" x14ac:dyDescent="0.25">
      <c r="B154" s="99"/>
      <c r="E154" s="99"/>
      <c r="F154" s="99"/>
    </row>
    <row r="155" spans="2:6" ht="12.75" customHeight="1" x14ac:dyDescent="0.25">
      <c r="B155" s="99"/>
      <c r="E155" s="99"/>
      <c r="F155" s="99"/>
    </row>
    <row r="156" spans="2:6" ht="12.75" customHeight="1" x14ac:dyDescent="0.25">
      <c r="B156" s="99"/>
      <c r="E156" s="99"/>
      <c r="F156" s="99"/>
    </row>
    <row r="157" spans="2:6" ht="12.75" customHeight="1" x14ac:dyDescent="0.25">
      <c r="B157" s="99"/>
      <c r="E157" s="99"/>
      <c r="F157" s="99"/>
    </row>
    <row r="158" spans="2:6" ht="12.75" customHeight="1" x14ac:dyDescent="0.25">
      <c r="B158" s="99"/>
      <c r="E158" s="99"/>
      <c r="F158" s="99"/>
    </row>
    <row r="159" spans="2:6" ht="12.75" customHeight="1" x14ac:dyDescent="0.25">
      <c r="B159" s="99"/>
      <c r="E159" s="99"/>
      <c r="F159" s="99"/>
    </row>
    <row r="160" spans="2:6" ht="12.75" customHeight="1" x14ac:dyDescent="0.25">
      <c r="B160" s="99"/>
      <c r="E160" s="99"/>
      <c r="F160" s="99"/>
    </row>
    <row r="161" spans="2:6" ht="12.75" customHeight="1" x14ac:dyDescent="0.25">
      <c r="B161" s="99"/>
      <c r="E161" s="99"/>
      <c r="F161" s="99"/>
    </row>
    <row r="162" spans="2:6" ht="12.75" customHeight="1" x14ac:dyDescent="0.25">
      <c r="B162" s="99"/>
      <c r="E162" s="99"/>
      <c r="F162" s="99"/>
    </row>
    <row r="163" spans="2:6" ht="12.75" customHeight="1" x14ac:dyDescent="0.25">
      <c r="B163" s="99"/>
      <c r="E163" s="99"/>
      <c r="F163" s="99"/>
    </row>
    <row r="164" spans="2:6" ht="12.75" customHeight="1" x14ac:dyDescent="0.25">
      <c r="B164" s="99"/>
      <c r="E164" s="99"/>
      <c r="F164" s="99"/>
    </row>
    <row r="165" spans="2:6" ht="12.75" customHeight="1" x14ac:dyDescent="0.25">
      <c r="B165" s="99"/>
      <c r="E165" s="99"/>
      <c r="F165" s="99"/>
    </row>
    <row r="166" spans="2:6" ht="12.75" customHeight="1" x14ac:dyDescent="0.25">
      <c r="B166" s="99"/>
      <c r="E166" s="99"/>
      <c r="F166" s="99"/>
    </row>
    <row r="167" spans="2:6" ht="12.75" customHeight="1" x14ac:dyDescent="0.25">
      <c r="B167" s="99"/>
      <c r="E167" s="99"/>
      <c r="F167" s="99"/>
    </row>
    <row r="168" spans="2:6" ht="12.75" customHeight="1" x14ac:dyDescent="0.25">
      <c r="B168" s="99"/>
      <c r="E168" s="99"/>
      <c r="F168" s="99"/>
    </row>
    <row r="169" spans="2:6" ht="12.75" customHeight="1" x14ac:dyDescent="0.25">
      <c r="B169" s="99"/>
      <c r="E169" s="99"/>
      <c r="F169" s="99"/>
    </row>
    <row r="170" spans="2:6" ht="12.75" customHeight="1" x14ac:dyDescent="0.25">
      <c r="B170" s="99"/>
      <c r="E170" s="99"/>
      <c r="F170" s="99"/>
    </row>
    <row r="171" spans="2:6" ht="12.75" customHeight="1" x14ac:dyDescent="0.25">
      <c r="B171" s="99"/>
      <c r="E171" s="99"/>
      <c r="F171" s="99"/>
    </row>
    <row r="172" spans="2:6" ht="12.75" customHeight="1" x14ac:dyDescent="0.25">
      <c r="B172" s="99"/>
      <c r="E172" s="99"/>
      <c r="F172" s="99"/>
    </row>
    <row r="173" spans="2:6" ht="12.75" customHeight="1" x14ac:dyDescent="0.25">
      <c r="B173" s="99"/>
      <c r="E173" s="99"/>
      <c r="F173" s="99"/>
    </row>
    <row r="174" spans="2:6" ht="12.75" customHeight="1" x14ac:dyDescent="0.25">
      <c r="B174" s="99"/>
      <c r="E174" s="99"/>
      <c r="F174" s="99"/>
    </row>
    <row r="175" spans="2:6" ht="12.75" customHeight="1" x14ac:dyDescent="0.25">
      <c r="B175" s="99"/>
      <c r="E175" s="99"/>
      <c r="F175" s="99"/>
    </row>
    <row r="176" spans="2:6" ht="12.75" customHeight="1" x14ac:dyDescent="0.25">
      <c r="B176" s="99"/>
      <c r="E176" s="99"/>
      <c r="F176" s="99"/>
    </row>
    <row r="177" spans="2:6" ht="12.75" customHeight="1" x14ac:dyDescent="0.25">
      <c r="B177" s="99"/>
      <c r="E177" s="99"/>
      <c r="F177" s="99"/>
    </row>
    <row r="178" spans="2:6" ht="12.75" customHeight="1" x14ac:dyDescent="0.25">
      <c r="B178" s="99"/>
      <c r="E178" s="99"/>
      <c r="F178" s="99"/>
    </row>
    <row r="179" spans="2:6" ht="12.75" customHeight="1" x14ac:dyDescent="0.25">
      <c r="B179" s="99"/>
      <c r="E179" s="99"/>
      <c r="F179" s="99"/>
    </row>
    <row r="180" spans="2:6" ht="12.75" customHeight="1" x14ac:dyDescent="0.25">
      <c r="B180" s="99"/>
      <c r="E180" s="99"/>
      <c r="F180" s="99"/>
    </row>
    <row r="181" spans="2:6" ht="12.75" customHeight="1" x14ac:dyDescent="0.25">
      <c r="B181" s="99"/>
      <c r="E181" s="99"/>
      <c r="F181" s="99"/>
    </row>
    <row r="182" spans="2:6" ht="12.75" customHeight="1" x14ac:dyDescent="0.25">
      <c r="B182" s="99"/>
      <c r="E182" s="99"/>
      <c r="F182" s="99"/>
    </row>
    <row r="183" spans="2:6" ht="12.75" customHeight="1" x14ac:dyDescent="0.25">
      <c r="B183" s="99"/>
      <c r="E183" s="99"/>
      <c r="F183" s="99"/>
    </row>
    <row r="184" spans="2:6" ht="12.75" customHeight="1" x14ac:dyDescent="0.25">
      <c r="B184" s="99"/>
      <c r="E184" s="99"/>
      <c r="F184" s="99"/>
    </row>
    <row r="185" spans="2:6" ht="12.75" customHeight="1" x14ac:dyDescent="0.25">
      <c r="B185" s="99"/>
      <c r="E185" s="99"/>
      <c r="F185" s="99"/>
    </row>
    <row r="186" spans="2:6" ht="12.75" customHeight="1" x14ac:dyDescent="0.25">
      <c r="B186" s="99"/>
      <c r="E186" s="99"/>
      <c r="F186" s="99"/>
    </row>
    <row r="187" spans="2:6" ht="12.75" customHeight="1" x14ac:dyDescent="0.25">
      <c r="B187" s="99"/>
      <c r="E187" s="99"/>
      <c r="F187" s="99"/>
    </row>
    <row r="188" spans="2:6" ht="12.75" customHeight="1" x14ac:dyDescent="0.25">
      <c r="B188" s="99"/>
      <c r="E188" s="99"/>
      <c r="F188" s="99"/>
    </row>
    <row r="189" spans="2:6" ht="12.75" customHeight="1" x14ac:dyDescent="0.25">
      <c r="B189" s="99"/>
      <c r="E189" s="99"/>
      <c r="F189" s="99"/>
    </row>
    <row r="190" spans="2:6" ht="12.75" customHeight="1" x14ac:dyDescent="0.25">
      <c r="B190" s="99"/>
      <c r="E190" s="99"/>
      <c r="F190" s="99"/>
    </row>
    <row r="191" spans="2:6" ht="12.75" customHeight="1" x14ac:dyDescent="0.25">
      <c r="B191" s="99"/>
      <c r="E191" s="99"/>
      <c r="F191" s="99"/>
    </row>
    <row r="192" spans="2:6" ht="12.75" customHeight="1" x14ac:dyDescent="0.25">
      <c r="B192" s="99"/>
      <c r="E192" s="99"/>
      <c r="F192" s="99"/>
    </row>
    <row r="193" spans="2:6" ht="12.75" customHeight="1" x14ac:dyDescent="0.25">
      <c r="B193" s="99"/>
      <c r="E193" s="99"/>
      <c r="F193" s="99"/>
    </row>
    <row r="194" spans="2:6" ht="12.75" customHeight="1" x14ac:dyDescent="0.25">
      <c r="B194" s="99"/>
      <c r="E194" s="99"/>
      <c r="F194" s="99"/>
    </row>
    <row r="195" spans="2:6" ht="12.75" customHeight="1" x14ac:dyDescent="0.25">
      <c r="B195" s="99"/>
      <c r="E195" s="99"/>
      <c r="F195" s="99"/>
    </row>
    <row r="196" spans="2:6" ht="12.75" customHeight="1" x14ac:dyDescent="0.25">
      <c r="B196" s="99"/>
      <c r="E196" s="99"/>
      <c r="F196" s="99"/>
    </row>
    <row r="197" spans="2:6" ht="12.75" customHeight="1" x14ac:dyDescent="0.25">
      <c r="B197" s="99"/>
      <c r="E197" s="99"/>
      <c r="F197" s="99"/>
    </row>
    <row r="198" spans="2:6" ht="12.75" customHeight="1" x14ac:dyDescent="0.25">
      <c r="B198" s="99"/>
      <c r="E198" s="99"/>
      <c r="F198" s="99"/>
    </row>
    <row r="199" spans="2:6" ht="12.75" customHeight="1" x14ac:dyDescent="0.25">
      <c r="B199" s="99"/>
      <c r="E199" s="99"/>
      <c r="F199" s="99"/>
    </row>
    <row r="200" spans="2:6" ht="12.75" customHeight="1" x14ac:dyDescent="0.25">
      <c r="B200" s="99"/>
      <c r="E200" s="99"/>
      <c r="F200" s="99"/>
    </row>
    <row r="201" spans="2:6" ht="12.75" customHeight="1" x14ac:dyDescent="0.25">
      <c r="B201" s="99"/>
      <c r="E201" s="99"/>
      <c r="F201" s="99"/>
    </row>
    <row r="202" spans="2:6" ht="12.75" customHeight="1" x14ac:dyDescent="0.25">
      <c r="B202" s="99"/>
      <c r="E202" s="99"/>
      <c r="F202" s="99"/>
    </row>
    <row r="203" spans="2:6" ht="12.75" customHeight="1" x14ac:dyDescent="0.25">
      <c r="B203" s="99"/>
      <c r="E203" s="99"/>
      <c r="F203" s="99"/>
    </row>
    <row r="204" spans="2:6" ht="12.75" customHeight="1" x14ac:dyDescent="0.25">
      <c r="B204" s="99"/>
      <c r="E204" s="99"/>
      <c r="F204" s="99"/>
    </row>
    <row r="205" spans="2:6" ht="12.75" customHeight="1" x14ac:dyDescent="0.25">
      <c r="B205" s="99"/>
      <c r="E205" s="99"/>
      <c r="F205" s="99"/>
    </row>
    <row r="206" spans="2:6" ht="12.75" customHeight="1" x14ac:dyDescent="0.25">
      <c r="B206" s="99"/>
      <c r="E206" s="99"/>
      <c r="F206" s="99"/>
    </row>
    <row r="207" spans="2:6" ht="12.75" customHeight="1" x14ac:dyDescent="0.25">
      <c r="B207" s="99"/>
      <c r="E207" s="99"/>
      <c r="F207" s="99"/>
    </row>
    <row r="208" spans="2:6" ht="12.75" customHeight="1" x14ac:dyDescent="0.25">
      <c r="B208" s="99"/>
      <c r="E208" s="99"/>
      <c r="F208" s="99"/>
    </row>
    <row r="209" spans="2:6" ht="12.75" customHeight="1" x14ac:dyDescent="0.25">
      <c r="B209" s="99"/>
      <c r="E209" s="99"/>
      <c r="F209" s="99"/>
    </row>
    <row r="210" spans="2:6" ht="12.75" customHeight="1" x14ac:dyDescent="0.25">
      <c r="B210" s="99"/>
      <c r="E210" s="99"/>
      <c r="F210" s="99"/>
    </row>
    <row r="211" spans="2:6" ht="12.75" customHeight="1" x14ac:dyDescent="0.25">
      <c r="B211" s="99"/>
      <c r="E211" s="99"/>
      <c r="F211" s="99"/>
    </row>
    <row r="212" spans="2:6" ht="12.75" customHeight="1" x14ac:dyDescent="0.25">
      <c r="B212" s="99"/>
      <c r="E212" s="99"/>
      <c r="F212" s="99"/>
    </row>
    <row r="213" spans="2:6" ht="12.75" customHeight="1" x14ac:dyDescent="0.25">
      <c r="B213" s="99"/>
      <c r="E213" s="99"/>
      <c r="F213" s="99"/>
    </row>
    <row r="214" spans="2:6" ht="12.75" customHeight="1" x14ac:dyDescent="0.25">
      <c r="B214" s="99"/>
      <c r="E214" s="99"/>
      <c r="F214" s="99"/>
    </row>
    <row r="215" spans="2:6" ht="12.75" customHeight="1" x14ac:dyDescent="0.25">
      <c r="B215" s="99"/>
      <c r="E215" s="99"/>
      <c r="F215" s="99"/>
    </row>
    <row r="216" spans="2:6" ht="12.75" customHeight="1" x14ac:dyDescent="0.25">
      <c r="B216" s="99"/>
      <c r="E216" s="99"/>
      <c r="F216" s="99"/>
    </row>
    <row r="217" spans="2:6" ht="12.75" customHeight="1" x14ac:dyDescent="0.25">
      <c r="B217" s="99"/>
      <c r="E217" s="99"/>
      <c r="F217" s="99"/>
    </row>
    <row r="218" spans="2:6" ht="12.75" customHeight="1" x14ac:dyDescent="0.25">
      <c r="B218" s="99"/>
      <c r="E218" s="99"/>
      <c r="F218" s="99"/>
    </row>
    <row r="219" spans="2:6" ht="12.75" customHeight="1" x14ac:dyDescent="0.25">
      <c r="B219" s="99"/>
      <c r="E219" s="99"/>
      <c r="F219" s="99"/>
    </row>
    <row r="220" spans="2:6" ht="12.75" customHeight="1" x14ac:dyDescent="0.25">
      <c r="B220" s="99"/>
      <c r="E220" s="99"/>
      <c r="F220" s="99"/>
    </row>
    <row r="221" spans="2:6" ht="12.75" customHeight="1" x14ac:dyDescent="0.25">
      <c r="B221" s="99"/>
      <c r="E221" s="99"/>
      <c r="F221" s="99"/>
    </row>
    <row r="222" spans="2:6" ht="12.75" customHeight="1" x14ac:dyDescent="0.25">
      <c r="B222" s="99"/>
      <c r="E222" s="99"/>
      <c r="F222" s="99"/>
    </row>
    <row r="223" spans="2:6" ht="12.75" customHeight="1" x14ac:dyDescent="0.25">
      <c r="B223" s="99"/>
      <c r="E223" s="99"/>
      <c r="F223" s="99"/>
    </row>
    <row r="224" spans="2:6" ht="12.75" customHeight="1" x14ac:dyDescent="0.25">
      <c r="B224" s="99"/>
      <c r="E224" s="99"/>
      <c r="F224" s="99"/>
    </row>
    <row r="225" spans="2:6" ht="12.75" customHeight="1" x14ac:dyDescent="0.25">
      <c r="B225" s="99"/>
      <c r="E225" s="99"/>
      <c r="F225" s="99"/>
    </row>
    <row r="226" spans="2:6" ht="12.75" customHeight="1" x14ac:dyDescent="0.25">
      <c r="B226" s="99"/>
      <c r="E226" s="99"/>
      <c r="F226" s="99"/>
    </row>
    <row r="227" spans="2:6" ht="12.75" customHeight="1" x14ac:dyDescent="0.25">
      <c r="B227" s="99"/>
      <c r="E227" s="99"/>
      <c r="F227" s="99"/>
    </row>
    <row r="228" spans="2:6" ht="12.75" customHeight="1" x14ac:dyDescent="0.25">
      <c r="B228" s="99"/>
      <c r="E228" s="99"/>
      <c r="F228" s="99"/>
    </row>
    <row r="229" spans="2:6" ht="12.75" customHeight="1" x14ac:dyDescent="0.25">
      <c r="B229" s="99"/>
      <c r="E229" s="99"/>
      <c r="F229" s="99"/>
    </row>
    <row r="230" spans="2:6" ht="12.75" customHeight="1" x14ac:dyDescent="0.25">
      <c r="B230" s="99"/>
      <c r="E230" s="99"/>
      <c r="F230" s="99"/>
    </row>
    <row r="231" spans="2:6" ht="12.75" customHeight="1" x14ac:dyDescent="0.25">
      <c r="B231" s="99"/>
      <c r="E231" s="99"/>
      <c r="F231" s="99"/>
    </row>
    <row r="232" spans="2:6" ht="12.75" customHeight="1" x14ac:dyDescent="0.25">
      <c r="B232" s="99"/>
      <c r="E232" s="99"/>
      <c r="F232" s="99"/>
    </row>
    <row r="233" spans="2:6" ht="12.75" customHeight="1" x14ac:dyDescent="0.25">
      <c r="B233" s="99"/>
      <c r="E233" s="99"/>
      <c r="F233" s="99"/>
    </row>
    <row r="234" spans="2:6" ht="12.75" customHeight="1" x14ac:dyDescent="0.25">
      <c r="B234" s="99"/>
      <c r="E234" s="99"/>
      <c r="F234" s="99"/>
    </row>
    <row r="235" spans="2:6" ht="12.75" customHeight="1" x14ac:dyDescent="0.25">
      <c r="B235" s="99"/>
      <c r="E235" s="99"/>
      <c r="F235" s="99"/>
    </row>
    <row r="236" spans="2:6" ht="12.75" customHeight="1" x14ac:dyDescent="0.25">
      <c r="B236" s="99"/>
      <c r="E236" s="99"/>
      <c r="F236" s="99"/>
    </row>
    <row r="237" spans="2:6" ht="12.75" customHeight="1" x14ac:dyDescent="0.25">
      <c r="B237" s="99"/>
      <c r="E237" s="99"/>
      <c r="F237" s="99"/>
    </row>
    <row r="238" spans="2:6" ht="12.75" customHeight="1" x14ac:dyDescent="0.25">
      <c r="B238" s="99"/>
      <c r="E238" s="99"/>
      <c r="F238" s="99"/>
    </row>
    <row r="239" spans="2:6" ht="12.75" customHeight="1" x14ac:dyDescent="0.25">
      <c r="B239" s="99"/>
      <c r="E239" s="99"/>
      <c r="F239" s="99"/>
    </row>
    <row r="240" spans="2:6" ht="12.75" customHeight="1" x14ac:dyDescent="0.25">
      <c r="B240" s="99"/>
      <c r="E240" s="99"/>
      <c r="F240" s="99"/>
    </row>
    <row r="241" spans="2:6" ht="12.75" customHeight="1" x14ac:dyDescent="0.25">
      <c r="B241" s="99"/>
      <c r="E241" s="99"/>
      <c r="F241" s="99"/>
    </row>
    <row r="242" spans="2:6" ht="12.75" customHeight="1" x14ac:dyDescent="0.25">
      <c r="B242" s="99"/>
      <c r="E242" s="99"/>
      <c r="F242" s="99"/>
    </row>
    <row r="243" spans="2:6" ht="12.75" customHeight="1" x14ac:dyDescent="0.25">
      <c r="B243" s="99"/>
      <c r="E243" s="99"/>
      <c r="F243" s="99"/>
    </row>
    <row r="244" spans="2:6" ht="12.75" customHeight="1" x14ac:dyDescent="0.25">
      <c r="B244" s="99"/>
      <c r="E244" s="99"/>
      <c r="F244" s="99"/>
    </row>
    <row r="245" spans="2:6" ht="12.75" customHeight="1" x14ac:dyDescent="0.25">
      <c r="B245" s="99"/>
      <c r="E245" s="99"/>
      <c r="F245" s="99"/>
    </row>
    <row r="246" spans="2:6" ht="12.75" customHeight="1" x14ac:dyDescent="0.25">
      <c r="B246" s="99"/>
      <c r="E246" s="99"/>
      <c r="F246" s="99"/>
    </row>
    <row r="247" spans="2:6" ht="12.75" customHeight="1" x14ac:dyDescent="0.25">
      <c r="B247" s="99"/>
      <c r="E247" s="99"/>
      <c r="F247" s="99"/>
    </row>
    <row r="248" spans="2:6" ht="12.75" customHeight="1" x14ac:dyDescent="0.25">
      <c r="B248" s="99"/>
      <c r="E248" s="99"/>
      <c r="F248" s="99"/>
    </row>
    <row r="249" spans="2:6" ht="12.75" customHeight="1" x14ac:dyDescent="0.25">
      <c r="B249" s="99"/>
      <c r="E249" s="99"/>
      <c r="F249" s="99"/>
    </row>
    <row r="250" spans="2:6" ht="12.75" customHeight="1" x14ac:dyDescent="0.25">
      <c r="B250" s="99"/>
      <c r="E250" s="99"/>
      <c r="F250" s="99"/>
    </row>
    <row r="251" spans="2:6" ht="12.75" customHeight="1" x14ac:dyDescent="0.25">
      <c r="B251" s="99"/>
      <c r="E251" s="99"/>
      <c r="F251" s="99"/>
    </row>
    <row r="252" spans="2:6" ht="12.75" customHeight="1" x14ac:dyDescent="0.25">
      <c r="B252" s="99"/>
      <c r="E252" s="99"/>
      <c r="F252" s="99"/>
    </row>
    <row r="253" spans="2:6" ht="12.75" customHeight="1" x14ac:dyDescent="0.25">
      <c r="B253" s="99"/>
      <c r="E253" s="99"/>
      <c r="F253" s="99"/>
    </row>
    <row r="254" spans="2:6" ht="12.75" customHeight="1" x14ac:dyDescent="0.25">
      <c r="B254" s="99"/>
      <c r="E254" s="99"/>
      <c r="F254" s="99"/>
    </row>
    <row r="255" spans="2:6" ht="12.75" customHeight="1" x14ac:dyDescent="0.25">
      <c r="B255" s="99"/>
      <c r="E255" s="99"/>
      <c r="F255" s="99"/>
    </row>
    <row r="256" spans="2:6" ht="12.75" customHeight="1" x14ac:dyDescent="0.25">
      <c r="B256" s="99"/>
      <c r="E256" s="99"/>
      <c r="F256" s="99"/>
    </row>
    <row r="257" spans="2:6" ht="12.75" customHeight="1" x14ac:dyDescent="0.25">
      <c r="B257" s="99"/>
      <c r="E257" s="99"/>
      <c r="F257" s="99"/>
    </row>
    <row r="258" spans="2:6" ht="12.75" customHeight="1" x14ac:dyDescent="0.25">
      <c r="B258" s="99"/>
      <c r="E258" s="99"/>
      <c r="F258" s="99"/>
    </row>
    <row r="259" spans="2:6" ht="12.75" customHeight="1" x14ac:dyDescent="0.25">
      <c r="B259" s="99"/>
      <c r="E259" s="99"/>
      <c r="F259" s="99"/>
    </row>
    <row r="260" spans="2:6" ht="12.75" customHeight="1" x14ac:dyDescent="0.25">
      <c r="B260" s="99"/>
      <c r="E260" s="99"/>
      <c r="F260" s="99"/>
    </row>
    <row r="261" spans="2:6" ht="12.75" customHeight="1" x14ac:dyDescent="0.25">
      <c r="B261" s="99"/>
      <c r="E261" s="99"/>
      <c r="F261" s="99"/>
    </row>
    <row r="262" spans="2:6" ht="12.75" customHeight="1" x14ac:dyDescent="0.25">
      <c r="B262" s="99"/>
      <c r="E262" s="99"/>
      <c r="F262" s="99"/>
    </row>
    <row r="263" spans="2:6" ht="12.75" customHeight="1" x14ac:dyDescent="0.25">
      <c r="B263" s="99"/>
      <c r="E263" s="99"/>
      <c r="F263" s="99"/>
    </row>
    <row r="264" spans="2:6" ht="12.75" customHeight="1" x14ac:dyDescent="0.25">
      <c r="B264" s="99"/>
      <c r="E264" s="99"/>
      <c r="F264" s="99"/>
    </row>
    <row r="265" spans="2:6" ht="12.75" customHeight="1" x14ac:dyDescent="0.25">
      <c r="B265" s="99"/>
      <c r="E265" s="99"/>
      <c r="F265" s="99"/>
    </row>
    <row r="266" spans="2:6" ht="12.75" customHeight="1" x14ac:dyDescent="0.25">
      <c r="B266" s="99"/>
      <c r="E266" s="99"/>
      <c r="F266" s="99"/>
    </row>
    <row r="267" spans="2:6" ht="12.75" customHeight="1" x14ac:dyDescent="0.25">
      <c r="B267" s="99"/>
      <c r="E267" s="99"/>
      <c r="F267" s="99"/>
    </row>
    <row r="268" spans="2:6" ht="12.75" customHeight="1" x14ac:dyDescent="0.25">
      <c r="B268" s="99"/>
      <c r="E268" s="99"/>
      <c r="F268" s="99"/>
    </row>
    <row r="269" spans="2:6" ht="12.75" customHeight="1" x14ac:dyDescent="0.25">
      <c r="B269" s="99"/>
      <c r="E269" s="99"/>
      <c r="F269" s="99"/>
    </row>
    <row r="270" spans="2:6" ht="12.75" customHeight="1" x14ac:dyDescent="0.25">
      <c r="B270" s="99"/>
      <c r="E270" s="99"/>
      <c r="F270" s="99"/>
    </row>
    <row r="271" spans="2:6" ht="12.75" customHeight="1" x14ac:dyDescent="0.25">
      <c r="B271" s="99"/>
      <c r="E271" s="99"/>
      <c r="F271" s="99"/>
    </row>
    <row r="272" spans="2:6" ht="12.75" customHeight="1" x14ac:dyDescent="0.25">
      <c r="B272" s="99"/>
      <c r="E272" s="99"/>
      <c r="F272" s="99"/>
    </row>
    <row r="273" spans="2:6" ht="12.75" customHeight="1" x14ac:dyDescent="0.25">
      <c r="B273" s="99"/>
      <c r="E273" s="99"/>
      <c r="F273" s="99"/>
    </row>
    <row r="274" spans="2:6" ht="12.75" customHeight="1" x14ac:dyDescent="0.25">
      <c r="B274" s="99"/>
      <c r="E274" s="99"/>
      <c r="F274" s="99"/>
    </row>
    <row r="275" spans="2:6" ht="12.75" customHeight="1" x14ac:dyDescent="0.25">
      <c r="B275" s="99"/>
      <c r="E275" s="99"/>
      <c r="F275" s="99"/>
    </row>
    <row r="276" spans="2:6" ht="12.75" customHeight="1" x14ac:dyDescent="0.25">
      <c r="B276" s="99"/>
      <c r="E276" s="99"/>
      <c r="F276" s="99"/>
    </row>
    <row r="277" spans="2:6" ht="12.75" customHeight="1" x14ac:dyDescent="0.25">
      <c r="B277" s="99"/>
      <c r="E277" s="99"/>
      <c r="F277" s="99"/>
    </row>
    <row r="278" spans="2:6" ht="12.75" customHeight="1" x14ac:dyDescent="0.25">
      <c r="B278" s="99"/>
      <c r="E278" s="99"/>
      <c r="F278" s="99"/>
    </row>
    <row r="279" spans="2:6" ht="12.75" customHeight="1" x14ac:dyDescent="0.25">
      <c r="B279" s="99"/>
      <c r="E279" s="99"/>
      <c r="F279" s="99"/>
    </row>
    <row r="280" spans="2:6" ht="12.75" customHeight="1" x14ac:dyDescent="0.25">
      <c r="B280" s="99"/>
      <c r="E280" s="99"/>
      <c r="F280" s="99"/>
    </row>
    <row r="281" spans="2:6" ht="12.75" customHeight="1" x14ac:dyDescent="0.25">
      <c r="B281" s="99"/>
      <c r="E281" s="99"/>
      <c r="F281" s="99"/>
    </row>
    <row r="282" spans="2:6" ht="12.75" customHeight="1" x14ac:dyDescent="0.25">
      <c r="B282" s="99"/>
      <c r="E282" s="99"/>
      <c r="F282" s="99"/>
    </row>
    <row r="283" spans="2:6" ht="12.75" customHeight="1" x14ac:dyDescent="0.25">
      <c r="B283" s="99"/>
      <c r="E283" s="99"/>
      <c r="F283" s="99"/>
    </row>
    <row r="284" spans="2:6" ht="12.75" customHeight="1" x14ac:dyDescent="0.25">
      <c r="B284" s="99"/>
      <c r="E284" s="99"/>
      <c r="F284" s="99"/>
    </row>
    <row r="285" spans="2:6" ht="12.75" customHeight="1" x14ac:dyDescent="0.25">
      <c r="B285" s="99"/>
      <c r="E285" s="99"/>
      <c r="F285" s="99"/>
    </row>
    <row r="286" spans="2:6" ht="12.75" customHeight="1" x14ac:dyDescent="0.25">
      <c r="B286" s="99"/>
      <c r="E286" s="99"/>
      <c r="F286" s="99"/>
    </row>
    <row r="287" spans="2:6" ht="12.75" customHeight="1" x14ac:dyDescent="0.25">
      <c r="B287" s="99"/>
      <c r="E287" s="99"/>
      <c r="F287" s="99"/>
    </row>
    <row r="288" spans="2:6" ht="12.75" customHeight="1" x14ac:dyDescent="0.25">
      <c r="B288" s="99"/>
      <c r="E288" s="99"/>
      <c r="F288" s="99"/>
    </row>
    <row r="289" spans="2:6" ht="12.75" customHeight="1" x14ac:dyDescent="0.25">
      <c r="B289" s="99"/>
      <c r="E289" s="99"/>
      <c r="F289" s="99"/>
    </row>
    <row r="290" spans="2:6" ht="12.75" customHeight="1" x14ac:dyDescent="0.25">
      <c r="B290" s="99"/>
      <c r="E290" s="99"/>
      <c r="F290" s="99"/>
    </row>
    <row r="291" spans="2:6" ht="12.75" customHeight="1" x14ac:dyDescent="0.25">
      <c r="B291" s="99"/>
      <c r="E291" s="99"/>
      <c r="F291" s="99"/>
    </row>
    <row r="292" spans="2:6" ht="12.75" customHeight="1" x14ac:dyDescent="0.25">
      <c r="B292" s="99"/>
      <c r="E292" s="99"/>
      <c r="F292" s="99"/>
    </row>
    <row r="293" spans="2:6" ht="12.75" customHeight="1" x14ac:dyDescent="0.25">
      <c r="B293" s="99"/>
      <c r="E293" s="99"/>
      <c r="F293" s="99"/>
    </row>
    <row r="294" spans="2:6" ht="12.75" customHeight="1" x14ac:dyDescent="0.25">
      <c r="B294" s="99"/>
      <c r="E294" s="99"/>
      <c r="F294" s="99"/>
    </row>
    <row r="295" spans="2:6" ht="12.75" customHeight="1" x14ac:dyDescent="0.25">
      <c r="B295" s="99"/>
      <c r="E295" s="99"/>
      <c r="F295" s="99"/>
    </row>
    <row r="296" spans="2:6" ht="12.75" customHeight="1" x14ac:dyDescent="0.25">
      <c r="B296" s="99"/>
      <c r="E296" s="99"/>
      <c r="F296" s="99"/>
    </row>
    <row r="297" spans="2:6" ht="12.75" customHeight="1" x14ac:dyDescent="0.25">
      <c r="B297" s="99"/>
      <c r="E297" s="99"/>
      <c r="F297" s="99"/>
    </row>
    <row r="298" spans="2:6" ht="12.75" customHeight="1" x14ac:dyDescent="0.25">
      <c r="B298" s="99"/>
      <c r="E298" s="99"/>
      <c r="F298" s="99"/>
    </row>
    <row r="299" spans="2:6" ht="12.75" customHeight="1" x14ac:dyDescent="0.25">
      <c r="B299" s="99"/>
      <c r="E299" s="99"/>
      <c r="F299" s="99"/>
    </row>
    <row r="300" spans="2:6" ht="12.75" customHeight="1" x14ac:dyDescent="0.25">
      <c r="B300" s="99"/>
      <c r="E300" s="99"/>
      <c r="F300" s="99"/>
    </row>
    <row r="301" spans="2:6" ht="12.75" customHeight="1" x14ac:dyDescent="0.25">
      <c r="B301" s="99"/>
      <c r="E301" s="99"/>
      <c r="F301" s="99"/>
    </row>
    <row r="302" spans="2:6" ht="12.75" customHeight="1" x14ac:dyDescent="0.25">
      <c r="B302" s="99"/>
      <c r="E302" s="99"/>
      <c r="F302" s="99"/>
    </row>
    <row r="303" spans="2:6" ht="12.75" customHeight="1" x14ac:dyDescent="0.25">
      <c r="B303" s="99"/>
      <c r="E303" s="99"/>
      <c r="F303" s="99"/>
    </row>
    <row r="304" spans="2:6" ht="12.75" customHeight="1" x14ac:dyDescent="0.25">
      <c r="B304" s="99"/>
      <c r="E304" s="99"/>
      <c r="F304" s="99"/>
    </row>
    <row r="305" spans="2:6" ht="12.75" customHeight="1" x14ac:dyDescent="0.25">
      <c r="B305" s="99"/>
      <c r="E305" s="99"/>
      <c r="F305" s="99"/>
    </row>
    <row r="306" spans="2:6" ht="12.75" customHeight="1" x14ac:dyDescent="0.25">
      <c r="B306" s="99"/>
      <c r="E306" s="99"/>
      <c r="F306" s="99"/>
    </row>
    <row r="307" spans="2:6" ht="12.75" customHeight="1" x14ac:dyDescent="0.25">
      <c r="B307" s="99"/>
      <c r="E307" s="99"/>
      <c r="F307" s="99"/>
    </row>
    <row r="308" spans="2:6" ht="12.75" customHeight="1" x14ac:dyDescent="0.25">
      <c r="B308" s="99"/>
      <c r="E308" s="99"/>
      <c r="F308" s="99"/>
    </row>
    <row r="309" spans="2:6" ht="12.75" customHeight="1" x14ac:dyDescent="0.25">
      <c r="B309" s="99"/>
      <c r="E309" s="99"/>
      <c r="F309" s="99"/>
    </row>
    <row r="310" spans="2:6" ht="12.75" customHeight="1" x14ac:dyDescent="0.25">
      <c r="B310" s="99"/>
      <c r="E310" s="99"/>
      <c r="F310" s="99"/>
    </row>
    <row r="311" spans="2:6" ht="12.75" customHeight="1" x14ac:dyDescent="0.25">
      <c r="B311" s="99"/>
      <c r="E311" s="99"/>
      <c r="F311" s="99"/>
    </row>
    <row r="312" spans="2:6" ht="12.75" customHeight="1" x14ac:dyDescent="0.25">
      <c r="B312" s="99"/>
      <c r="E312" s="99"/>
      <c r="F312" s="99"/>
    </row>
    <row r="313" spans="2:6" ht="12.75" customHeight="1" x14ac:dyDescent="0.25">
      <c r="B313" s="99"/>
      <c r="E313" s="99"/>
      <c r="F313" s="99"/>
    </row>
    <row r="314" spans="2:6" ht="12.75" customHeight="1" x14ac:dyDescent="0.25">
      <c r="B314" s="99"/>
      <c r="E314" s="99"/>
      <c r="F314" s="99"/>
    </row>
    <row r="315" spans="2:6" ht="12.75" customHeight="1" x14ac:dyDescent="0.25">
      <c r="B315" s="99"/>
      <c r="E315" s="99"/>
      <c r="F315" s="99"/>
    </row>
    <row r="316" spans="2:6" ht="12.75" customHeight="1" x14ac:dyDescent="0.25">
      <c r="B316" s="99"/>
      <c r="E316" s="99"/>
      <c r="F316" s="99"/>
    </row>
    <row r="317" spans="2:6" ht="12.75" customHeight="1" x14ac:dyDescent="0.25">
      <c r="B317" s="99"/>
      <c r="E317" s="99"/>
      <c r="F317" s="99"/>
    </row>
    <row r="318" spans="2:6" ht="12.75" customHeight="1" x14ac:dyDescent="0.25">
      <c r="B318" s="99"/>
      <c r="E318" s="99"/>
      <c r="F318" s="99"/>
    </row>
    <row r="319" spans="2:6" ht="12.75" customHeight="1" x14ac:dyDescent="0.25">
      <c r="B319" s="99"/>
      <c r="E319" s="99"/>
      <c r="F319" s="99"/>
    </row>
    <row r="320" spans="2:6" ht="12.75" customHeight="1" x14ac:dyDescent="0.25">
      <c r="B320" s="99"/>
      <c r="E320" s="99"/>
      <c r="F320" s="99"/>
    </row>
    <row r="321" spans="2:6" ht="12.75" customHeight="1" x14ac:dyDescent="0.25">
      <c r="B321" s="99"/>
      <c r="E321" s="99"/>
      <c r="F321" s="99"/>
    </row>
    <row r="322" spans="2:6" ht="12.75" customHeight="1" x14ac:dyDescent="0.25">
      <c r="B322" s="99"/>
      <c r="E322" s="99"/>
      <c r="F322" s="99"/>
    </row>
    <row r="323" spans="2:6" ht="12.75" customHeight="1" x14ac:dyDescent="0.25">
      <c r="B323" s="99"/>
      <c r="E323" s="99"/>
      <c r="F323" s="99"/>
    </row>
    <row r="324" spans="2:6" ht="12.75" customHeight="1" x14ac:dyDescent="0.25">
      <c r="B324" s="99"/>
      <c r="E324" s="99"/>
      <c r="F324" s="99"/>
    </row>
    <row r="325" spans="2:6" ht="12.75" customHeight="1" x14ac:dyDescent="0.25">
      <c r="B325" s="99"/>
      <c r="E325" s="99"/>
      <c r="F325" s="99"/>
    </row>
    <row r="326" spans="2:6" ht="12.75" customHeight="1" x14ac:dyDescent="0.25">
      <c r="B326" s="99"/>
      <c r="E326" s="99"/>
      <c r="F326" s="99"/>
    </row>
    <row r="327" spans="2:6" ht="12.75" customHeight="1" x14ac:dyDescent="0.25">
      <c r="B327" s="99"/>
      <c r="E327" s="99"/>
      <c r="F327" s="99"/>
    </row>
    <row r="328" spans="2:6" ht="12.75" customHeight="1" x14ac:dyDescent="0.25">
      <c r="B328" s="99"/>
      <c r="E328" s="99"/>
      <c r="F328" s="99"/>
    </row>
    <row r="329" spans="2:6" ht="12.75" customHeight="1" x14ac:dyDescent="0.25">
      <c r="B329" s="99"/>
      <c r="E329" s="99"/>
      <c r="F329" s="99"/>
    </row>
    <row r="330" spans="2:6" ht="12.75" customHeight="1" x14ac:dyDescent="0.25">
      <c r="B330" s="99"/>
      <c r="E330" s="99"/>
      <c r="F330" s="99"/>
    </row>
    <row r="331" spans="2:6" ht="12.75" customHeight="1" x14ac:dyDescent="0.25">
      <c r="B331" s="99"/>
      <c r="E331" s="99"/>
      <c r="F331" s="99"/>
    </row>
    <row r="332" spans="2:6" ht="12.75" customHeight="1" x14ac:dyDescent="0.25">
      <c r="B332" s="99"/>
      <c r="E332" s="99"/>
      <c r="F332" s="99"/>
    </row>
    <row r="333" spans="2:6" ht="12.75" customHeight="1" x14ac:dyDescent="0.25">
      <c r="B333" s="99"/>
      <c r="E333" s="99"/>
      <c r="F333" s="99"/>
    </row>
    <row r="334" spans="2:6" ht="12.75" customHeight="1" x14ac:dyDescent="0.25">
      <c r="B334" s="99"/>
      <c r="E334" s="99"/>
      <c r="F334" s="99"/>
    </row>
    <row r="335" spans="2:6" ht="12.75" customHeight="1" x14ac:dyDescent="0.25">
      <c r="B335" s="99"/>
      <c r="E335" s="99"/>
      <c r="F335" s="99"/>
    </row>
    <row r="336" spans="2:6" ht="12.75" customHeight="1" x14ac:dyDescent="0.25">
      <c r="B336" s="99"/>
      <c r="E336" s="99"/>
      <c r="F336" s="99"/>
    </row>
    <row r="337" spans="2:6" ht="12.75" customHeight="1" x14ac:dyDescent="0.25">
      <c r="B337" s="99"/>
      <c r="E337" s="99"/>
      <c r="F337" s="99"/>
    </row>
    <row r="338" spans="2:6" ht="12.75" customHeight="1" x14ac:dyDescent="0.25">
      <c r="B338" s="99"/>
      <c r="E338" s="99"/>
      <c r="F338" s="99"/>
    </row>
    <row r="339" spans="2:6" ht="12.75" customHeight="1" x14ac:dyDescent="0.25">
      <c r="B339" s="99"/>
      <c r="E339" s="99"/>
      <c r="F339" s="99"/>
    </row>
    <row r="340" spans="2:6" ht="12.75" customHeight="1" x14ac:dyDescent="0.25">
      <c r="B340" s="99"/>
      <c r="E340" s="99"/>
      <c r="F340" s="99"/>
    </row>
    <row r="341" spans="2:6" ht="12.75" customHeight="1" x14ac:dyDescent="0.25">
      <c r="B341" s="99"/>
      <c r="E341" s="99"/>
      <c r="F341" s="99"/>
    </row>
    <row r="342" spans="2:6" ht="12.75" customHeight="1" x14ac:dyDescent="0.25">
      <c r="B342" s="99"/>
      <c r="E342" s="99"/>
      <c r="F342" s="99"/>
    </row>
    <row r="343" spans="2:6" ht="12.75" customHeight="1" x14ac:dyDescent="0.25">
      <c r="B343" s="99"/>
      <c r="E343" s="99"/>
      <c r="F343" s="99"/>
    </row>
    <row r="344" spans="2:6" ht="12.75" customHeight="1" x14ac:dyDescent="0.25">
      <c r="B344" s="99"/>
      <c r="E344" s="99"/>
      <c r="F344" s="99"/>
    </row>
    <row r="345" spans="2:6" ht="12.75" customHeight="1" x14ac:dyDescent="0.25">
      <c r="B345" s="99"/>
      <c r="E345" s="99"/>
      <c r="F345" s="99"/>
    </row>
    <row r="346" spans="2:6" ht="12.75" customHeight="1" x14ac:dyDescent="0.25">
      <c r="B346" s="99"/>
      <c r="E346" s="99"/>
      <c r="F346" s="99"/>
    </row>
    <row r="347" spans="2:6" ht="12.75" customHeight="1" x14ac:dyDescent="0.25">
      <c r="B347" s="99"/>
      <c r="E347" s="99"/>
      <c r="F347" s="99"/>
    </row>
    <row r="348" spans="2:6" ht="12.75" customHeight="1" x14ac:dyDescent="0.25">
      <c r="B348" s="99"/>
      <c r="E348" s="99"/>
      <c r="F348" s="99"/>
    </row>
    <row r="349" spans="2:6" ht="12.75" customHeight="1" x14ac:dyDescent="0.25">
      <c r="B349" s="99"/>
      <c r="E349" s="99"/>
      <c r="F349" s="99"/>
    </row>
    <row r="350" spans="2:6" ht="12.75" customHeight="1" x14ac:dyDescent="0.25">
      <c r="B350" s="99"/>
      <c r="E350" s="99"/>
      <c r="F350" s="99"/>
    </row>
    <row r="351" spans="2:6" ht="12.75" customHeight="1" x14ac:dyDescent="0.25">
      <c r="B351" s="99"/>
      <c r="E351" s="99"/>
      <c r="F351" s="99"/>
    </row>
    <row r="352" spans="2:6" ht="12.75" customHeight="1" x14ac:dyDescent="0.25">
      <c r="B352" s="99"/>
      <c r="E352" s="99"/>
      <c r="F352" s="99"/>
    </row>
    <row r="353" spans="2:6" ht="12.75" customHeight="1" x14ac:dyDescent="0.25">
      <c r="B353" s="99"/>
      <c r="E353" s="99"/>
      <c r="F353" s="99"/>
    </row>
    <row r="354" spans="2:6" ht="12.75" customHeight="1" x14ac:dyDescent="0.25">
      <c r="B354" s="99"/>
      <c r="E354" s="99"/>
      <c r="F354" s="99"/>
    </row>
    <row r="355" spans="2:6" ht="12.75" customHeight="1" x14ac:dyDescent="0.25">
      <c r="B355" s="99"/>
      <c r="E355" s="99"/>
      <c r="F355" s="99"/>
    </row>
    <row r="356" spans="2:6" ht="12.75" customHeight="1" x14ac:dyDescent="0.25">
      <c r="B356" s="99"/>
      <c r="E356" s="99"/>
      <c r="F356" s="99"/>
    </row>
    <row r="357" spans="2:6" ht="12.75" customHeight="1" x14ac:dyDescent="0.25">
      <c r="B357" s="99"/>
      <c r="E357" s="99"/>
      <c r="F357" s="99"/>
    </row>
    <row r="358" spans="2:6" ht="12.75" customHeight="1" x14ac:dyDescent="0.25">
      <c r="B358" s="99"/>
      <c r="E358" s="99"/>
      <c r="F358" s="99"/>
    </row>
    <row r="359" spans="2:6" ht="12.75" customHeight="1" x14ac:dyDescent="0.25">
      <c r="B359" s="99"/>
      <c r="E359" s="99"/>
      <c r="F359" s="99"/>
    </row>
    <row r="360" spans="2:6" ht="12.75" customHeight="1" x14ac:dyDescent="0.25">
      <c r="B360" s="99"/>
      <c r="E360" s="99"/>
      <c r="F360" s="99"/>
    </row>
    <row r="361" spans="2:6" ht="12.75" customHeight="1" x14ac:dyDescent="0.25">
      <c r="B361" s="99"/>
      <c r="E361" s="99"/>
      <c r="F361" s="99"/>
    </row>
    <row r="362" spans="2:6" ht="12.75" customHeight="1" x14ac:dyDescent="0.25">
      <c r="B362" s="99"/>
      <c r="E362" s="99"/>
      <c r="F362" s="99"/>
    </row>
    <row r="363" spans="2:6" ht="12.75" customHeight="1" x14ac:dyDescent="0.25">
      <c r="B363" s="99"/>
      <c r="E363" s="99"/>
      <c r="F363" s="99"/>
    </row>
    <row r="364" spans="2:6" ht="12.75" customHeight="1" x14ac:dyDescent="0.25">
      <c r="B364" s="99"/>
      <c r="E364" s="99"/>
      <c r="F364" s="99"/>
    </row>
    <row r="365" spans="2:6" ht="12.75" customHeight="1" x14ac:dyDescent="0.25">
      <c r="B365" s="99"/>
      <c r="E365" s="99"/>
      <c r="F365" s="99"/>
    </row>
    <row r="366" spans="2:6" ht="12.75" customHeight="1" x14ac:dyDescent="0.25">
      <c r="B366" s="99"/>
      <c r="E366" s="99"/>
      <c r="F366" s="99"/>
    </row>
    <row r="367" spans="2:6" ht="12.75" customHeight="1" x14ac:dyDescent="0.25">
      <c r="B367" s="99"/>
      <c r="E367" s="99"/>
      <c r="F367" s="99"/>
    </row>
    <row r="368" spans="2:6" ht="12.75" customHeight="1" x14ac:dyDescent="0.25">
      <c r="B368" s="99"/>
      <c r="E368" s="99"/>
      <c r="F368" s="99"/>
    </row>
    <row r="369" spans="2:6" ht="12.75" customHeight="1" x14ac:dyDescent="0.25">
      <c r="B369" s="99"/>
      <c r="E369" s="99"/>
      <c r="F369" s="99"/>
    </row>
    <row r="370" spans="2:6" ht="12.75" customHeight="1" x14ac:dyDescent="0.25">
      <c r="B370" s="99"/>
      <c r="E370" s="99"/>
      <c r="F370" s="99"/>
    </row>
    <row r="371" spans="2:6" ht="12.75" customHeight="1" x14ac:dyDescent="0.25">
      <c r="B371" s="99"/>
      <c r="E371" s="99"/>
      <c r="F371" s="99"/>
    </row>
    <row r="372" spans="2:6" ht="12.75" customHeight="1" x14ac:dyDescent="0.25">
      <c r="B372" s="99"/>
      <c r="E372" s="99"/>
      <c r="F372" s="99"/>
    </row>
    <row r="373" spans="2:6" ht="12.75" customHeight="1" x14ac:dyDescent="0.25">
      <c r="B373" s="99"/>
      <c r="E373" s="99"/>
      <c r="F373" s="99"/>
    </row>
    <row r="374" spans="2:6" ht="12.75" customHeight="1" x14ac:dyDescent="0.25">
      <c r="B374" s="99"/>
      <c r="E374" s="99"/>
      <c r="F374" s="99"/>
    </row>
    <row r="375" spans="2:6" ht="12.75" customHeight="1" x14ac:dyDescent="0.25">
      <c r="B375" s="99"/>
      <c r="E375" s="99"/>
      <c r="F375" s="99"/>
    </row>
    <row r="376" spans="2:6" ht="12.75" customHeight="1" x14ac:dyDescent="0.25">
      <c r="B376" s="99"/>
      <c r="E376" s="99"/>
      <c r="F376" s="99"/>
    </row>
    <row r="377" spans="2:6" ht="12.75" customHeight="1" x14ac:dyDescent="0.25">
      <c r="B377" s="99"/>
      <c r="E377" s="99"/>
      <c r="F377" s="99"/>
    </row>
    <row r="378" spans="2:6" ht="12.75" customHeight="1" x14ac:dyDescent="0.25">
      <c r="B378" s="99"/>
      <c r="E378" s="99"/>
      <c r="F378" s="99"/>
    </row>
    <row r="379" spans="2:6" ht="12.75" customHeight="1" x14ac:dyDescent="0.25">
      <c r="B379" s="99"/>
      <c r="E379" s="99"/>
      <c r="F379" s="99"/>
    </row>
    <row r="380" spans="2:6" ht="12.75" customHeight="1" x14ac:dyDescent="0.25">
      <c r="B380" s="99"/>
      <c r="E380" s="99"/>
      <c r="F380" s="99"/>
    </row>
    <row r="381" spans="2:6" ht="12.75" customHeight="1" x14ac:dyDescent="0.25">
      <c r="B381" s="99"/>
      <c r="E381" s="99"/>
      <c r="F381" s="99"/>
    </row>
    <row r="382" spans="2:6" ht="12.75" customHeight="1" x14ac:dyDescent="0.25">
      <c r="B382" s="99"/>
      <c r="E382" s="99"/>
      <c r="F382" s="99"/>
    </row>
    <row r="383" spans="2:6" ht="12.75" customHeight="1" x14ac:dyDescent="0.25">
      <c r="B383" s="99"/>
      <c r="E383" s="99"/>
      <c r="F383" s="99"/>
    </row>
    <row r="384" spans="2:6" ht="12.75" customHeight="1" x14ac:dyDescent="0.25">
      <c r="B384" s="99"/>
      <c r="E384" s="99"/>
      <c r="F384" s="99"/>
    </row>
    <row r="385" spans="2:6" ht="12.75" customHeight="1" x14ac:dyDescent="0.25">
      <c r="B385" s="99"/>
      <c r="E385" s="99"/>
      <c r="F385" s="99"/>
    </row>
    <row r="386" spans="2:6" ht="12.75" customHeight="1" x14ac:dyDescent="0.25">
      <c r="B386" s="99"/>
      <c r="E386" s="99"/>
      <c r="F386" s="99"/>
    </row>
    <row r="387" spans="2:6" ht="12.75" customHeight="1" x14ac:dyDescent="0.25">
      <c r="B387" s="99"/>
      <c r="E387" s="99"/>
      <c r="F387" s="99"/>
    </row>
    <row r="388" spans="2:6" ht="12.75" customHeight="1" x14ac:dyDescent="0.25">
      <c r="B388" s="99"/>
      <c r="E388" s="99"/>
      <c r="F388" s="99"/>
    </row>
    <row r="389" spans="2:6" ht="12.75" customHeight="1" x14ac:dyDescent="0.25">
      <c r="B389" s="99"/>
      <c r="E389" s="99"/>
      <c r="F389" s="99"/>
    </row>
    <row r="390" spans="2:6" ht="12.75" customHeight="1" x14ac:dyDescent="0.25">
      <c r="B390" s="99"/>
      <c r="E390" s="99"/>
      <c r="F390" s="99"/>
    </row>
    <row r="391" spans="2:6" ht="12.75" customHeight="1" x14ac:dyDescent="0.25">
      <c r="B391" s="99"/>
      <c r="E391" s="99"/>
      <c r="F391" s="99"/>
    </row>
    <row r="392" spans="2:6" ht="12.75" customHeight="1" x14ac:dyDescent="0.25">
      <c r="B392" s="99"/>
      <c r="E392" s="99"/>
      <c r="F392" s="99"/>
    </row>
    <row r="393" spans="2:6" ht="12.75" customHeight="1" x14ac:dyDescent="0.25">
      <c r="B393" s="99"/>
      <c r="E393" s="99"/>
      <c r="F393" s="99"/>
    </row>
    <row r="394" spans="2:6" ht="12.75" customHeight="1" x14ac:dyDescent="0.25">
      <c r="B394" s="99"/>
      <c r="E394" s="99"/>
      <c r="F394" s="99"/>
    </row>
    <row r="395" spans="2:6" ht="12.75" customHeight="1" x14ac:dyDescent="0.25">
      <c r="B395" s="99"/>
      <c r="E395" s="99"/>
      <c r="F395" s="99"/>
    </row>
    <row r="396" spans="2:6" ht="12.75" customHeight="1" x14ac:dyDescent="0.25">
      <c r="B396" s="99"/>
      <c r="E396" s="99"/>
      <c r="F396" s="99"/>
    </row>
    <row r="397" spans="2:6" ht="12.75" customHeight="1" x14ac:dyDescent="0.25">
      <c r="B397" s="99"/>
      <c r="E397" s="99"/>
      <c r="F397" s="99"/>
    </row>
    <row r="398" spans="2:6" ht="12.75" customHeight="1" x14ac:dyDescent="0.25">
      <c r="B398" s="99"/>
      <c r="E398" s="99"/>
      <c r="F398" s="99"/>
    </row>
    <row r="399" spans="2:6" ht="12.75" customHeight="1" x14ac:dyDescent="0.25">
      <c r="B399" s="99"/>
      <c r="E399" s="99"/>
      <c r="F399" s="99"/>
    </row>
    <row r="400" spans="2:6" ht="12.75" customHeight="1" x14ac:dyDescent="0.25">
      <c r="B400" s="99"/>
      <c r="E400" s="99"/>
      <c r="F400" s="99"/>
    </row>
    <row r="401" spans="2:6" ht="12.75" customHeight="1" x14ac:dyDescent="0.25">
      <c r="B401" s="99"/>
      <c r="E401" s="99"/>
      <c r="F401" s="99"/>
    </row>
    <row r="402" spans="2:6" ht="12.75" customHeight="1" x14ac:dyDescent="0.25">
      <c r="B402" s="99"/>
      <c r="E402" s="99"/>
      <c r="F402" s="99"/>
    </row>
    <row r="403" spans="2:6" ht="12.75" customHeight="1" x14ac:dyDescent="0.25">
      <c r="B403" s="99"/>
      <c r="E403" s="99"/>
      <c r="F403" s="99"/>
    </row>
    <row r="404" spans="2:6" ht="12.75" customHeight="1" x14ac:dyDescent="0.25">
      <c r="B404" s="99"/>
      <c r="E404" s="99"/>
      <c r="F404" s="99"/>
    </row>
    <row r="405" spans="2:6" ht="12.75" customHeight="1" x14ac:dyDescent="0.25">
      <c r="B405" s="99"/>
      <c r="E405" s="99"/>
      <c r="F405" s="99"/>
    </row>
    <row r="406" spans="2:6" ht="12.75" customHeight="1" x14ac:dyDescent="0.25">
      <c r="B406" s="99"/>
      <c r="E406" s="99"/>
      <c r="F406" s="99"/>
    </row>
    <row r="407" spans="2:6" ht="12.75" customHeight="1" x14ac:dyDescent="0.25">
      <c r="B407" s="99"/>
      <c r="E407" s="99"/>
      <c r="F407" s="99"/>
    </row>
    <row r="408" spans="2:6" ht="12.75" customHeight="1" x14ac:dyDescent="0.25">
      <c r="B408" s="99"/>
      <c r="E408" s="99"/>
      <c r="F408" s="99"/>
    </row>
    <row r="409" spans="2:6" ht="12.75" customHeight="1" x14ac:dyDescent="0.25">
      <c r="B409" s="99"/>
      <c r="E409" s="99"/>
      <c r="F409" s="99"/>
    </row>
    <row r="410" spans="2:6" ht="12.75" customHeight="1" x14ac:dyDescent="0.25">
      <c r="B410" s="99"/>
      <c r="E410" s="99"/>
      <c r="F410" s="99"/>
    </row>
    <row r="411" spans="2:6" ht="12.75" customHeight="1" x14ac:dyDescent="0.25">
      <c r="B411" s="99"/>
      <c r="E411" s="99"/>
      <c r="F411" s="99"/>
    </row>
    <row r="412" spans="2:6" ht="12.75" customHeight="1" x14ac:dyDescent="0.25">
      <c r="B412" s="99"/>
      <c r="E412" s="99"/>
      <c r="F412" s="99"/>
    </row>
    <row r="413" spans="2:6" ht="12.75" customHeight="1" x14ac:dyDescent="0.25">
      <c r="B413" s="99"/>
      <c r="E413" s="99"/>
      <c r="F413" s="99"/>
    </row>
    <row r="414" spans="2:6" ht="12.75" customHeight="1" x14ac:dyDescent="0.25">
      <c r="B414" s="99"/>
      <c r="E414" s="99"/>
      <c r="F414" s="99"/>
    </row>
    <row r="415" spans="2:6" ht="12.75" customHeight="1" x14ac:dyDescent="0.25">
      <c r="B415" s="99"/>
      <c r="E415" s="99"/>
      <c r="F415" s="99"/>
    </row>
    <row r="416" spans="2:6" ht="12.75" customHeight="1" x14ac:dyDescent="0.25">
      <c r="B416" s="99"/>
      <c r="E416" s="99"/>
      <c r="F416" s="99"/>
    </row>
    <row r="417" spans="2:6" ht="12.75" customHeight="1" x14ac:dyDescent="0.25">
      <c r="B417" s="99"/>
      <c r="E417" s="99"/>
      <c r="F417" s="99"/>
    </row>
    <row r="418" spans="2:6" ht="12.75" customHeight="1" x14ac:dyDescent="0.25">
      <c r="B418" s="99"/>
      <c r="E418" s="99"/>
      <c r="F418" s="99"/>
    </row>
    <row r="419" spans="2:6" ht="12.75" customHeight="1" x14ac:dyDescent="0.25">
      <c r="B419" s="99"/>
      <c r="E419" s="99"/>
      <c r="F419" s="99"/>
    </row>
    <row r="420" spans="2:6" ht="12.75" customHeight="1" x14ac:dyDescent="0.25">
      <c r="B420" s="99"/>
      <c r="E420" s="99"/>
      <c r="F420" s="99"/>
    </row>
    <row r="421" spans="2:6" ht="12.75" customHeight="1" x14ac:dyDescent="0.25">
      <c r="B421" s="99"/>
      <c r="E421" s="99"/>
      <c r="F421" s="99"/>
    </row>
    <row r="422" spans="2:6" ht="12.75" customHeight="1" x14ac:dyDescent="0.25">
      <c r="B422" s="99"/>
      <c r="E422" s="99"/>
      <c r="F422" s="99"/>
    </row>
    <row r="423" spans="2:6" ht="12.75" customHeight="1" x14ac:dyDescent="0.25">
      <c r="B423" s="99"/>
      <c r="E423" s="99"/>
      <c r="F423" s="99"/>
    </row>
    <row r="424" spans="2:6" ht="12.75" customHeight="1" x14ac:dyDescent="0.25">
      <c r="B424" s="99"/>
      <c r="E424" s="99"/>
      <c r="F424" s="99"/>
    </row>
    <row r="425" spans="2:6" ht="12.75" customHeight="1" x14ac:dyDescent="0.25">
      <c r="B425" s="99"/>
      <c r="E425" s="99"/>
      <c r="F425" s="99"/>
    </row>
    <row r="426" spans="2:6" ht="12.75" customHeight="1" x14ac:dyDescent="0.25">
      <c r="B426" s="99"/>
      <c r="E426" s="99"/>
      <c r="F426" s="99"/>
    </row>
    <row r="427" spans="2:6" ht="12.75" customHeight="1" x14ac:dyDescent="0.25">
      <c r="B427" s="99"/>
      <c r="E427" s="99"/>
      <c r="F427" s="99"/>
    </row>
    <row r="428" spans="2:6" ht="12.75" customHeight="1" x14ac:dyDescent="0.25">
      <c r="B428" s="99"/>
      <c r="E428" s="99"/>
      <c r="F428" s="99"/>
    </row>
    <row r="429" spans="2:6" ht="12.75" customHeight="1" x14ac:dyDescent="0.25">
      <c r="B429" s="99"/>
      <c r="E429" s="99"/>
      <c r="F429" s="99"/>
    </row>
    <row r="430" spans="2:6" ht="12.75" customHeight="1" x14ac:dyDescent="0.25">
      <c r="B430" s="99"/>
      <c r="E430" s="99"/>
      <c r="F430" s="99"/>
    </row>
    <row r="431" spans="2:6" ht="12.75" customHeight="1" x14ac:dyDescent="0.25">
      <c r="B431" s="99"/>
      <c r="E431" s="99"/>
      <c r="F431" s="99"/>
    </row>
    <row r="432" spans="2:6" ht="12.75" customHeight="1" x14ac:dyDescent="0.25">
      <c r="B432" s="99"/>
      <c r="E432" s="99"/>
      <c r="F432" s="99"/>
    </row>
    <row r="433" spans="2:6" ht="12.75" customHeight="1" x14ac:dyDescent="0.25">
      <c r="B433" s="99"/>
      <c r="E433" s="99"/>
      <c r="F433" s="99"/>
    </row>
    <row r="434" spans="2:6" ht="12.75" customHeight="1" x14ac:dyDescent="0.25">
      <c r="B434" s="99"/>
      <c r="E434" s="99"/>
      <c r="F434" s="99"/>
    </row>
    <row r="435" spans="2:6" ht="12.75" customHeight="1" x14ac:dyDescent="0.25">
      <c r="B435" s="99"/>
      <c r="E435" s="99"/>
      <c r="F435" s="99"/>
    </row>
    <row r="436" spans="2:6" ht="12.75" customHeight="1" x14ac:dyDescent="0.25">
      <c r="B436" s="99"/>
      <c r="E436" s="99"/>
      <c r="F436" s="99"/>
    </row>
    <row r="437" spans="2:6" ht="12.75" customHeight="1" x14ac:dyDescent="0.25">
      <c r="B437" s="99"/>
      <c r="E437" s="99"/>
      <c r="F437" s="99"/>
    </row>
    <row r="438" spans="2:6" ht="12.75" customHeight="1" x14ac:dyDescent="0.25">
      <c r="B438" s="99"/>
      <c r="E438" s="99"/>
      <c r="F438" s="99"/>
    </row>
    <row r="439" spans="2:6" ht="12.75" customHeight="1" x14ac:dyDescent="0.25">
      <c r="B439" s="99"/>
      <c r="E439" s="99"/>
      <c r="F439" s="99"/>
    </row>
    <row r="440" spans="2:6" ht="12.75" customHeight="1" x14ac:dyDescent="0.25">
      <c r="B440" s="99"/>
      <c r="E440" s="99"/>
      <c r="F440" s="99"/>
    </row>
    <row r="441" spans="2:6" ht="12.75" customHeight="1" x14ac:dyDescent="0.25">
      <c r="B441" s="99"/>
      <c r="E441" s="99"/>
      <c r="F441" s="99"/>
    </row>
    <row r="442" spans="2:6" ht="12.75" customHeight="1" x14ac:dyDescent="0.25">
      <c r="B442" s="99"/>
      <c r="E442" s="99"/>
      <c r="F442" s="99"/>
    </row>
    <row r="443" spans="2:6" ht="12.75" customHeight="1" x14ac:dyDescent="0.25">
      <c r="B443" s="99"/>
      <c r="E443" s="99"/>
      <c r="F443" s="99"/>
    </row>
    <row r="444" spans="2:6" ht="12.75" customHeight="1" x14ac:dyDescent="0.25">
      <c r="B444" s="99"/>
      <c r="E444" s="99"/>
      <c r="F444" s="99"/>
    </row>
    <row r="445" spans="2:6" ht="12.75" customHeight="1" x14ac:dyDescent="0.25">
      <c r="B445" s="99"/>
      <c r="E445" s="99"/>
      <c r="F445" s="99"/>
    </row>
    <row r="446" spans="2:6" ht="12.75" customHeight="1" x14ac:dyDescent="0.25">
      <c r="B446" s="99"/>
      <c r="E446" s="99"/>
      <c r="F446" s="99"/>
    </row>
    <row r="447" spans="2:6" ht="12.75" customHeight="1" x14ac:dyDescent="0.25">
      <c r="B447" s="99"/>
      <c r="E447" s="99"/>
      <c r="F447" s="99"/>
    </row>
    <row r="448" spans="2:6" ht="12.75" customHeight="1" x14ac:dyDescent="0.25">
      <c r="B448" s="99"/>
      <c r="E448" s="99"/>
      <c r="F448" s="99"/>
    </row>
    <row r="449" spans="2:6" ht="12.75" customHeight="1" x14ac:dyDescent="0.25">
      <c r="B449" s="99"/>
      <c r="E449" s="99"/>
      <c r="F449" s="99"/>
    </row>
    <row r="450" spans="2:6" ht="12.75" customHeight="1" x14ac:dyDescent="0.25">
      <c r="B450" s="99"/>
      <c r="E450" s="99"/>
      <c r="F450" s="99"/>
    </row>
    <row r="451" spans="2:6" ht="12.75" customHeight="1" x14ac:dyDescent="0.25">
      <c r="B451" s="99"/>
      <c r="E451" s="99"/>
      <c r="F451" s="99"/>
    </row>
    <row r="452" spans="2:6" ht="12.75" customHeight="1" x14ac:dyDescent="0.25">
      <c r="B452" s="99"/>
      <c r="E452" s="99"/>
      <c r="F452" s="99"/>
    </row>
    <row r="453" spans="2:6" ht="12.75" customHeight="1" x14ac:dyDescent="0.25">
      <c r="B453" s="99"/>
      <c r="E453" s="99"/>
      <c r="F453" s="99"/>
    </row>
    <row r="454" spans="2:6" ht="12.75" customHeight="1" x14ac:dyDescent="0.25">
      <c r="B454" s="99"/>
      <c r="E454" s="99"/>
      <c r="F454" s="99"/>
    </row>
    <row r="455" spans="2:6" ht="12.75" customHeight="1" x14ac:dyDescent="0.25">
      <c r="B455" s="99"/>
      <c r="E455" s="99"/>
      <c r="F455" s="99"/>
    </row>
    <row r="456" spans="2:6" ht="12.75" customHeight="1" x14ac:dyDescent="0.25">
      <c r="B456" s="99"/>
      <c r="E456" s="99"/>
      <c r="F456" s="99"/>
    </row>
    <row r="457" spans="2:6" ht="12.75" customHeight="1" x14ac:dyDescent="0.25">
      <c r="B457" s="99"/>
      <c r="E457" s="99"/>
      <c r="F457" s="99"/>
    </row>
    <row r="458" spans="2:6" ht="12.75" customHeight="1" x14ac:dyDescent="0.25">
      <c r="B458" s="99"/>
      <c r="E458" s="99"/>
      <c r="F458" s="99"/>
    </row>
    <row r="459" spans="2:6" ht="12.75" customHeight="1" x14ac:dyDescent="0.25">
      <c r="B459" s="99"/>
      <c r="E459" s="99"/>
      <c r="F459" s="99"/>
    </row>
    <row r="460" spans="2:6" ht="12.75" customHeight="1" x14ac:dyDescent="0.25">
      <c r="B460" s="99"/>
      <c r="E460" s="99"/>
      <c r="F460" s="99"/>
    </row>
    <row r="461" spans="2:6" ht="12.75" customHeight="1" x14ac:dyDescent="0.25">
      <c r="B461" s="99"/>
      <c r="E461" s="99"/>
      <c r="F461" s="99"/>
    </row>
    <row r="462" spans="2:6" ht="12.75" customHeight="1" x14ac:dyDescent="0.25">
      <c r="B462" s="99"/>
      <c r="E462" s="99"/>
      <c r="F462" s="99"/>
    </row>
    <row r="463" spans="2:6" ht="12.75" customHeight="1" x14ac:dyDescent="0.25">
      <c r="B463" s="99"/>
      <c r="E463" s="99"/>
      <c r="F463" s="99"/>
    </row>
    <row r="464" spans="2:6" ht="12.75" customHeight="1" x14ac:dyDescent="0.25">
      <c r="B464" s="99"/>
      <c r="E464" s="99"/>
      <c r="F464" s="99"/>
    </row>
    <row r="465" spans="2:6" ht="12.75" customHeight="1" x14ac:dyDescent="0.25">
      <c r="B465" s="99"/>
      <c r="E465" s="99"/>
      <c r="F465" s="99"/>
    </row>
    <row r="466" spans="2:6" ht="12.75" customHeight="1" x14ac:dyDescent="0.25">
      <c r="B466" s="99"/>
      <c r="E466" s="99"/>
      <c r="F466" s="99"/>
    </row>
    <row r="467" spans="2:6" ht="12.75" customHeight="1" x14ac:dyDescent="0.25">
      <c r="B467" s="99"/>
      <c r="E467" s="99"/>
      <c r="F467" s="99"/>
    </row>
    <row r="468" spans="2:6" ht="12.75" customHeight="1" x14ac:dyDescent="0.25">
      <c r="B468" s="99"/>
      <c r="E468" s="99"/>
      <c r="F468" s="99"/>
    </row>
    <row r="469" spans="2:6" ht="12.75" customHeight="1" x14ac:dyDescent="0.25">
      <c r="B469" s="99"/>
      <c r="E469" s="99"/>
      <c r="F469" s="99"/>
    </row>
    <row r="470" spans="2:6" ht="12.75" customHeight="1" x14ac:dyDescent="0.25">
      <c r="B470" s="99"/>
      <c r="E470" s="99"/>
      <c r="F470" s="99"/>
    </row>
    <row r="471" spans="2:6" ht="12.75" customHeight="1" x14ac:dyDescent="0.25">
      <c r="B471" s="99"/>
      <c r="E471" s="99"/>
      <c r="F471" s="99"/>
    </row>
    <row r="472" spans="2:6" ht="12.75" customHeight="1" x14ac:dyDescent="0.25">
      <c r="B472" s="99"/>
      <c r="E472" s="99"/>
      <c r="F472" s="99"/>
    </row>
    <row r="473" spans="2:6" ht="12.75" customHeight="1" x14ac:dyDescent="0.25">
      <c r="B473" s="99"/>
      <c r="E473" s="99"/>
      <c r="F473" s="99"/>
    </row>
    <row r="474" spans="2:6" ht="12.75" customHeight="1" x14ac:dyDescent="0.25">
      <c r="B474" s="99"/>
      <c r="E474" s="99"/>
      <c r="F474" s="99"/>
    </row>
    <row r="475" spans="2:6" ht="12.75" customHeight="1" x14ac:dyDescent="0.25">
      <c r="B475" s="99"/>
      <c r="E475" s="99"/>
      <c r="F475" s="99"/>
    </row>
    <row r="476" spans="2:6" ht="12.75" customHeight="1" x14ac:dyDescent="0.25">
      <c r="B476" s="99"/>
      <c r="E476" s="99"/>
      <c r="F476" s="99"/>
    </row>
    <row r="477" spans="2:6" ht="12.75" customHeight="1" x14ac:dyDescent="0.25">
      <c r="B477" s="99"/>
      <c r="E477" s="99"/>
      <c r="F477" s="99"/>
    </row>
    <row r="478" spans="2:6" ht="12.75" customHeight="1" x14ac:dyDescent="0.25">
      <c r="B478" s="99"/>
      <c r="E478" s="99"/>
      <c r="F478" s="99"/>
    </row>
    <row r="479" spans="2:6" ht="12.75" customHeight="1" x14ac:dyDescent="0.25">
      <c r="B479" s="99"/>
      <c r="E479" s="99"/>
      <c r="F479" s="99"/>
    </row>
    <row r="480" spans="2:6" ht="12.75" customHeight="1" x14ac:dyDescent="0.25">
      <c r="B480" s="99"/>
      <c r="E480" s="99"/>
      <c r="F480" s="99"/>
    </row>
    <row r="481" spans="2:6" ht="12.75" customHeight="1" x14ac:dyDescent="0.25">
      <c r="B481" s="99"/>
      <c r="E481" s="99"/>
      <c r="F481" s="99"/>
    </row>
    <row r="482" spans="2:6" ht="12.75" customHeight="1" x14ac:dyDescent="0.25">
      <c r="B482" s="99"/>
      <c r="E482" s="99"/>
      <c r="F482" s="99"/>
    </row>
    <row r="483" spans="2:6" ht="12.75" customHeight="1" x14ac:dyDescent="0.25">
      <c r="B483" s="99"/>
      <c r="E483" s="99"/>
      <c r="F483" s="99"/>
    </row>
    <row r="484" spans="2:6" ht="12.75" customHeight="1" x14ac:dyDescent="0.25">
      <c r="B484" s="99"/>
      <c r="E484" s="99"/>
      <c r="F484" s="99"/>
    </row>
    <row r="485" spans="2:6" ht="12.75" customHeight="1" x14ac:dyDescent="0.25">
      <c r="B485" s="99"/>
      <c r="E485" s="99"/>
      <c r="F485" s="99"/>
    </row>
    <row r="486" spans="2:6" ht="12.75" customHeight="1" x14ac:dyDescent="0.25">
      <c r="B486" s="99"/>
      <c r="E486" s="99"/>
      <c r="F486" s="99"/>
    </row>
    <row r="487" spans="2:6" ht="12.75" customHeight="1" x14ac:dyDescent="0.25">
      <c r="B487" s="99"/>
      <c r="E487" s="99"/>
      <c r="F487" s="99"/>
    </row>
    <row r="488" spans="2:6" ht="12.75" customHeight="1" x14ac:dyDescent="0.25">
      <c r="B488" s="99"/>
      <c r="E488" s="99"/>
      <c r="F488" s="99"/>
    </row>
    <row r="489" spans="2:6" ht="12.75" customHeight="1" x14ac:dyDescent="0.25">
      <c r="B489" s="99"/>
      <c r="E489" s="99"/>
      <c r="F489" s="99"/>
    </row>
    <row r="490" spans="2:6" ht="12.75" customHeight="1" x14ac:dyDescent="0.25">
      <c r="B490" s="99"/>
      <c r="E490" s="99"/>
      <c r="F490" s="99"/>
    </row>
    <row r="491" spans="2:6" ht="12.75" customHeight="1" x14ac:dyDescent="0.25">
      <c r="B491" s="99"/>
      <c r="E491" s="99"/>
      <c r="F491" s="99"/>
    </row>
    <row r="492" spans="2:6" ht="12.75" customHeight="1" x14ac:dyDescent="0.25">
      <c r="B492" s="99"/>
      <c r="E492" s="99"/>
      <c r="F492" s="99"/>
    </row>
    <row r="493" spans="2:6" ht="12.75" customHeight="1" x14ac:dyDescent="0.25">
      <c r="B493" s="99"/>
      <c r="E493" s="99"/>
      <c r="F493" s="99"/>
    </row>
    <row r="494" spans="2:6" ht="12.75" customHeight="1" x14ac:dyDescent="0.25">
      <c r="B494" s="99"/>
      <c r="E494" s="99"/>
      <c r="F494" s="99"/>
    </row>
    <row r="495" spans="2:6" ht="12.75" customHeight="1" x14ac:dyDescent="0.25">
      <c r="B495" s="99"/>
      <c r="E495" s="99"/>
      <c r="F495" s="99"/>
    </row>
    <row r="496" spans="2:6" ht="12.75" customHeight="1" x14ac:dyDescent="0.25">
      <c r="B496" s="99"/>
      <c r="E496" s="99"/>
      <c r="F496" s="99"/>
    </row>
    <row r="497" spans="2:6" ht="12.75" customHeight="1" x14ac:dyDescent="0.25">
      <c r="B497" s="99"/>
      <c r="E497" s="99"/>
      <c r="F497" s="99"/>
    </row>
    <row r="498" spans="2:6" ht="12.75" customHeight="1" x14ac:dyDescent="0.25">
      <c r="B498" s="99"/>
      <c r="E498" s="99"/>
      <c r="F498" s="99"/>
    </row>
    <row r="499" spans="2:6" ht="12.75" customHeight="1" x14ac:dyDescent="0.25">
      <c r="B499" s="99"/>
      <c r="E499" s="99"/>
      <c r="F499" s="99"/>
    </row>
    <row r="500" spans="2:6" ht="12.75" customHeight="1" x14ac:dyDescent="0.25">
      <c r="B500" s="99"/>
      <c r="E500" s="99"/>
      <c r="F500" s="99"/>
    </row>
    <row r="501" spans="2:6" ht="12.75" customHeight="1" x14ac:dyDescent="0.25">
      <c r="B501" s="99"/>
      <c r="E501" s="99"/>
      <c r="F501" s="99"/>
    </row>
    <row r="502" spans="2:6" ht="12.75" customHeight="1" x14ac:dyDescent="0.25">
      <c r="B502" s="99"/>
      <c r="E502" s="99"/>
      <c r="F502" s="99"/>
    </row>
    <row r="503" spans="2:6" ht="12.75" customHeight="1" x14ac:dyDescent="0.25">
      <c r="B503" s="99"/>
      <c r="E503" s="99"/>
      <c r="F503" s="99"/>
    </row>
    <row r="504" spans="2:6" ht="12.75" customHeight="1" x14ac:dyDescent="0.25">
      <c r="B504" s="99"/>
      <c r="E504" s="99"/>
      <c r="F504" s="99"/>
    </row>
    <row r="505" spans="2:6" ht="12.75" customHeight="1" x14ac:dyDescent="0.25">
      <c r="B505" s="99"/>
      <c r="E505" s="99"/>
      <c r="F505" s="99"/>
    </row>
    <row r="506" spans="2:6" ht="12.75" customHeight="1" x14ac:dyDescent="0.25">
      <c r="B506" s="99"/>
      <c r="E506" s="99"/>
      <c r="F506" s="99"/>
    </row>
    <row r="507" spans="2:6" ht="12.75" customHeight="1" x14ac:dyDescent="0.25">
      <c r="B507" s="99"/>
      <c r="E507" s="99"/>
      <c r="F507" s="99"/>
    </row>
    <row r="508" spans="2:6" ht="12.75" customHeight="1" x14ac:dyDescent="0.25">
      <c r="B508" s="99"/>
      <c r="E508" s="99"/>
      <c r="F508" s="99"/>
    </row>
    <row r="509" spans="2:6" ht="12.75" customHeight="1" x14ac:dyDescent="0.25">
      <c r="B509" s="99"/>
      <c r="E509" s="99"/>
      <c r="F509" s="99"/>
    </row>
    <row r="510" spans="2:6" ht="12.75" customHeight="1" x14ac:dyDescent="0.25">
      <c r="B510" s="99"/>
      <c r="E510" s="99"/>
      <c r="F510" s="99"/>
    </row>
    <row r="511" spans="2:6" ht="12.75" customHeight="1" x14ac:dyDescent="0.25">
      <c r="B511" s="99"/>
      <c r="E511" s="99"/>
      <c r="F511" s="99"/>
    </row>
    <row r="512" spans="2:6" ht="12.75" customHeight="1" x14ac:dyDescent="0.25">
      <c r="B512" s="99"/>
      <c r="E512" s="99"/>
      <c r="F512" s="99"/>
    </row>
    <row r="513" spans="2:6" ht="12.75" customHeight="1" x14ac:dyDescent="0.25">
      <c r="B513" s="99"/>
      <c r="E513" s="99"/>
      <c r="F513" s="99"/>
    </row>
    <row r="514" spans="2:6" ht="12.75" customHeight="1" x14ac:dyDescent="0.25">
      <c r="B514" s="99"/>
      <c r="E514" s="99"/>
      <c r="F514" s="99"/>
    </row>
    <row r="515" spans="2:6" ht="12.75" customHeight="1" x14ac:dyDescent="0.25">
      <c r="B515" s="99"/>
      <c r="E515" s="99"/>
      <c r="F515" s="99"/>
    </row>
    <row r="516" spans="2:6" ht="12.75" customHeight="1" x14ac:dyDescent="0.25">
      <c r="B516" s="99"/>
      <c r="E516" s="99"/>
      <c r="F516" s="99"/>
    </row>
    <row r="517" spans="2:6" ht="12.75" customHeight="1" x14ac:dyDescent="0.25">
      <c r="B517" s="99"/>
      <c r="E517" s="99"/>
      <c r="F517" s="99"/>
    </row>
    <row r="518" spans="2:6" ht="12.75" customHeight="1" x14ac:dyDescent="0.25">
      <c r="B518" s="99"/>
      <c r="E518" s="99"/>
      <c r="F518" s="99"/>
    </row>
    <row r="519" spans="2:6" ht="12.75" customHeight="1" x14ac:dyDescent="0.25">
      <c r="B519" s="99"/>
      <c r="E519" s="99"/>
      <c r="F519" s="99"/>
    </row>
    <row r="520" spans="2:6" ht="12.75" customHeight="1" x14ac:dyDescent="0.25">
      <c r="B520" s="99"/>
      <c r="E520" s="99"/>
      <c r="F520" s="99"/>
    </row>
    <row r="521" spans="2:6" ht="12.75" customHeight="1" x14ac:dyDescent="0.25">
      <c r="B521" s="99"/>
      <c r="E521" s="99"/>
      <c r="F521" s="99"/>
    </row>
    <row r="522" spans="2:6" ht="12.75" customHeight="1" x14ac:dyDescent="0.25">
      <c r="B522" s="99"/>
      <c r="E522" s="99"/>
      <c r="F522" s="99"/>
    </row>
    <row r="523" spans="2:6" ht="12.75" customHeight="1" x14ac:dyDescent="0.25">
      <c r="B523" s="99"/>
      <c r="E523" s="99"/>
      <c r="F523" s="99"/>
    </row>
    <row r="524" spans="2:6" ht="12.75" customHeight="1" x14ac:dyDescent="0.25">
      <c r="B524" s="99"/>
      <c r="E524" s="99"/>
      <c r="F524" s="99"/>
    </row>
    <row r="525" spans="2:6" ht="12.75" customHeight="1" x14ac:dyDescent="0.25">
      <c r="B525" s="99"/>
      <c r="E525" s="99"/>
      <c r="F525" s="99"/>
    </row>
    <row r="526" spans="2:6" ht="12.75" customHeight="1" x14ac:dyDescent="0.25">
      <c r="B526" s="99"/>
      <c r="E526" s="99"/>
      <c r="F526" s="99"/>
    </row>
    <row r="527" spans="2:6" ht="12.75" customHeight="1" x14ac:dyDescent="0.25">
      <c r="B527" s="99"/>
      <c r="E527" s="99"/>
      <c r="F527" s="99"/>
    </row>
    <row r="528" spans="2:6" ht="12.75" customHeight="1" x14ac:dyDescent="0.25">
      <c r="B528" s="99"/>
      <c r="E528" s="99"/>
      <c r="F528" s="99"/>
    </row>
    <row r="529" spans="2:6" ht="12.75" customHeight="1" x14ac:dyDescent="0.25">
      <c r="B529" s="99"/>
      <c r="E529" s="99"/>
      <c r="F529" s="99"/>
    </row>
    <row r="530" spans="2:6" ht="12.75" customHeight="1" x14ac:dyDescent="0.25">
      <c r="B530" s="99"/>
      <c r="E530" s="99"/>
      <c r="F530" s="99"/>
    </row>
    <row r="531" spans="2:6" ht="12.75" customHeight="1" x14ac:dyDescent="0.25">
      <c r="B531" s="99"/>
      <c r="E531" s="99"/>
      <c r="F531" s="99"/>
    </row>
    <row r="532" spans="2:6" ht="12.75" customHeight="1" x14ac:dyDescent="0.25">
      <c r="B532" s="99"/>
      <c r="E532" s="99"/>
      <c r="F532" s="99"/>
    </row>
    <row r="533" spans="2:6" ht="12.75" customHeight="1" x14ac:dyDescent="0.25">
      <c r="B533" s="99"/>
      <c r="E533" s="99"/>
      <c r="F533" s="99"/>
    </row>
    <row r="534" spans="2:6" ht="12.75" customHeight="1" x14ac:dyDescent="0.25">
      <c r="B534" s="99"/>
      <c r="E534" s="99"/>
      <c r="F534" s="99"/>
    </row>
    <row r="535" spans="2:6" ht="12.75" customHeight="1" x14ac:dyDescent="0.25">
      <c r="B535" s="99"/>
      <c r="E535" s="99"/>
      <c r="F535" s="99"/>
    </row>
    <row r="536" spans="2:6" ht="12.75" customHeight="1" x14ac:dyDescent="0.25">
      <c r="B536" s="99"/>
      <c r="E536" s="99"/>
      <c r="F536" s="99"/>
    </row>
    <row r="537" spans="2:6" ht="12.75" customHeight="1" x14ac:dyDescent="0.25">
      <c r="B537" s="99"/>
      <c r="E537" s="99"/>
      <c r="F537" s="99"/>
    </row>
    <row r="538" spans="2:6" ht="12.75" customHeight="1" x14ac:dyDescent="0.25">
      <c r="B538" s="99"/>
      <c r="E538" s="99"/>
      <c r="F538" s="99"/>
    </row>
    <row r="539" spans="2:6" ht="12.75" customHeight="1" x14ac:dyDescent="0.25">
      <c r="B539" s="99"/>
      <c r="E539" s="99"/>
      <c r="F539" s="99"/>
    </row>
    <row r="540" spans="2:6" ht="12.75" customHeight="1" x14ac:dyDescent="0.25">
      <c r="B540" s="99"/>
      <c r="E540" s="99"/>
      <c r="F540" s="99"/>
    </row>
    <row r="541" spans="2:6" ht="12.75" customHeight="1" x14ac:dyDescent="0.25">
      <c r="B541" s="99"/>
      <c r="E541" s="99"/>
      <c r="F541" s="99"/>
    </row>
    <row r="542" spans="2:6" ht="12.75" customHeight="1" x14ac:dyDescent="0.25">
      <c r="B542" s="99"/>
      <c r="E542" s="99"/>
      <c r="F542" s="99"/>
    </row>
    <row r="543" spans="2:6" ht="12.75" customHeight="1" x14ac:dyDescent="0.25">
      <c r="B543" s="99"/>
      <c r="E543" s="99"/>
      <c r="F543" s="99"/>
    </row>
    <row r="544" spans="2:6" ht="12.75" customHeight="1" x14ac:dyDescent="0.25">
      <c r="B544" s="99"/>
      <c r="E544" s="99"/>
      <c r="F544" s="99"/>
    </row>
    <row r="545" spans="2:6" ht="12.75" customHeight="1" x14ac:dyDescent="0.25">
      <c r="B545" s="99"/>
      <c r="E545" s="99"/>
      <c r="F545" s="99"/>
    </row>
    <row r="546" spans="2:6" ht="12.75" customHeight="1" x14ac:dyDescent="0.25">
      <c r="B546" s="99"/>
      <c r="E546" s="99"/>
      <c r="F546" s="99"/>
    </row>
    <row r="547" spans="2:6" ht="12.75" customHeight="1" x14ac:dyDescent="0.25">
      <c r="B547" s="99"/>
      <c r="E547" s="99"/>
      <c r="F547" s="99"/>
    </row>
    <row r="548" spans="2:6" ht="12.75" customHeight="1" x14ac:dyDescent="0.25">
      <c r="B548" s="99"/>
      <c r="E548" s="99"/>
      <c r="F548" s="99"/>
    </row>
    <row r="549" spans="2:6" ht="12.75" customHeight="1" x14ac:dyDescent="0.25">
      <c r="B549" s="99"/>
      <c r="E549" s="99"/>
      <c r="F549" s="99"/>
    </row>
    <row r="550" spans="2:6" ht="12.75" customHeight="1" x14ac:dyDescent="0.25">
      <c r="B550" s="99"/>
      <c r="E550" s="99"/>
      <c r="F550" s="99"/>
    </row>
    <row r="551" spans="2:6" ht="12.75" customHeight="1" x14ac:dyDescent="0.25">
      <c r="B551" s="99"/>
      <c r="E551" s="99"/>
      <c r="F551" s="99"/>
    </row>
    <row r="552" spans="2:6" ht="12.75" customHeight="1" x14ac:dyDescent="0.25">
      <c r="B552" s="99"/>
      <c r="E552" s="99"/>
      <c r="F552" s="99"/>
    </row>
    <row r="553" spans="2:6" ht="12.75" customHeight="1" x14ac:dyDescent="0.25">
      <c r="B553" s="99"/>
      <c r="E553" s="99"/>
      <c r="F553" s="99"/>
    </row>
    <row r="554" spans="2:6" ht="12.75" customHeight="1" x14ac:dyDescent="0.25">
      <c r="B554" s="99"/>
      <c r="E554" s="99"/>
      <c r="F554" s="99"/>
    </row>
    <row r="555" spans="2:6" ht="12.75" customHeight="1" x14ac:dyDescent="0.25">
      <c r="B555" s="99"/>
      <c r="E555" s="99"/>
      <c r="F555" s="99"/>
    </row>
    <row r="556" spans="2:6" ht="12.75" customHeight="1" x14ac:dyDescent="0.25">
      <c r="B556" s="99"/>
      <c r="E556" s="99"/>
      <c r="F556" s="99"/>
    </row>
    <row r="557" spans="2:6" ht="12.75" customHeight="1" x14ac:dyDescent="0.25">
      <c r="B557" s="99"/>
      <c r="E557" s="99"/>
      <c r="F557" s="99"/>
    </row>
    <row r="558" spans="2:6" ht="12.75" customHeight="1" x14ac:dyDescent="0.25">
      <c r="B558" s="99"/>
      <c r="E558" s="99"/>
      <c r="F558" s="99"/>
    </row>
    <row r="559" spans="2:6" ht="12.75" customHeight="1" x14ac:dyDescent="0.25">
      <c r="B559" s="99"/>
      <c r="E559" s="99"/>
      <c r="F559" s="99"/>
    </row>
    <row r="560" spans="2:6" ht="12.75" customHeight="1" x14ac:dyDescent="0.25">
      <c r="B560" s="99"/>
      <c r="E560" s="99"/>
      <c r="F560" s="99"/>
    </row>
    <row r="561" spans="2:6" ht="12.75" customHeight="1" x14ac:dyDescent="0.25">
      <c r="B561" s="99"/>
      <c r="E561" s="99"/>
      <c r="F561" s="99"/>
    </row>
    <row r="562" spans="2:6" ht="12.75" customHeight="1" x14ac:dyDescent="0.25">
      <c r="B562" s="99"/>
      <c r="E562" s="99"/>
      <c r="F562" s="99"/>
    </row>
    <row r="563" spans="2:6" ht="12.75" customHeight="1" x14ac:dyDescent="0.25">
      <c r="B563" s="99"/>
      <c r="E563" s="99"/>
      <c r="F563" s="99"/>
    </row>
    <row r="564" spans="2:6" ht="12.75" customHeight="1" x14ac:dyDescent="0.25">
      <c r="B564" s="99"/>
      <c r="E564" s="99"/>
      <c r="F564" s="99"/>
    </row>
    <row r="565" spans="2:6" ht="12.75" customHeight="1" x14ac:dyDescent="0.25">
      <c r="B565" s="99"/>
      <c r="E565" s="99"/>
      <c r="F565" s="99"/>
    </row>
    <row r="566" spans="2:6" ht="12.75" customHeight="1" x14ac:dyDescent="0.25">
      <c r="B566" s="99"/>
      <c r="E566" s="99"/>
      <c r="F566" s="99"/>
    </row>
    <row r="567" spans="2:6" ht="12.75" customHeight="1" x14ac:dyDescent="0.25">
      <c r="B567" s="99"/>
      <c r="E567" s="99"/>
      <c r="F567" s="99"/>
    </row>
    <row r="568" spans="2:6" ht="12.75" customHeight="1" x14ac:dyDescent="0.25">
      <c r="B568" s="99"/>
      <c r="E568" s="99"/>
      <c r="F568" s="99"/>
    </row>
    <row r="569" spans="2:6" ht="12.75" customHeight="1" x14ac:dyDescent="0.25">
      <c r="B569" s="99"/>
      <c r="E569" s="99"/>
      <c r="F569" s="99"/>
    </row>
    <row r="570" spans="2:6" ht="12.75" customHeight="1" x14ac:dyDescent="0.25">
      <c r="B570" s="99"/>
      <c r="E570" s="99"/>
      <c r="F570" s="99"/>
    </row>
    <row r="571" spans="2:6" ht="12.75" customHeight="1" x14ac:dyDescent="0.25">
      <c r="B571" s="99"/>
      <c r="E571" s="99"/>
      <c r="F571" s="99"/>
    </row>
    <row r="572" spans="2:6" ht="12.75" customHeight="1" x14ac:dyDescent="0.25">
      <c r="B572" s="99"/>
      <c r="E572" s="99"/>
      <c r="F572" s="99"/>
    </row>
    <row r="573" spans="2:6" ht="12.75" customHeight="1" x14ac:dyDescent="0.25">
      <c r="B573" s="99"/>
      <c r="E573" s="99"/>
      <c r="F573" s="99"/>
    </row>
    <row r="574" spans="2:6" ht="12.75" customHeight="1" x14ac:dyDescent="0.25">
      <c r="B574" s="99"/>
      <c r="E574" s="99"/>
      <c r="F574" s="99"/>
    </row>
    <row r="575" spans="2:6" ht="12.75" customHeight="1" x14ac:dyDescent="0.25">
      <c r="B575" s="99"/>
      <c r="E575" s="99"/>
      <c r="F575" s="99"/>
    </row>
    <row r="576" spans="2:6" ht="12.75" customHeight="1" x14ac:dyDescent="0.25">
      <c r="B576" s="99"/>
      <c r="E576" s="99"/>
      <c r="F576" s="99"/>
    </row>
    <row r="577" spans="2:6" ht="12.75" customHeight="1" x14ac:dyDescent="0.25">
      <c r="B577" s="99"/>
      <c r="E577" s="99"/>
      <c r="F577" s="99"/>
    </row>
    <row r="578" spans="2:6" ht="12.75" customHeight="1" x14ac:dyDescent="0.25">
      <c r="B578" s="99"/>
      <c r="E578" s="99"/>
      <c r="F578" s="99"/>
    </row>
    <row r="579" spans="2:6" ht="12.75" customHeight="1" x14ac:dyDescent="0.25">
      <c r="B579" s="99"/>
      <c r="E579" s="99"/>
      <c r="F579" s="99"/>
    </row>
    <row r="580" spans="2:6" ht="12.75" customHeight="1" x14ac:dyDescent="0.25">
      <c r="B580" s="99"/>
      <c r="E580" s="99"/>
      <c r="F580" s="99"/>
    </row>
    <row r="581" spans="2:6" ht="12.75" customHeight="1" x14ac:dyDescent="0.25">
      <c r="B581" s="99"/>
      <c r="E581" s="99"/>
      <c r="F581" s="99"/>
    </row>
    <row r="582" spans="2:6" ht="12.75" customHeight="1" x14ac:dyDescent="0.25">
      <c r="B582" s="99"/>
      <c r="E582" s="99"/>
      <c r="F582" s="99"/>
    </row>
    <row r="583" spans="2:6" ht="12.75" customHeight="1" x14ac:dyDescent="0.25">
      <c r="B583" s="99"/>
      <c r="E583" s="99"/>
      <c r="F583" s="99"/>
    </row>
    <row r="584" spans="2:6" ht="12.75" customHeight="1" x14ac:dyDescent="0.25">
      <c r="B584" s="99"/>
      <c r="E584" s="99"/>
      <c r="F584" s="99"/>
    </row>
    <row r="585" spans="2:6" ht="12.75" customHeight="1" x14ac:dyDescent="0.25">
      <c r="B585" s="99"/>
      <c r="E585" s="99"/>
      <c r="F585" s="99"/>
    </row>
    <row r="586" spans="2:6" ht="12.75" customHeight="1" x14ac:dyDescent="0.25">
      <c r="B586" s="99"/>
      <c r="E586" s="99"/>
      <c r="F586" s="99"/>
    </row>
    <row r="587" spans="2:6" ht="12.75" customHeight="1" x14ac:dyDescent="0.25">
      <c r="B587" s="99"/>
      <c r="E587" s="99"/>
      <c r="F587" s="99"/>
    </row>
    <row r="588" spans="2:6" ht="12.75" customHeight="1" x14ac:dyDescent="0.25">
      <c r="B588" s="99"/>
      <c r="E588" s="99"/>
      <c r="F588" s="99"/>
    </row>
    <row r="589" spans="2:6" ht="12.75" customHeight="1" x14ac:dyDescent="0.25">
      <c r="B589" s="99"/>
      <c r="E589" s="99"/>
      <c r="F589" s="99"/>
    </row>
    <row r="590" spans="2:6" ht="12.75" customHeight="1" x14ac:dyDescent="0.25">
      <c r="B590" s="99"/>
      <c r="E590" s="99"/>
      <c r="F590" s="99"/>
    </row>
    <row r="591" spans="2:6" ht="12.75" customHeight="1" x14ac:dyDescent="0.25">
      <c r="B591" s="99"/>
      <c r="E591" s="99"/>
      <c r="F591" s="99"/>
    </row>
    <row r="592" spans="2:6" ht="12.75" customHeight="1" x14ac:dyDescent="0.25">
      <c r="B592" s="99"/>
      <c r="E592" s="99"/>
      <c r="F592" s="99"/>
    </row>
    <row r="593" spans="2:6" ht="12.75" customHeight="1" x14ac:dyDescent="0.25">
      <c r="B593" s="99"/>
      <c r="E593" s="99"/>
      <c r="F593" s="99"/>
    </row>
    <row r="594" spans="2:6" ht="12.75" customHeight="1" x14ac:dyDescent="0.25">
      <c r="B594" s="99"/>
      <c r="E594" s="99"/>
      <c r="F594" s="99"/>
    </row>
    <row r="595" spans="2:6" ht="12.75" customHeight="1" x14ac:dyDescent="0.25">
      <c r="B595" s="99"/>
      <c r="E595" s="99"/>
      <c r="F595" s="99"/>
    </row>
    <row r="596" spans="2:6" ht="12.75" customHeight="1" x14ac:dyDescent="0.25">
      <c r="B596" s="99"/>
      <c r="E596" s="99"/>
      <c r="F596" s="99"/>
    </row>
    <row r="597" spans="2:6" ht="12.75" customHeight="1" x14ac:dyDescent="0.25">
      <c r="B597" s="99"/>
      <c r="E597" s="99"/>
      <c r="F597" s="99"/>
    </row>
    <row r="598" spans="2:6" ht="12.75" customHeight="1" x14ac:dyDescent="0.25">
      <c r="B598" s="99"/>
      <c r="E598" s="99"/>
      <c r="F598" s="99"/>
    </row>
    <row r="599" spans="2:6" ht="12.75" customHeight="1" x14ac:dyDescent="0.25">
      <c r="B599" s="99"/>
      <c r="E599" s="99"/>
      <c r="F599" s="99"/>
    </row>
    <row r="600" spans="2:6" ht="12.75" customHeight="1" x14ac:dyDescent="0.25">
      <c r="B600" s="99"/>
      <c r="E600" s="99"/>
      <c r="F600" s="99"/>
    </row>
    <row r="601" spans="2:6" ht="12.75" customHeight="1" x14ac:dyDescent="0.25">
      <c r="B601" s="99"/>
      <c r="E601" s="99"/>
      <c r="F601" s="99"/>
    </row>
    <row r="602" spans="2:6" ht="12.75" customHeight="1" x14ac:dyDescent="0.25">
      <c r="B602" s="99"/>
      <c r="E602" s="99"/>
      <c r="F602" s="99"/>
    </row>
    <row r="603" spans="2:6" ht="12.75" customHeight="1" x14ac:dyDescent="0.25">
      <c r="B603" s="99"/>
      <c r="E603" s="99"/>
      <c r="F603" s="99"/>
    </row>
    <row r="604" spans="2:6" ht="12.75" customHeight="1" x14ac:dyDescent="0.25">
      <c r="B604" s="99"/>
      <c r="E604" s="99"/>
      <c r="F604" s="99"/>
    </row>
    <row r="605" spans="2:6" ht="12.75" customHeight="1" x14ac:dyDescent="0.25">
      <c r="B605" s="99"/>
      <c r="E605" s="99"/>
      <c r="F605" s="99"/>
    </row>
    <row r="606" spans="2:6" ht="12.75" customHeight="1" x14ac:dyDescent="0.25">
      <c r="B606" s="99"/>
      <c r="E606" s="99"/>
      <c r="F606" s="99"/>
    </row>
    <row r="607" spans="2:6" ht="12.75" customHeight="1" x14ac:dyDescent="0.25">
      <c r="B607" s="99"/>
      <c r="E607" s="99"/>
      <c r="F607" s="99"/>
    </row>
    <row r="608" spans="2:6" ht="12.75" customHeight="1" x14ac:dyDescent="0.25">
      <c r="B608" s="99"/>
      <c r="E608" s="99"/>
      <c r="F608" s="99"/>
    </row>
    <row r="609" spans="2:6" ht="12.75" customHeight="1" x14ac:dyDescent="0.25">
      <c r="B609" s="99"/>
      <c r="E609" s="99"/>
      <c r="F609" s="99"/>
    </row>
    <row r="610" spans="2:6" ht="12.75" customHeight="1" x14ac:dyDescent="0.25">
      <c r="B610" s="99"/>
      <c r="E610" s="99"/>
      <c r="F610" s="99"/>
    </row>
    <row r="611" spans="2:6" ht="12.75" customHeight="1" x14ac:dyDescent="0.25">
      <c r="B611" s="99"/>
      <c r="E611" s="99"/>
      <c r="F611" s="99"/>
    </row>
    <row r="612" spans="2:6" ht="12.75" customHeight="1" x14ac:dyDescent="0.25">
      <c r="B612" s="99"/>
      <c r="E612" s="99"/>
      <c r="F612" s="99"/>
    </row>
    <row r="613" spans="2:6" ht="12.75" customHeight="1" x14ac:dyDescent="0.25">
      <c r="B613" s="99"/>
      <c r="E613" s="99"/>
      <c r="F613" s="99"/>
    </row>
    <row r="614" spans="2:6" ht="12.75" customHeight="1" x14ac:dyDescent="0.25">
      <c r="B614" s="99"/>
      <c r="E614" s="99"/>
      <c r="F614" s="99"/>
    </row>
    <row r="615" spans="2:6" ht="12.75" customHeight="1" x14ac:dyDescent="0.25">
      <c r="B615" s="99"/>
      <c r="E615" s="99"/>
      <c r="F615" s="99"/>
    </row>
    <row r="616" spans="2:6" ht="12.75" customHeight="1" x14ac:dyDescent="0.25">
      <c r="B616" s="99"/>
      <c r="E616" s="99"/>
      <c r="F616" s="99"/>
    </row>
    <row r="617" spans="2:6" ht="12.75" customHeight="1" x14ac:dyDescent="0.25">
      <c r="B617" s="99"/>
      <c r="E617" s="99"/>
      <c r="F617" s="99"/>
    </row>
    <row r="618" spans="2:6" ht="12.75" customHeight="1" x14ac:dyDescent="0.25">
      <c r="B618" s="99"/>
      <c r="E618" s="99"/>
      <c r="F618" s="99"/>
    </row>
    <row r="619" spans="2:6" ht="12.75" customHeight="1" x14ac:dyDescent="0.25">
      <c r="B619" s="99"/>
      <c r="E619" s="99"/>
      <c r="F619" s="99"/>
    </row>
    <row r="620" spans="2:6" ht="12.75" customHeight="1" x14ac:dyDescent="0.25">
      <c r="B620" s="99"/>
      <c r="E620" s="99"/>
      <c r="F620" s="99"/>
    </row>
    <row r="621" spans="2:6" ht="12.75" customHeight="1" x14ac:dyDescent="0.25">
      <c r="B621" s="99"/>
      <c r="E621" s="99"/>
      <c r="F621" s="99"/>
    </row>
    <row r="622" spans="2:6" ht="12.75" customHeight="1" x14ac:dyDescent="0.25">
      <c r="B622" s="99"/>
      <c r="E622" s="99"/>
      <c r="F622" s="99"/>
    </row>
    <row r="623" spans="2:6" ht="12.75" customHeight="1" x14ac:dyDescent="0.25">
      <c r="B623" s="99"/>
      <c r="E623" s="99"/>
      <c r="F623" s="99"/>
    </row>
    <row r="624" spans="2:6" ht="12.75" customHeight="1" x14ac:dyDescent="0.25">
      <c r="B624" s="99"/>
      <c r="E624" s="99"/>
      <c r="F624" s="99"/>
    </row>
    <row r="625" spans="2:6" ht="12.75" customHeight="1" x14ac:dyDescent="0.25">
      <c r="B625" s="99"/>
      <c r="E625" s="99"/>
      <c r="F625" s="99"/>
    </row>
    <row r="626" spans="2:6" ht="12.75" customHeight="1" x14ac:dyDescent="0.25">
      <c r="B626" s="99"/>
      <c r="E626" s="99"/>
      <c r="F626" s="99"/>
    </row>
    <row r="627" spans="2:6" ht="12.75" customHeight="1" x14ac:dyDescent="0.25">
      <c r="B627" s="99"/>
      <c r="E627" s="99"/>
      <c r="F627" s="99"/>
    </row>
    <row r="628" spans="2:6" ht="12.75" customHeight="1" x14ac:dyDescent="0.25">
      <c r="B628" s="99"/>
      <c r="E628" s="99"/>
      <c r="F628" s="99"/>
    </row>
    <row r="629" spans="2:6" ht="12.75" customHeight="1" x14ac:dyDescent="0.25">
      <c r="B629" s="99"/>
      <c r="E629" s="99"/>
      <c r="F629" s="99"/>
    </row>
    <row r="630" spans="2:6" ht="12.75" customHeight="1" x14ac:dyDescent="0.25">
      <c r="B630" s="99"/>
      <c r="E630" s="99"/>
      <c r="F630" s="99"/>
    </row>
    <row r="631" spans="2:6" ht="12.75" customHeight="1" x14ac:dyDescent="0.25">
      <c r="B631" s="99"/>
      <c r="E631" s="99"/>
      <c r="F631" s="99"/>
    </row>
    <row r="632" spans="2:6" ht="12.75" customHeight="1" x14ac:dyDescent="0.25">
      <c r="B632" s="99"/>
      <c r="E632" s="99"/>
      <c r="F632" s="99"/>
    </row>
    <row r="633" spans="2:6" ht="12.75" customHeight="1" x14ac:dyDescent="0.25">
      <c r="B633" s="99"/>
      <c r="E633" s="99"/>
      <c r="F633" s="99"/>
    </row>
    <row r="634" spans="2:6" ht="12.75" customHeight="1" x14ac:dyDescent="0.25">
      <c r="B634" s="99"/>
      <c r="E634" s="99"/>
      <c r="F634" s="99"/>
    </row>
    <row r="635" spans="2:6" ht="12.75" customHeight="1" x14ac:dyDescent="0.25">
      <c r="B635" s="99"/>
      <c r="E635" s="99"/>
      <c r="F635" s="99"/>
    </row>
    <row r="636" spans="2:6" ht="12.75" customHeight="1" x14ac:dyDescent="0.25">
      <c r="B636" s="99"/>
      <c r="E636" s="99"/>
      <c r="F636" s="99"/>
    </row>
    <row r="637" spans="2:6" ht="12.75" customHeight="1" x14ac:dyDescent="0.25">
      <c r="B637" s="99"/>
      <c r="E637" s="99"/>
      <c r="F637" s="99"/>
    </row>
    <row r="638" spans="2:6" ht="12.75" customHeight="1" x14ac:dyDescent="0.25">
      <c r="B638" s="99"/>
      <c r="E638" s="99"/>
      <c r="F638" s="99"/>
    </row>
    <row r="639" spans="2:6" ht="12.75" customHeight="1" x14ac:dyDescent="0.25">
      <c r="B639" s="99"/>
      <c r="E639" s="99"/>
      <c r="F639" s="99"/>
    </row>
    <row r="640" spans="2:6" ht="12.75" customHeight="1" x14ac:dyDescent="0.25">
      <c r="B640" s="99"/>
      <c r="E640" s="99"/>
      <c r="F640" s="99"/>
    </row>
    <row r="641" spans="2:6" ht="12.75" customHeight="1" x14ac:dyDescent="0.25">
      <c r="B641" s="99"/>
      <c r="E641" s="99"/>
      <c r="F641" s="99"/>
    </row>
    <row r="642" spans="2:6" ht="12.75" customHeight="1" x14ac:dyDescent="0.25">
      <c r="B642" s="99"/>
      <c r="E642" s="99"/>
      <c r="F642" s="99"/>
    </row>
    <row r="643" spans="2:6" ht="12.75" customHeight="1" x14ac:dyDescent="0.25">
      <c r="B643" s="99"/>
      <c r="E643" s="99"/>
      <c r="F643" s="99"/>
    </row>
    <row r="644" spans="2:6" ht="12.75" customHeight="1" x14ac:dyDescent="0.25">
      <c r="B644" s="99"/>
      <c r="E644" s="99"/>
      <c r="F644" s="99"/>
    </row>
    <row r="645" spans="2:6" ht="12.75" customHeight="1" x14ac:dyDescent="0.25">
      <c r="B645" s="99"/>
      <c r="E645" s="99"/>
      <c r="F645" s="99"/>
    </row>
    <row r="646" spans="2:6" ht="12.75" customHeight="1" x14ac:dyDescent="0.25">
      <c r="B646" s="99"/>
      <c r="E646" s="99"/>
      <c r="F646" s="99"/>
    </row>
    <row r="647" spans="2:6" ht="12.75" customHeight="1" x14ac:dyDescent="0.25">
      <c r="B647" s="99"/>
      <c r="E647" s="99"/>
      <c r="F647" s="99"/>
    </row>
    <row r="648" spans="2:6" ht="12.75" customHeight="1" x14ac:dyDescent="0.25">
      <c r="B648" s="99"/>
      <c r="E648" s="99"/>
      <c r="F648" s="99"/>
    </row>
    <row r="649" spans="2:6" ht="12.75" customHeight="1" x14ac:dyDescent="0.25">
      <c r="B649" s="99"/>
      <c r="E649" s="99"/>
      <c r="F649" s="99"/>
    </row>
    <row r="650" spans="2:6" ht="12.75" customHeight="1" x14ac:dyDescent="0.25">
      <c r="B650" s="99"/>
      <c r="E650" s="99"/>
      <c r="F650" s="99"/>
    </row>
    <row r="651" spans="2:6" ht="12.75" customHeight="1" x14ac:dyDescent="0.25">
      <c r="B651" s="99"/>
      <c r="E651" s="99"/>
      <c r="F651" s="99"/>
    </row>
    <row r="652" spans="2:6" ht="12.75" customHeight="1" x14ac:dyDescent="0.25">
      <c r="B652" s="99"/>
      <c r="E652" s="99"/>
      <c r="F652" s="99"/>
    </row>
    <row r="653" spans="2:6" ht="12.75" customHeight="1" x14ac:dyDescent="0.25">
      <c r="B653" s="99"/>
      <c r="E653" s="99"/>
      <c r="F653" s="99"/>
    </row>
    <row r="654" spans="2:6" ht="12.75" customHeight="1" x14ac:dyDescent="0.25">
      <c r="B654" s="99"/>
      <c r="E654" s="99"/>
      <c r="F654" s="99"/>
    </row>
    <row r="655" spans="2:6" ht="12.75" customHeight="1" x14ac:dyDescent="0.25">
      <c r="B655" s="99"/>
      <c r="E655" s="99"/>
      <c r="F655" s="99"/>
    </row>
    <row r="656" spans="2:6" ht="12.75" customHeight="1" x14ac:dyDescent="0.25">
      <c r="B656" s="99"/>
      <c r="E656" s="99"/>
      <c r="F656" s="99"/>
    </row>
    <row r="657" spans="2:6" ht="12.75" customHeight="1" x14ac:dyDescent="0.25">
      <c r="B657" s="99"/>
      <c r="E657" s="99"/>
      <c r="F657" s="99"/>
    </row>
    <row r="658" spans="2:6" ht="12.75" customHeight="1" x14ac:dyDescent="0.25">
      <c r="B658" s="99"/>
      <c r="E658" s="99"/>
      <c r="F658" s="99"/>
    </row>
    <row r="659" spans="2:6" ht="12.75" customHeight="1" x14ac:dyDescent="0.25">
      <c r="B659" s="99"/>
      <c r="E659" s="99"/>
      <c r="F659" s="99"/>
    </row>
    <row r="660" spans="2:6" ht="12.75" customHeight="1" x14ac:dyDescent="0.25">
      <c r="B660" s="99"/>
      <c r="E660" s="99"/>
      <c r="F660" s="99"/>
    </row>
    <row r="661" spans="2:6" ht="12.75" customHeight="1" x14ac:dyDescent="0.25">
      <c r="B661" s="99"/>
      <c r="E661" s="99"/>
      <c r="F661" s="99"/>
    </row>
    <row r="662" spans="2:6" ht="12.75" customHeight="1" x14ac:dyDescent="0.25">
      <c r="B662" s="99"/>
      <c r="E662" s="99"/>
      <c r="F662" s="99"/>
    </row>
    <row r="663" spans="2:6" ht="12.75" customHeight="1" x14ac:dyDescent="0.25">
      <c r="B663" s="99"/>
      <c r="E663" s="99"/>
      <c r="F663" s="99"/>
    </row>
    <row r="664" spans="2:6" ht="12.75" customHeight="1" x14ac:dyDescent="0.25">
      <c r="B664" s="99"/>
      <c r="E664" s="99"/>
      <c r="F664" s="99"/>
    </row>
    <row r="665" spans="2:6" ht="12.75" customHeight="1" x14ac:dyDescent="0.25">
      <c r="B665" s="99"/>
      <c r="E665" s="99"/>
      <c r="F665" s="99"/>
    </row>
    <row r="666" spans="2:6" ht="12.75" customHeight="1" x14ac:dyDescent="0.25">
      <c r="B666" s="99"/>
      <c r="E666" s="99"/>
      <c r="F666" s="99"/>
    </row>
    <row r="667" spans="2:6" ht="12.75" customHeight="1" x14ac:dyDescent="0.25">
      <c r="B667" s="99"/>
      <c r="E667" s="99"/>
      <c r="F667" s="99"/>
    </row>
    <row r="668" spans="2:6" ht="12.75" customHeight="1" x14ac:dyDescent="0.25">
      <c r="B668" s="99"/>
      <c r="E668" s="99"/>
      <c r="F668" s="99"/>
    </row>
    <row r="669" spans="2:6" ht="12.75" customHeight="1" x14ac:dyDescent="0.25">
      <c r="B669" s="99"/>
      <c r="E669" s="99"/>
      <c r="F669" s="99"/>
    </row>
    <row r="670" spans="2:6" ht="12.75" customHeight="1" x14ac:dyDescent="0.25">
      <c r="B670" s="99"/>
      <c r="E670" s="99"/>
      <c r="F670" s="99"/>
    </row>
    <row r="671" spans="2:6" ht="12.75" customHeight="1" x14ac:dyDescent="0.25">
      <c r="B671" s="99"/>
      <c r="E671" s="99"/>
      <c r="F671" s="99"/>
    </row>
    <row r="672" spans="2:6" ht="12.75" customHeight="1" x14ac:dyDescent="0.25">
      <c r="B672" s="99"/>
      <c r="E672" s="99"/>
      <c r="F672" s="99"/>
    </row>
    <row r="673" spans="2:6" ht="12.75" customHeight="1" x14ac:dyDescent="0.25">
      <c r="B673" s="99"/>
      <c r="E673" s="99"/>
      <c r="F673" s="99"/>
    </row>
    <row r="674" spans="2:6" ht="12.75" customHeight="1" x14ac:dyDescent="0.25">
      <c r="B674" s="99"/>
      <c r="E674" s="99"/>
      <c r="F674" s="99"/>
    </row>
    <row r="675" spans="2:6" ht="12.75" customHeight="1" x14ac:dyDescent="0.25">
      <c r="B675" s="99"/>
      <c r="E675" s="99"/>
      <c r="F675" s="99"/>
    </row>
    <row r="676" spans="2:6" ht="12.75" customHeight="1" x14ac:dyDescent="0.25">
      <c r="B676" s="99"/>
      <c r="E676" s="99"/>
      <c r="F676" s="99"/>
    </row>
    <row r="677" spans="2:6" ht="12.75" customHeight="1" x14ac:dyDescent="0.25">
      <c r="B677" s="99"/>
      <c r="E677" s="99"/>
      <c r="F677" s="99"/>
    </row>
    <row r="678" spans="2:6" ht="12.75" customHeight="1" x14ac:dyDescent="0.25">
      <c r="B678" s="99"/>
      <c r="E678" s="99"/>
      <c r="F678" s="99"/>
    </row>
    <row r="679" spans="2:6" ht="12.75" customHeight="1" x14ac:dyDescent="0.25">
      <c r="B679" s="99"/>
      <c r="E679" s="99"/>
      <c r="F679" s="99"/>
    </row>
    <row r="680" spans="2:6" ht="12.75" customHeight="1" x14ac:dyDescent="0.25">
      <c r="B680" s="99"/>
      <c r="E680" s="99"/>
      <c r="F680" s="99"/>
    </row>
    <row r="681" spans="2:6" ht="12.75" customHeight="1" x14ac:dyDescent="0.25">
      <c r="B681" s="99"/>
      <c r="E681" s="99"/>
      <c r="F681" s="99"/>
    </row>
    <row r="682" spans="2:6" ht="12.75" customHeight="1" x14ac:dyDescent="0.25">
      <c r="B682" s="99"/>
      <c r="E682" s="99"/>
      <c r="F682" s="99"/>
    </row>
    <row r="683" spans="2:6" ht="12.75" customHeight="1" x14ac:dyDescent="0.25">
      <c r="B683" s="99"/>
      <c r="E683" s="99"/>
      <c r="F683" s="99"/>
    </row>
    <row r="684" spans="2:6" ht="12.75" customHeight="1" x14ac:dyDescent="0.25">
      <c r="B684" s="99"/>
      <c r="E684" s="99"/>
      <c r="F684" s="99"/>
    </row>
    <row r="685" spans="2:6" ht="12.75" customHeight="1" x14ac:dyDescent="0.25">
      <c r="B685" s="99"/>
      <c r="E685" s="99"/>
      <c r="F685" s="99"/>
    </row>
    <row r="686" spans="2:6" ht="12.75" customHeight="1" x14ac:dyDescent="0.25">
      <c r="B686" s="99"/>
      <c r="E686" s="99"/>
      <c r="F686" s="99"/>
    </row>
    <row r="687" spans="2:6" ht="12.75" customHeight="1" x14ac:dyDescent="0.25">
      <c r="B687" s="99"/>
      <c r="E687" s="99"/>
      <c r="F687" s="99"/>
    </row>
    <row r="688" spans="2:6" ht="12.75" customHeight="1" x14ac:dyDescent="0.25">
      <c r="B688" s="99"/>
      <c r="E688" s="99"/>
      <c r="F688" s="99"/>
    </row>
    <row r="689" spans="2:6" ht="12.75" customHeight="1" x14ac:dyDescent="0.25">
      <c r="B689" s="99"/>
      <c r="E689" s="99"/>
      <c r="F689" s="99"/>
    </row>
    <row r="690" spans="2:6" ht="12.75" customHeight="1" x14ac:dyDescent="0.25">
      <c r="B690" s="99"/>
      <c r="E690" s="99"/>
      <c r="F690" s="99"/>
    </row>
    <row r="691" spans="2:6" ht="12.75" customHeight="1" x14ac:dyDescent="0.25">
      <c r="B691" s="99"/>
      <c r="E691" s="99"/>
      <c r="F691" s="99"/>
    </row>
    <row r="692" spans="2:6" ht="12.75" customHeight="1" x14ac:dyDescent="0.25">
      <c r="B692" s="99"/>
      <c r="E692" s="99"/>
      <c r="F692" s="99"/>
    </row>
    <row r="693" spans="2:6" ht="12.75" customHeight="1" x14ac:dyDescent="0.25">
      <c r="B693" s="99"/>
      <c r="E693" s="99"/>
      <c r="F693" s="99"/>
    </row>
    <row r="694" spans="2:6" ht="12.75" customHeight="1" x14ac:dyDescent="0.25">
      <c r="B694" s="99"/>
      <c r="E694" s="99"/>
      <c r="F694" s="99"/>
    </row>
    <row r="695" spans="2:6" ht="12.75" customHeight="1" x14ac:dyDescent="0.25">
      <c r="B695" s="99"/>
      <c r="E695" s="99"/>
      <c r="F695" s="99"/>
    </row>
    <row r="696" spans="2:6" ht="12.75" customHeight="1" x14ac:dyDescent="0.25">
      <c r="B696" s="99"/>
      <c r="E696" s="99"/>
      <c r="F696" s="99"/>
    </row>
    <row r="697" spans="2:6" ht="12.75" customHeight="1" x14ac:dyDescent="0.25">
      <c r="B697" s="99"/>
      <c r="E697" s="99"/>
      <c r="F697" s="99"/>
    </row>
    <row r="698" spans="2:6" ht="12.75" customHeight="1" x14ac:dyDescent="0.25">
      <c r="B698" s="99"/>
      <c r="E698" s="99"/>
      <c r="F698" s="99"/>
    </row>
    <row r="699" spans="2:6" ht="12.75" customHeight="1" x14ac:dyDescent="0.25">
      <c r="B699" s="99"/>
      <c r="E699" s="99"/>
      <c r="F699" s="99"/>
    </row>
    <row r="700" spans="2:6" ht="12.75" customHeight="1" x14ac:dyDescent="0.25">
      <c r="B700" s="99"/>
      <c r="E700" s="99"/>
      <c r="F700" s="99"/>
    </row>
    <row r="701" spans="2:6" ht="12.75" customHeight="1" x14ac:dyDescent="0.25">
      <c r="B701" s="99"/>
      <c r="E701" s="99"/>
      <c r="F701" s="99"/>
    </row>
    <row r="702" spans="2:6" ht="12.75" customHeight="1" x14ac:dyDescent="0.25">
      <c r="B702" s="99"/>
      <c r="E702" s="99"/>
      <c r="F702" s="99"/>
    </row>
    <row r="703" spans="2:6" ht="12.75" customHeight="1" x14ac:dyDescent="0.25">
      <c r="B703" s="99"/>
      <c r="E703" s="99"/>
      <c r="F703" s="99"/>
    </row>
    <row r="704" spans="2:6" ht="12.75" customHeight="1" x14ac:dyDescent="0.25">
      <c r="B704" s="99"/>
      <c r="E704" s="99"/>
      <c r="F704" s="99"/>
    </row>
    <row r="705" spans="2:6" ht="12.75" customHeight="1" x14ac:dyDescent="0.25">
      <c r="B705" s="99"/>
      <c r="E705" s="99"/>
      <c r="F705" s="99"/>
    </row>
    <row r="706" spans="2:6" ht="12.75" customHeight="1" x14ac:dyDescent="0.25">
      <c r="B706" s="99"/>
      <c r="E706" s="99"/>
      <c r="F706" s="99"/>
    </row>
    <row r="707" spans="2:6" ht="12.75" customHeight="1" x14ac:dyDescent="0.25">
      <c r="B707" s="99"/>
      <c r="E707" s="99"/>
      <c r="F707" s="99"/>
    </row>
    <row r="708" spans="2:6" ht="12.75" customHeight="1" x14ac:dyDescent="0.25">
      <c r="B708" s="99"/>
      <c r="E708" s="99"/>
      <c r="F708" s="99"/>
    </row>
    <row r="709" spans="2:6" ht="12.75" customHeight="1" x14ac:dyDescent="0.25">
      <c r="B709" s="99"/>
      <c r="E709" s="99"/>
      <c r="F709" s="99"/>
    </row>
    <row r="710" spans="2:6" ht="12.75" customHeight="1" x14ac:dyDescent="0.25">
      <c r="B710" s="99"/>
      <c r="E710" s="99"/>
      <c r="F710" s="99"/>
    </row>
    <row r="711" spans="2:6" ht="12.75" customHeight="1" x14ac:dyDescent="0.25">
      <c r="B711" s="99"/>
      <c r="E711" s="99"/>
      <c r="F711" s="99"/>
    </row>
    <row r="712" spans="2:6" ht="12.75" customHeight="1" x14ac:dyDescent="0.25">
      <c r="B712" s="99"/>
      <c r="E712" s="99"/>
      <c r="F712" s="99"/>
    </row>
    <row r="713" spans="2:6" ht="12.75" customHeight="1" x14ac:dyDescent="0.25">
      <c r="B713" s="99"/>
      <c r="E713" s="99"/>
      <c r="F713" s="99"/>
    </row>
    <row r="714" spans="2:6" ht="12.75" customHeight="1" x14ac:dyDescent="0.25">
      <c r="B714" s="99"/>
      <c r="E714" s="99"/>
      <c r="F714" s="99"/>
    </row>
    <row r="715" spans="2:6" ht="12.75" customHeight="1" x14ac:dyDescent="0.25">
      <c r="B715" s="99"/>
      <c r="E715" s="99"/>
      <c r="F715" s="99"/>
    </row>
    <row r="716" spans="2:6" ht="12.75" customHeight="1" x14ac:dyDescent="0.25">
      <c r="B716" s="99"/>
      <c r="E716" s="99"/>
      <c r="F716" s="99"/>
    </row>
    <row r="717" spans="2:6" ht="12.75" customHeight="1" x14ac:dyDescent="0.25">
      <c r="B717" s="99"/>
      <c r="E717" s="99"/>
      <c r="F717" s="99"/>
    </row>
    <row r="718" spans="2:6" ht="12.75" customHeight="1" x14ac:dyDescent="0.25">
      <c r="B718" s="99"/>
      <c r="E718" s="99"/>
      <c r="F718" s="99"/>
    </row>
    <row r="719" spans="2:6" ht="12.75" customHeight="1" x14ac:dyDescent="0.25">
      <c r="B719" s="99"/>
      <c r="E719" s="99"/>
      <c r="F719" s="99"/>
    </row>
    <row r="720" spans="2:6" ht="12.75" customHeight="1" x14ac:dyDescent="0.25">
      <c r="B720" s="99"/>
      <c r="E720" s="99"/>
      <c r="F720" s="99"/>
    </row>
    <row r="721" spans="2:6" ht="12.75" customHeight="1" x14ac:dyDescent="0.25">
      <c r="B721" s="99"/>
      <c r="E721" s="99"/>
      <c r="F721" s="99"/>
    </row>
    <row r="722" spans="2:6" ht="12.75" customHeight="1" x14ac:dyDescent="0.25">
      <c r="B722" s="99"/>
      <c r="E722" s="99"/>
      <c r="F722" s="99"/>
    </row>
    <row r="723" spans="2:6" ht="12.75" customHeight="1" x14ac:dyDescent="0.25">
      <c r="B723" s="99"/>
      <c r="E723" s="99"/>
      <c r="F723" s="99"/>
    </row>
    <row r="724" spans="2:6" ht="12.75" customHeight="1" x14ac:dyDescent="0.25">
      <c r="B724" s="99"/>
      <c r="E724" s="99"/>
      <c r="F724" s="99"/>
    </row>
    <row r="725" spans="2:6" ht="12.75" customHeight="1" x14ac:dyDescent="0.25">
      <c r="B725" s="99"/>
      <c r="E725" s="99"/>
      <c r="F725" s="99"/>
    </row>
    <row r="726" spans="2:6" ht="12.75" customHeight="1" x14ac:dyDescent="0.25">
      <c r="B726" s="99"/>
      <c r="E726" s="99"/>
      <c r="F726" s="99"/>
    </row>
    <row r="727" spans="2:6" ht="12.75" customHeight="1" x14ac:dyDescent="0.25">
      <c r="B727" s="99"/>
      <c r="E727" s="99"/>
      <c r="F727" s="99"/>
    </row>
    <row r="728" spans="2:6" ht="12.75" customHeight="1" x14ac:dyDescent="0.25">
      <c r="B728" s="99"/>
      <c r="E728" s="99"/>
      <c r="F728" s="99"/>
    </row>
    <row r="729" spans="2:6" ht="12.75" customHeight="1" x14ac:dyDescent="0.25">
      <c r="B729" s="99"/>
      <c r="E729" s="99"/>
      <c r="F729" s="99"/>
    </row>
    <row r="730" spans="2:6" ht="12.75" customHeight="1" x14ac:dyDescent="0.25">
      <c r="B730" s="99"/>
      <c r="E730" s="99"/>
      <c r="F730" s="99"/>
    </row>
    <row r="731" spans="2:6" ht="12.75" customHeight="1" x14ac:dyDescent="0.25">
      <c r="B731" s="99"/>
      <c r="E731" s="99"/>
      <c r="F731" s="99"/>
    </row>
    <row r="732" spans="2:6" ht="12.75" customHeight="1" x14ac:dyDescent="0.25">
      <c r="B732" s="99"/>
      <c r="E732" s="99"/>
      <c r="F732" s="99"/>
    </row>
    <row r="733" spans="2:6" ht="12.75" customHeight="1" x14ac:dyDescent="0.25">
      <c r="B733" s="99"/>
      <c r="E733" s="99"/>
      <c r="F733" s="99"/>
    </row>
    <row r="734" spans="2:6" ht="12.75" customHeight="1" x14ac:dyDescent="0.25">
      <c r="B734" s="99"/>
      <c r="E734" s="99"/>
      <c r="F734" s="99"/>
    </row>
    <row r="735" spans="2:6" ht="12.75" customHeight="1" x14ac:dyDescent="0.25">
      <c r="B735" s="99"/>
      <c r="E735" s="99"/>
      <c r="F735" s="99"/>
    </row>
    <row r="736" spans="2:6" ht="12.75" customHeight="1" x14ac:dyDescent="0.25">
      <c r="B736" s="99"/>
      <c r="E736" s="99"/>
      <c r="F736" s="99"/>
    </row>
    <row r="737" spans="2:6" ht="12.75" customHeight="1" x14ac:dyDescent="0.25">
      <c r="B737" s="99"/>
      <c r="E737" s="99"/>
      <c r="F737" s="99"/>
    </row>
    <row r="738" spans="2:6" ht="12.75" customHeight="1" x14ac:dyDescent="0.25">
      <c r="B738" s="99"/>
      <c r="E738" s="99"/>
      <c r="F738" s="99"/>
    </row>
    <row r="739" spans="2:6" ht="12.75" customHeight="1" x14ac:dyDescent="0.25">
      <c r="B739" s="99"/>
      <c r="E739" s="99"/>
      <c r="F739" s="99"/>
    </row>
    <row r="740" spans="2:6" ht="12.75" customHeight="1" x14ac:dyDescent="0.25">
      <c r="B740" s="99"/>
      <c r="E740" s="99"/>
      <c r="F740" s="99"/>
    </row>
    <row r="741" spans="2:6" ht="12.75" customHeight="1" x14ac:dyDescent="0.25">
      <c r="B741" s="99"/>
      <c r="E741" s="99"/>
      <c r="F741" s="99"/>
    </row>
    <row r="742" spans="2:6" ht="12.75" customHeight="1" x14ac:dyDescent="0.25">
      <c r="B742" s="99"/>
      <c r="E742" s="99"/>
      <c r="F742" s="99"/>
    </row>
    <row r="743" spans="2:6" ht="12.75" customHeight="1" x14ac:dyDescent="0.25">
      <c r="B743" s="99"/>
      <c r="E743" s="99"/>
      <c r="F743" s="99"/>
    </row>
    <row r="744" spans="2:6" ht="12.75" customHeight="1" x14ac:dyDescent="0.25">
      <c r="B744" s="99"/>
      <c r="E744" s="99"/>
      <c r="F744" s="99"/>
    </row>
    <row r="745" spans="2:6" ht="12.75" customHeight="1" x14ac:dyDescent="0.25">
      <c r="B745" s="99"/>
      <c r="E745" s="99"/>
      <c r="F745" s="99"/>
    </row>
    <row r="746" spans="2:6" ht="12.75" customHeight="1" x14ac:dyDescent="0.25">
      <c r="B746" s="99"/>
      <c r="E746" s="99"/>
      <c r="F746" s="99"/>
    </row>
    <row r="747" spans="2:6" ht="12.75" customHeight="1" x14ac:dyDescent="0.25">
      <c r="B747" s="99"/>
      <c r="E747" s="99"/>
      <c r="F747" s="99"/>
    </row>
    <row r="748" spans="2:6" ht="12.75" customHeight="1" x14ac:dyDescent="0.25">
      <c r="B748" s="99"/>
      <c r="E748" s="99"/>
      <c r="F748" s="99"/>
    </row>
    <row r="749" spans="2:6" ht="12.75" customHeight="1" x14ac:dyDescent="0.25">
      <c r="B749" s="99"/>
      <c r="E749" s="99"/>
      <c r="F749" s="99"/>
    </row>
    <row r="750" spans="2:6" ht="12.75" customHeight="1" x14ac:dyDescent="0.25">
      <c r="B750" s="99"/>
      <c r="E750" s="99"/>
      <c r="F750" s="99"/>
    </row>
    <row r="751" spans="2:6" ht="12.75" customHeight="1" x14ac:dyDescent="0.25">
      <c r="B751" s="99"/>
      <c r="E751" s="99"/>
      <c r="F751" s="99"/>
    </row>
    <row r="752" spans="2:6" ht="12.75" customHeight="1" x14ac:dyDescent="0.25">
      <c r="B752" s="99"/>
      <c r="E752" s="99"/>
      <c r="F752" s="99"/>
    </row>
    <row r="753" spans="2:6" ht="12.75" customHeight="1" x14ac:dyDescent="0.25">
      <c r="B753" s="99"/>
      <c r="E753" s="99"/>
      <c r="F753" s="99"/>
    </row>
    <row r="754" spans="2:6" ht="12.75" customHeight="1" x14ac:dyDescent="0.25">
      <c r="B754" s="99"/>
      <c r="E754" s="99"/>
      <c r="F754" s="99"/>
    </row>
    <row r="755" spans="2:6" ht="12.75" customHeight="1" x14ac:dyDescent="0.25">
      <c r="B755" s="99"/>
      <c r="E755" s="99"/>
      <c r="F755" s="99"/>
    </row>
    <row r="756" spans="2:6" ht="12.75" customHeight="1" x14ac:dyDescent="0.25">
      <c r="B756" s="99"/>
      <c r="E756" s="99"/>
      <c r="F756" s="99"/>
    </row>
    <row r="757" spans="2:6" ht="12.75" customHeight="1" x14ac:dyDescent="0.25">
      <c r="B757" s="99"/>
      <c r="E757" s="99"/>
      <c r="F757" s="99"/>
    </row>
    <row r="758" spans="2:6" ht="12.75" customHeight="1" x14ac:dyDescent="0.25">
      <c r="B758" s="99"/>
      <c r="E758" s="99"/>
      <c r="F758" s="99"/>
    </row>
    <row r="759" spans="2:6" ht="12.75" customHeight="1" x14ac:dyDescent="0.25">
      <c r="B759" s="99"/>
      <c r="E759" s="99"/>
      <c r="F759" s="99"/>
    </row>
    <row r="760" spans="2:6" ht="12.75" customHeight="1" x14ac:dyDescent="0.25">
      <c r="B760" s="99"/>
      <c r="E760" s="99"/>
      <c r="F760" s="99"/>
    </row>
    <row r="761" spans="2:6" ht="12.75" customHeight="1" x14ac:dyDescent="0.25">
      <c r="B761" s="99"/>
      <c r="E761" s="99"/>
      <c r="F761" s="99"/>
    </row>
    <row r="762" spans="2:6" ht="12.75" customHeight="1" x14ac:dyDescent="0.25">
      <c r="B762" s="99"/>
      <c r="E762" s="99"/>
      <c r="F762" s="99"/>
    </row>
    <row r="763" spans="2:6" ht="12.75" customHeight="1" x14ac:dyDescent="0.25">
      <c r="B763" s="99"/>
      <c r="E763" s="99"/>
      <c r="F763" s="99"/>
    </row>
    <row r="764" spans="2:6" ht="12.75" customHeight="1" x14ac:dyDescent="0.25">
      <c r="B764" s="99"/>
      <c r="E764" s="99"/>
      <c r="F764" s="99"/>
    </row>
    <row r="765" spans="2:6" ht="12.75" customHeight="1" x14ac:dyDescent="0.25">
      <c r="B765" s="99"/>
      <c r="E765" s="99"/>
      <c r="F765" s="99"/>
    </row>
    <row r="766" spans="2:6" ht="12.75" customHeight="1" x14ac:dyDescent="0.25">
      <c r="B766" s="99"/>
      <c r="E766" s="99"/>
      <c r="F766" s="99"/>
    </row>
    <row r="767" spans="2:6" ht="12.75" customHeight="1" x14ac:dyDescent="0.25">
      <c r="B767" s="99"/>
      <c r="E767" s="99"/>
      <c r="F767" s="99"/>
    </row>
    <row r="768" spans="2:6" ht="12.75" customHeight="1" x14ac:dyDescent="0.25">
      <c r="B768" s="99"/>
      <c r="E768" s="99"/>
      <c r="F768" s="99"/>
    </row>
    <row r="769" spans="2:6" ht="12.75" customHeight="1" x14ac:dyDescent="0.25">
      <c r="B769" s="99"/>
      <c r="E769" s="99"/>
      <c r="F769" s="99"/>
    </row>
    <row r="770" spans="2:6" ht="12.75" customHeight="1" x14ac:dyDescent="0.25">
      <c r="B770" s="99"/>
      <c r="E770" s="99"/>
      <c r="F770" s="99"/>
    </row>
    <row r="771" spans="2:6" ht="12.75" customHeight="1" x14ac:dyDescent="0.25">
      <c r="B771" s="99"/>
      <c r="E771" s="99"/>
      <c r="F771" s="99"/>
    </row>
    <row r="772" spans="2:6" ht="12.75" customHeight="1" x14ac:dyDescent="0.25">
      <c r="B772" s="99"/>
      <c r="E772" s="99"/>
      <c r="F772" s="99"/>
    </row>
    <row r="773" spans="2:6" ht="12.75" customHeight="1" x14ac:dyDescent="0.25">
      <c r="B773" s="99"/>
      <c r="E773" s="99"/>
      <c r="F773" s="99"/>
    </row>
    <row r="774" spans="2:6" ht="12.75" customHeight="1" x14ac:dyDescent="0.25">
      <c r="B774" s="99"/>
      <c r="E774" s="99"/>
      <c r="F774" s="99"/>
    </row>
    <row r="775" spans="2:6" ht="12.75" customHeight="1" x14ac:dyDescent="0.25">
      <c r="B775" s="99"/>
      <c r="E775" s="99"/>
      <c r="F775" s="99"/>
    </row>
    <row r="776" spans="2:6" ht="12.75" customHeight="1" x14ac:dyDescent="0.25">
      <c r="B776" s="99"/>
      <c r="E776" s="99"/>
      <c r="F776" s="99"/>
    </row>
    <row r="777" spans="2:6" ht="12.75" customHeight="1" x14ac:dyDescent="0.25">
      <c r="B777" s="99"/>
      <c r="E777" s="99"/>
      <c r="F777" s="99"/>
    </row>
    <row r="778" spans="2:6" ht="12.75" customHeight="1" x14ac:dyDescent="0.25">
      <c r="B778" s="99"/>
      <c r="E778" s="99"/>
      <c r="F778" s="99"/>
    </row>
    <row r="779" spans="2:6" ht="12.75" customHeight="1" x14ac:dyDescent="0.25">
      <c r="B779" s="99"/>
      <c r="E779" s="99"/>
      <c r="F779" s="99"/>
    </row>
    <row r="780" spans="2:6" ht="12.75" customHeight="1" x14ac:dyDescent="0.25">
      <c r="B780" s="99"/>
      <c r="E780" s="99"/>
      <c r="F780" s="99"/>
    </row>
    <row r="781" spans="2:6" ht="12.75" customHeight="1" x14ac:dyDescent="0.25">
      <c r="B781" s="99"/>
      <c r="E781" s="99"/>
      <c r="F781" s="99"/>
    </row>
    <row r="782" spans="2:6" ht="12.75" customHeight="1" x14ac:dyDescent="0.25">
      <c r="B782" s="99"/>
      <c r="E782" s="99"/>
      <c r="F782" s="99"/>
    </row>
    <row r="783" spans="2:6" ht="12.75" customHeight="1" x14ac:dyDescent="0.25">
      <c r="B783" s="99"/>
      <c r="E783" s="99"/>
      <c r="F783" s="99"/>
    </row>
    <row r="784" spans="2:6" ht="12.75" customHeight="1" x14ac:dyDescent="0.25">
      <c r="B784" s="99"/>
      <c r="E784" s="99"/>
      <c r="F784" s="99"/>
    </row>
    <row r="785" spans="2:6" ht="12.75" customHeight="1" x14ac:dyDescent="0.25">
      <c r="B785" s="99"/>
      <c r="E785" s="99"/>
      <c r="F785" s="99"/>
    </row>
    <row r="786" spans="2:6" ht="12.75" customHeight="1" x14ac:dyDescent="0.25">
      <c r="B786" s="99"/>
      <c r="E786" s="99"/>
      <c r="F786" s="99"/>
    </row>
    <row r="787" spans="2:6" ht="12.75" customHeight="1" x14ac:dyDescent="0.25">
      <c r="B787" s="99"/>
      <c r="E787" s="99"/>
      <c r="F787" s="99"/>
    </row>
    <row r="788" spans="2:6" ht="12.75" customHeight="1" x14ac:dyDescent="0.25">
      <c r="B788" s="99"/>
      <c r="E788" s="99"/>
      <c r="F788" s="99"/>
    </row>
    <row r="789" spans="2:6" ht="12.75" customHeight="1" x14ac:dyDescent="0.25">
      <c r="B789" s="99"/>
      <c r="E789" s="99"/>
      <c r="F789" s="99"/>
    </row>
    <row r="790" spans="2:6" ht="12.75" customHeight="1" x14ac:dyDescent="0.25">
      <c r="B790" s="99"/>
      <c r="E790" s="99"/>
      <c r="F790" s="99"/>
    </row>
    <row r="791" spans="2:6" ht="12.75" customHeight="1" x14ac:dyDescent="0.25">
      <c r="B791" s="99"/>
      <c r="E791" s="99"/>
      <c r="F791" s="99"/>
    </row>
    <row r="792" spans="2:6" ht="12.75" customHeight="1" x14ac:dyDescent="0.25">
      <c r="B792" s="99"/>
      <c r="E792" s="99"/>
      <c r="F792" s="99"/>
    </row>
    <row r="793" spans="2:6" ht="12.75" customHeight="1" x14ac:dyDescent="0.25">
      <c r="B793" s="99"/>
      <c r="E793" s="99"/>
      <c r="F793" s="99"/>
    </row>
    <row r="794" spans="2:6" ht="12.75" customHeight="1" x14ac:dyDescent="0.25">
      <c r="B794" s="99"/>
      <c r="E794" s="99"/>
      <c r="F794" s="99"/>
    </row>
    <row r="795" spans="2:6" ht="12.75" customHeight="1" x14ac:dyDescent="0.25">
      <c r="B795" s="99"/>
      <c r="E795" s="99"/>
      <c r="F795" s="99"/>
    </row>
    <row r="796" spans="2:6" ht="12.75" customHeight="1" x14ac:dyDescent="0.25">
      <c r="B796" s="99"/>
      <c r="E796" s="99"/>
      <c r="F796" s="99"/>
    </row>
    <row r="797" spans="2:6" ht="12.75" customHeight="1" x14ac:dyDescent="0.25">
      <c r="B797" s="99"/>
      <c r="E797" s="99"/>
      <c r="F797" s="99"/>
    </row>
    <row r="798" spans="2:6" ht="12.75" customHeight="1" x14ac:dyDescent="0.25">
      <c r="B798" s="99"/>
      <c r="E798" s="99"/>
      <c r="F798" s="99"/>
    </row>
    <row r="799" spans="2:6" ht="12.75" customHeight="1" x14ac:dyDescent="0.25">
      <c r="B799" s="99"/>
      <c r="E799" s="99"/>
      <c r="F799" s="99"/>
    </row>
    <row r="800" spans="2:6" ht="12.75" customHeight="1" x14ac:dyDescent="0.25">
      <c r="B800" s="99"/>
      <c r="E800" s="99"/>
      <c r="F800" s="99"/>
    </row>
    <row r="801" spans="2:6" ht="12.75" customHeight="1" x14ac:dyDescent="0.25">
      <c r="B801" s="99"/>
      <c r="E801" s="99"/>
      <c r="F801" s="99"/>
    </row>
    <row r="802" spans="2:6" ht="12.75" customHeight="1" x14ac:dyDescent="0.25">
      <c r="B802" s="99"/>
      <c r="E802" s="99"/>
      <c r="F802" s="99"/>
    </row>
    <row r="803" spans="2:6" ht="12.75" customHeight="1" x14ac:dyDescent="0.25">
      <c r="B803" s="99"/>
      <c r="E803" s="99"/>
      <c r="F803" s="99"/>
    </row>
    <row r="804" spans="2:6" ht="12.75" customHeight="1" x14ac:dyDescent="0.25">
      <c r="B804" s="99"/>
      <c r="E804" s="99"/>
      <c r="F804" s="99"/>
    </row>
    <row r="805" spans="2:6" ht="12.75" customHeight="1" x14ac:dyDescent="0.25">
      <c r="B805" s="99"/>
      <c r="E805" s="99"/>
      <c r="F805" s="99"/>
    </row>
    <row r="806" spans="2:6" ht="12.75" customHeight="1" x14ac:dyDescent="0.25">
      <c r="B806" s="99"/>
      <c r="E806" s="99"/>
      <c r="F806" s="99"/>
    </row>
    <row r="807" spans="2:6" ht="12.75" customHeight="1" x14ac:dyDescent="0.25">
      <c r="B807" s="99"/>
      <c r="E807" s="99"/>
      <c r="F807" s="99"/>
    </row>
    <row r="808" spans="2:6" ht="12.75" customHeight="1" x14ac:dyDescent="0.25">
      <c r="B808" s="99"/>
      <c r="E808" s="99"/>
      <c r="F808" s="99"/>
    </row>
    <row r="809" spans="2:6" ht="12.75" customHeight="1" x14ac:dyDescent="0.25">
      <c r="B809" s="99"/>
      <c r="E809" s="99"/>
      <c r="F809" s="99"/>
    </row>
    <row r="810" spans="2:6" ht="12.75" customHeight="1" x14ac:dyDescent="0.25">
      <c r="B810" s="99"/>
      <c r="E810" s="99"/>
      <c r="F810" s="99"/>
    </row>
    <row r="811" spans="2:6" ht="12.75" customHeight="1" x14ac:dyDescent="0.25">
      <c r="B811" s="99"/>
      <c r="E811" s="99"/>
      <c r="F811" s="99"/>
    </row>
    <row r="812" spans="2:6" ht="12.75" customHeight="1" x14ac:dyDescent="0.25">
      <c r="B812" s="99"/>
      <c r="E812" s="99"/>
      <c r="F812" s="99"/>
    </row>
    <row r="813" spans="2:6" ht="12.75" customHeight="1" x14ac:dyDescent="0.25">
      <c r="B813" s="99"/>
      <c r="E813" s="99"/>
      <c r="F813" s="99"/>
    </row>
    <row r="814" spans="2:6" ht="12.75" customHeight="1" x14ac:dyDescent="0.25">
      <c r="B814" s="99"/>
      <c r="E814" s="99"/>
      <c r="F814" s="99"/>
    </row>
    <row r="815" spans="2:6" ht="12.75" customHeight="1" x14ac:dyDescent="0.25">
      <c r="B815" s="99"/>
      <c r="E815" s="99"/>
      <c r="F815" s="99"/>
    </row>
    <row r="816" spans="2:6" ht="12.75" customHeight="1" x14ac:dyDescent="0.25">
      <c r="B816" s="99"/>
      <c r="E816" s="99"/>
      <c r="F816" s="99"/>
    </row>
    <row r="817" spans="2:6" ht="12.75" customHeight="1" x14ac:dyDescent="0.25">
      <c r="B817" s="99"/>
      <c r="E817" s="99"/>
      <c r="F817" s="99"/>
    </row>
    <row r="818" spans="2:6" ht="12.75" customHeight="1" x14ac:dyDescent="0.25">
      <c r="B818" s="99"/>
      <c r="E818" s="99"/>
      <c r="F818" s="99"/>
    </row>
    <row r="819" spans="2:6" ht="12.75" customHeight="1" x14ac:dyDescent="0.25">
      <c r="B819" s="99"/>
      <c r="E819" s="99"/>
      <c r="F819" s="99"/>
    </row>
    <row r="820" spans="2:6" ht="12.75" customHeight="1" x14ac:dyDescent="0.25">
      <c r="B820" s="99"/>
      <c r="E820" s="99"/>
      <c r="F820" s="99"/>
    </row>
    <row r="821" spans="2:6" ht="12.75" customHeight="1" x14ac:dyDescent="0.25">
      <c r="B821" s="99"/>
      <c r="E821" s="99"/>
      <c r="F821" s="99"/>
    </row>
    <row r="822" spans="2:6" ht="12.75" customHeight="1" x14ac:dyDescent="0.25">
      <c r="B822" s="99"/>
      <c r="E822" s="99"/>
      <c r="F822" s="99"/>
    </row>
    <row r="823" spans="2:6" ht="12.75" customHeight="1" x14ac:dyDescent="0.25">
      <c r="B823" s="99"/>
      <c r="E823" s="99"/>
      <c r="F823" s="99"/>
    </row>
    <row r="824" spans="2:6" ht="12.75" customHeight="1" x14ac:dyDescent="0.25">
      <c r="B824" s="99"/>
      <c r="E824" s="99"/>
      <c r="F824" s="99"/>
    </row>
    <row r="825" spans="2:6" ht="12.75" customHeight="1" x14ac:dyDescent="0.25">
      <c r="B825" s="99"/>
      <c r="E825" s="99"/>
      <c r="F825" s="99"/>
    </row>
    <row r="826" spans="2:6" ht="12.75" customHeight="1" x14ac:dyDescent="0.25">
      <c r="B826" s="99"/>
      <c r="E826" s="99"/>
      <c r="F826" s="99"/>
    </row>
    <row r="827" spans="2:6" ht="12.75" customHeight="1" x14ac:dyDescent="0.25">
      <c r="B827" s="99"/>
      <c r="E827" s="99"/>
      <c r="F827" s="99"/>
    </row>
    <row r="828" spans="2:6" ht="12.75" customHeight="1" x14ac:dyDescent="0.25">
      <c r="B828" s="99"/>
      <c r="E828" s="99"/>
      <c r="F828" s="99"/>
    </row>
    <row r="829" spans="2:6" ht="12.75" customHeight="1" x14ac:dyDescent="0.25">
      <c r="B829" s="99"/>
      <c r="E829" s="99"/>
      <c r="F829" s="99"/>
    </row>
    <row r="830" spans="2:6" ht="12.75" customHeight="1" x14ac:dyDescent="0.25">
      <c r="B830" s="99"/>
      <c r="E830" s="99"/>
      <c r="F830" s="99"/>
    </row>
    <row r="831" spans="2:6" ht="12.75" customHeight="1" x14ac:dyDescent="0.25">
      <c r="B831" s="99"/>
      <c r="E831" s="99"/>
      <c r="F831" s="99"/>
    </row>
    <row r="832" spans="2:6" ht="12.75" customHeight="1" x14ac:dyDescent="0.25">
      <c r="B832" s="99"/>
      <c r="E832" s="99"/>
      <c r="F832" s="99"/>
    </row>
    <row r="833" spans="2:6" ht="12.75" customHeight="1" x14ac:dyDescent="0.25">
      <c r="B833" s="99"/>
      <c r="E833" s="99"/>
      <c r="F833" s="99"/>
    </row>
    <row r="834" spans="2:6" ht="12.75" customHeight="1" x14ac:dyDescent="0.25">
      <c r="B834" s="99"/>
      <c r="E834" s="99"/>
      <c r="F834" s="99"/>
    </row>
    <row r="835" spans="2:6" ht="12.75" customHeight="1" x14ac:dyDescent="0.25">
      <c r="B835" s="99"/>
      <c r="E835" s="99"/>
      <c r="F835" s="99"/>
    </row>
    <row r="836" spans="2:6" ht="12.75" customHeight="1" x14ac:dyDescent="0.25">
      <c r="B836" s="99"/>
      <c r="E836" s="99"/>
      <c r="F836" s="99"/>
    </row>
    <row r="837" spans="2:6" ht="12.75" customHeight="1" x14ac:dyDescent="0.25">
      <c r="B837" s="99"/>
      <c r="E837" s="99"/>
      <c r="F837" s="99"/>
    </row>
    <row r="838" spans="2:6" ht="12.75" customHeight="1" x14ac:dyDescent="0.25">
      <c r="B838" s="99"/>
      <c r="E838" s="99"/>
      <c r="F838" s="99"/>
    </row>
    <row r="839" spans="2:6" ht="12.75" customHeight="1" x14ac:dyDescent="0.25">
      <c r="B839" s="99"/>
      <c r="E839" s="99"/>
      <c r="F839" s="99"/>
    </row>
    <row r="840" spans="2:6" ht="12.75" customHeight="1" x14ac:dyDescent="0.25">
      <c r="B840" s="99"/>
      <c r="E840" s="99"/>
      <c r="F840" s="99"/>
    </row>
    <row r="841" spans="2:6" ht="12.75" customHeight="1" x14ac:dyDescent="0.25">
      <c r="B841" s="99"/>
      <c r="E841" s="99"/>
      <c r="F841" s="99"/>
    </row>
    <row r="842" spans="2:6" ht="12.75" customHeight="1" x14ac:dyDescent="0.25">
      <c r="B842" s="99"/>
      <c r="E842" s="99"/>
      <c r="F842" s="99"/>
    </row>
    <row r="843" spans="2:6" ht="12.75" customHeight="1" x14ac:dyDescent="0.25">
      <c r="B843" s="99"/>
      <c r="E843" s="99"/>
      <c r="F843" s="99"/>
    </row>
    <row r="844" spans="2:6" ht="12.75" customHeight="1" x14ac:dyDescent="0.25">
      <c r="B844" s="99"/>
      <c r="E844" s="99"/>
      <c r="F844" s="99"/>
    </row>
    <row r="845" spans="2:6" ht="12.75" customHeight="1" x14ac:dyDescent="0.25">
      <c r="B845" s="99"/>
      <c r="E845" s="99"/>
      <c r="F845" s="99"/>
    </row>
    <row r="846" spans="2:6" ht="12.75" customHeight="1" x14ac:dyDescent="0.25">
      <c r="B846" s="99"/>
      <c r="E846" s="99"/>
      <c r="F846" s="99"/>
    </row>
    <row r="847" spans="2:6" ht="12.75" customHeight="1" x14ac:dyDescent="0.25">
      <c r="B847" s="99"/>
      <c r="E847" s="99"/>
      <c r="F847" s="99"/>
    </row>
    <row r="848" spans="2:6" ht="12.75" customHeight="1" x14ac:dyDescent="0.25">
      <c r="B848" s="99"/>
      <c r="E848" s="99"/>
      <c r="F848" s="99"/>
    </row>
    <row r="849" spans="2:6" ht="12.75" customHeight="1" x14ac:dyDescent="0.25">
      <c r="B849" s="99"/>
      <c r="E849" s="99"/>
      <c r="F849" s="99"/>
    </row>
    <row r="850" spans="2:6" ht="12.75" customHeight="1" x14ac:dyDescent="0.25">
      <c r="B850" s="99"/>
      <c r="E850" s="99"/>
      <c r="F850" s="99"/>
    </row>
    <row r="851" spans="2:6" ht="12.75" customHeight="1" x14ac:dyDescent="0.25">
      <c r="B851" s="99"/>
      <c r="E851" s="99"/>
      <c r="F851" s="99"/>
    </row>
    <row r="852" spans="2:6" ht="12.75" customHeight="1" x14ac:dyDescent="0.25">
      <c r="B852" s="99"/>
      <c r="E852" s="99"/>
      <c r="F852" s="99"/>
    </row>
    <row r="853" spans="2:6" ht="12.75" customHeight="1" x14ac:dyDescent="0.25">
      <c r="B853" s="99"/>
      <c r="E853" s="99"/>
      <c r="F853" s="99"/>
    </row>
    <row r="854" spans="2:6" ht="12.75" customHeight="1" x14ac:dyDescent="0.25">
      <c r="B854" s="99"/>
      <c r="E854" s="99"/>
      <c r="F854" s="99"/>
    </row>
    <row r="855" spans="2:6" ht="12.75" customHeight="1" x14ac:dyDescent="0.25">
      <c r="B855" s="99"/>
      <c r="E855" s="99"/>
      <c r="F855" s="99"/>
    </row>
    <row r="856" spans="2:6" ht="12.75" customHeight="1" x14ac:dyDescent="0.25">
      <c r="B856" s="99"/>
      <c r="E856" s="99"/>
      <c r="F856" s="99"/>
    </row>
    <row r="857" spans="2:6" ht="12.75" customHeight="1" x14ac:dyDescent="0.25">
      <c r="B857" s="99"/>
      <c r="E857" s="99"/>
      <c r="F857" s="99"/>
    </row>
    <row r="858" spans="2:6" ht="12.75" customHeight="1" x14ac:dyDescent="0.25">
      <c r="B858" s="99"/>
      <c r="E858" s="99"/>
      <c r="F858" s="99"/>
    </row>
    <row r="859" spans="2:6" ht="12.75" customHeight="1" x14ac:dyDescent="0.25">
      <c r="B859" s="99"/>
      <c r="E859" s="99"/>
      <c r="F859" s="99"/>
    </row>
    <row r="860" spans="2:6" ht="12.75" customHeight="1" x14ac:dyDescent="0.25">
      <c r="B860" s="99"/>
      <c r="E860" s="99"/>
      <c r="F860" s="99"/>
    </row>
    <row r="861" spans="2:6" ht="12.75" customHeight="1" x14ac:dyDescent="0.25">
      <c r="B861" s="99"/>
      <c r="E861" s="99"/>
      <c r="F861" s="99"/>
    </row>
    <row r="862" spans="2:6" ht="12.75" customHeight="1" x14ac:dyDescent="0.25">
      <c r="B862" s="99"/>
      <c r="E862" s="99"/>
      <c r="F862" s="99"/>
    </row>
    <row r="863" spans="2:6" ht="12.75" customHeight="1" x14ac:dyDescent="0.25">
      <c r="B863" s="99"/>
      <c r="E863" s="99"/>
      <c r="F863" s="99"/>
    </row>
    <row r="864" spans="2:6" ht="12.75" customHeight="1" x14ac:dyDescent="0.25">
      <c r="B864" s="99"/>
      <c r="E864" s="99"/>
      <c r="F864" s="99"/>
    </row>
    <row r="865" spans="2:6" ht="12.75" customHeight="1" x14ac:dyDescent="0.25">
      <c r="B865" s="99"/>
      <c r="E865" s="99"/>
      <c r="F865" s="99"/>
    </row>
    <row r="866" spans="2:6" ht="12.75" customHeight="1" x14ac:dyDescent="0.25">
      <c r="B866" s="99"/>
      <c r="E866" s="99"/>
      <c r="F866" s="99"/>
    </row>
    <row r="867" spans="2:6" ht="12.75" customHeight="1" x14ac:dyDescent="0.25">
      <c r="B867" s="99"/>
      <c r="E867" s="99"/>
      <c r="F867" s="99"/>
    </row>
    <row r="868" spans="2:6" ht="12.75" customHeight="1" x14ac:dyDescent="0.25">
      <c r="B868" s="99"/>
      <c r="E868" s="99"/>
      <c r="F868" s="99"/>
    </row>
    <row r="869" spans="2:6" ht="12.75" customHeight="1" x14ac:dyDescent="0.25">
      <c r="B869" s="99"/>
      <c r="E869" s="99"/>
      <c r="F869" s="99"/>
    </row>
    <row r="870" spans="2:6" ht="12.75" customHeight="1" x14ac:dyDescent="0.25">
      <c r="B870" s="99"/>
      <c r="E870" s="99"/>
      <c r="F870" s="99"/>
    </row>
    <row r="871" spans="2:6" ht="12.75" customHeight="1" x14ac:dyDescent="0.25">
      <c r="B871" s="99"/>
      <c r="E871" s="99"/>
      <c r="F871" s="99"/>
    </row>
    <row r="872" spans="2:6" ht="12.75" customHeight="1" x14ac:dyDescent="0.25">
      <c r="B872" s="99"/>
      <c r="E872" s="99"/>
      <c r="F872" s="99"/>
    </row>
    <row r="873" spans="2:6" ht="12.75" customHeight="1" x14ac:dyDescent="0.25">
      <c r="B873" s="99"/>
      <c r="E873" s="99"/>
      <c r="F873" s="99"/>
    </row>
    <row r="874" spans="2:6" ht="12.75" customHeight="1" x14ac:dyDescent="0.25">
      <c r="B874" s="99"/>
      <c r="E874" s="99"/>
      <c r="F874" s="99"/>
    </row>
    <row r="875" spans="2:6" ht="12.75" customHeight="1" x14ac:dyDescent="0.25">
      <c r="B875" s="99"/>
      <c r="E875" s="99"/>
      <c r="F875" s="99"/>
    </row>
    <row r="876" spans="2:6" ht="12.75" customHeight="1" x14ac:dyDescent="0.25">
      <c r="B876" s="99"/>
      <c r="E876" s="99"/>
      <c r="F876" s="99"/>
    </row>
    <row r="877" spans="2:6" ht="12.75" customHeight="1" x14ac:dyDescent="0.25">
      <c r="B877" s="99"/>
      <c r="E877" s="99"/>
      <c r="F877" s="99"/>
    </row>
    <row r="878" spans="2:6" ht="12.75" customHeight="1" x14ac:dyDescent="0.25">
      <c r="B878" s="99"/>
      <c r="E878" s="99"/>
      <c r="F878" s="99"/>
    </row>
    <row r="879" spans="2:6" ht="12.75" customHeight="1" x14ac:dyDescent="0.25">
      <c r="B879" s="99"/>
      <c r="E879" s="99"/>
      <c r="F879" s="99"/>
    </row>
    <row r="880" spans="2:6" ht="12.75" customHeight="1" x14ac:dyDescent="0.25">
      <c r="B880" s="99"/>
      <c r="E880" s="99"/>
      <c r="F880" s="99"/>
    </row>
    <row r="881" spans="2:6" ht="12.75" customHeight="1" x14ac:dyDescent="0.25">
      <c r="B881" s="99"/>
      <c r="E881" s="99"/>
      <c r="F881" s="99"/>
    </row>
    <row r="882" spans="2:6" ht="12.75" customHeight="1" x14ac:dyDescent="0.25">
      <c r="B882" s="99"/>
      <c r="E882" s="99"/>
      <c r="F882" s="99"/>
    </row>
    <row r="883" spans="2:6" ht="12.75" customHeight="1" x14ac:dyDescent="0.25">
      <c r="B883" s="99"/>
      <c r="E883" s="99"/>
      <c r="F883" s="99"/>
    </row>
    <row r="884" spans="2:6" ht="12.75" customHeight="1" x14ac:dyDescent="0.25">
      <c r="B884" s="99"/>
      <c r="E884" s="99"/>
      <c r="F884" s="99"/>
    </row>
    <row r="885" spans="2:6" ht="12.75" customHeight="1" x14ac:dyDescent="0.25">
      <c r="B885" s="99"/>
      <c r="E885" s="99"/>
      <c r="F885" s="99"/>
    </row>
    <row r="886" spans="2:6" ht="12.75" customHeight="1" x14ac:dyDescent="0.25">
      <c r="B886" s="99"/>
      <c r="E886" s="99"/>
      <c r="F886" s="99"/>
    </row>
    <row r="887" spans="2:6" ht="12.75" customHeight="1" x14ac:dyDescent="0.25">
      <c r="B887" s="99"/>
      <c r="E887" s="99"/>
      <c r="F887" s="99"/>
    </row>
    <row r="888" spans="2:6" ht="12.75" customHeight="1" x14ac:dyDescent="0.25">
      <c r="B888" s="99"/>
      <c r="E888" s="99"/>
      <c r="F888" s="99"/>
    </row>
    <row r="889" spans="2:6" ht="12.75" customHeight="1" x14ac:dyDescent="0.25">
      <c r="B889" s="99"/>
      <c r="E889" s="99"/>
      <c r="F889" s="99"/>
    </row>
    <row r="890" spans="2:6" ht="12.75" customHeight="1" x14ac:dyDescent="0.25">
      <c r="B890" s="99"/>
      <c r="E890" s="99"/>
      <c r="F890" s="99"/>
    </row>
    <row r="891" spans="2:6" ht="12.75" customHeight="1" x14ac:dyDescent="0.25">
      <c r="B891" s="99"/>
      <c r="E891" s="99"/>
      <c r="F891" s="99"/>
    </row>
    <row r="892" spans="2:6" ht="12.75" customHeight="1" x14ac:dyDescent="0.25">
      <c r="B892" s="99"/>
      <c r="E892" s="99"/>
      <c r="F892" s="99"/>
    </row>
    <row r="893" spans="2:6" ht="12.75" customHeight="1" x14ac:dyDescent="0.25">
      <c r="B893" s="99"/>
      <c r="E893" s="99"/>
      <c r="F893" s="99"/>
    </row>
    <row r="894" spans="2:6" ht="12.75" customHeight="1" x14ac:dyDescent="0.25">
      <c r="B894" s="99"/>
      <c r="E894" s="99"/>
      <c r="F894" s="99"/>
    </row>
    <row r="895" spans="2:6" ht="12.75" customHeight="1" x14ac:dyDescent="0.25">
      <c r="B895" s="99"/>
      <c r="E895" s="99"/>
      <c r="F895" s="99"/>
    </row>
    <row r="896" spans="2:6" ht="12.75" customHeight="1" x14ac:dyDescent="0.25">
      <c r="B896" s="99"/>
      <c r="E896" s="99"/>
      <c r="F896" s="99"/>
    </row>
    <row r="897" spans="2:6" ht="12.75" customHeight="1" x14ac:dyDescent="0.25">
      <c r="B897" s="99"/>
      <c r="E897" s="99"/>
      <c r="F897" s="99"/>
    </row>
    <row r="898" spans="2:6" ht="12.75" customHeight="1" x14ac:dyDescent="0.25">
      <c r="B898" s="99"/>
      <c r="E898" s="99"/>
      <c r="F898" s="99"/>
    </row>
    <row r="899" spans="2:6" ht="12.75" customHeight="1" x14ac:dyDescent="0.25">
      <c r="B899" s="99"/>
      <c r="E899" s="99"/>
      <c r="F899" s="99"/>
    </row>
    <row r="900" spans="2:6" ht="12.75" customHeight="1" x14ac:dyDescent="0.25">
      <c r="B900" s="99"/>
      <c r="E900" s="99"/>
      <c r="F900" s="99"/>
    </row>
    <row r="901" spans="2:6" ht="12.75" customHeight="1" x14ac:dyDescent="0.25">
      <c r="B901" s="99"/>
      <c r="E901" s="99"/>
      <c r="F901" s="99"/>
    </row>
    <row r="902" spans="2:6" ht="12.75" customHeight="1" x14ac:dyDescent="0.25">
      <c r="B902" s="99"/>
      <c r="E902" s="99"/>
      <c r="F902" s="99"/>
    </row>
    <row r="903" spans="2:6" ht="12.75" customHeight="1" x14ac:dyDescent="0.25">
      <c r="B903" s="99"/>
      <c r="E903" s="99"/>
      <c r="F903" s="99"/>
    </row>
    <row r="904" spans="2:6" ht="12.75" customHeight="1" x14ac:dyDescent="0.25">
      <c r="B904" s="99"/>
      <c r="E904" s="99"/>
      <c r="F904" s="99"/>
    </row>
    <row r="905" spans="2:6" ht="12.75" customHeight="1" x14ac:dyDescent="0.25">
      <c r="B905" s="99"/>
      <c r="E905" s="99"/>
      <c r="F905" s="99"/>
    </row>
    <row r="906" spans="2:6" ht="12.75" customHeight="1" x14ac:dyDescent="0.25">
      <c r="B906" s="99"/>
      <c r="E906" s="99"/>
      <c r="F906" s="99"/>
    </row>
    <row r="907" spans="2:6" ht="12.75" customHeight="1" x14ac:dyDescent="0.25">
      <c r="B907" s="99"/>
      <c r="E907" s="99"/>
      <c r="F907" s="99"/>
    </row>
    <row r="908" spans="2:6" ht="12.75" customHeight="1" x14ac:dyDescent="0.25">
      <c r="B908" s="99"/>
      <c r="E908" s="99"/>
      <c r="F908" s="99"/>
    </row>
    <row r="909" spans="2:6" ht="12.75" customHeight="1" x14ac:dyDescent="0.25">
      <c r="B909" s="99"/>
      <c r="E909" s="99"/>
      <c r="F909" s="99"/>
    </row>
    <row r="910" spans="2:6" ht="12.75" customHeight="1" x14ac:dyDescent="0.25">
      <c r="B910" s="99"/>
      <c r="E910" s="99"/>
      <c r="F910" s="99"/>
    </row>
    <row r="911" spans="2:6" ht="12.75" customHeight="1" x14ac:dyDescent="0.25">
      <c r="B911" s="99"/>
      <c r="E911" s="99"/>
      <c r="F911" s="99"/>
    </row>
    <row r="912" spans="2:6" ht="12.75" customHeight="1" x14ac:dyDescent="0.25">
      <c r="B912" s="99"/>
      <c r="E912" s="99"/>
      <c r="F912" s="99"/>
    </row>
    <row r="913" spans="2:6" ht="12.75" customHeight="1" x14ac:dyDescent="0.25">
      <c r="B913" s="99"/>
      <c r="E913" s="99"/>
      <c r="F913" s="99"/>
    </row>
    <row r="914" spans="2:6" ht="12.75" customHeight="1" x14ac:dyDescent="0.25">
      <c r="B914" s="99"/>
      <c r="E914" s="99"/>
      <c r="F914" s="99"/>
    </row>
    <row r="915" spans="2:6" ht="12.75" customHeight="1" x14ac:dyDescent="0.25">
      <c r="B915" s="99"/>
      <c r="E915" s="99"/>
      <c r="F915" s="99"/>
    </row>
    <row r="916" spans="2:6" ht="12.75" customHeight="1" x14ac:dyDescent="0.25">
      <c r="B916" s="99"/>
      <c r="E916" s="99"/>
      <c r="F916" s="99"/>
    </row>
    <row r="917" spans="2:6" ht="12.75" customHeight="1" x14ac:dyDescent="0.25">
      <c r="B917" s="99"/>
      <c r="E917" s="99"/>
      <c r="F917" s="99"/>
    </row>
    <row r="918" spans="2:6" ht="12.75" customHeight="1" x14ac:dyDescent="0.25">
      <c r="B918" s="99"/>
      <c r="E918" s="99"/>
      <c r="F918" s="99"/>
    </row>
    <row r="919" spans="2:6" ht="12.75" customHeight="1" x14ac:dyDescent="0.25">
      <c r="B919" s="99"/>
      <c r="E919" s="99"/>
      <c r="F919" s="99"/>
    </row>
    <row r="920" spans="2:6" ht="12.75" customHeight="1" x14ac:dyDescent="0.25">
      <c r="B920" s="99"/>
      <c r="E920" s="99"/>
      <c r="F920" s="99"/>
    </row>
    <row r="921" spans="2:6" ht="12.75" customHeight="1" x14ac:dyDescent="0.25">
      <c r="B921" s="99"/>
      <c r="E921" s="99"/>
      <c r="F921" s="99"/>
    </row>
    <row r="922" spans="2:6" ht="12.75" customHeight="1" x14ac:dyDescent="0.25">
      <c r="B922" s="99"/>
      <c r="E922" s="99"/>
      <c r="F922" s="99"/>
    </row>
    <row r="923" spans="2:6" ht="12.75" customHeight="1" x14ac:dyDescent="0.25">
      <c r="B923" s="99"/>
      <c r="E923" s="99"/>
      <c r="F923" s="99"/>
    </row>
    <row r="924" spans="2:6" ht="12.75" customHeight="1" x14ac:dyDescent="0.25">
      <c r="B924" s="99"/>
      <c r="E924" s="99"/>
      <c r="F924" s="99"/>
    </row>
    <row r="925" spans="2:6" ht="12.75" customHeight="1" x14ac:dyDescent="0.25">
      <c r="B925" s="99"/>
      <c r="E925" s="99"/>
      <c r="F925" s="99"/>
    </row>
    <row r="926" spans="2:6" ht="12.75" customHeight="1" x14ac:dyDescent="0.25">
      <c r="B926" s="99"/>
      <c r="E926" s="99"/>
      <c r="F926" s="99"/>
    </row>
    <row r="927" spans="2:6" ht="12.75" customHeight="1" x14ac:dyDescent="0.25">
      <c r="B927" s="99"/>
      <c r="E927" s="99"/>
      <c r="F927" s="99"/>
    </row>
    <row r="928" spans="2:6" ht="12.75" customHeight="1" x14ac:dyDescent="0.25">
      <c r="B928" s="99"/>
      <c r="E928" s="99"/>
      <c r="F928" s="99"/>
    </row>
    <row r="929" spans="2:6" ht="12.75" customHeight="1" x14ac:dyDescent="0.25">
      <c r="B929" s="99"/>
      <c r="E929" s="99"/>
      <c r="F929" s="99"/>
    </row>
    <row r="930" spans="2:6" ht="12.75" customHeight="1" x14ac:dyDescent="0.25">
      <c r="B930" s="99"/>
      <c r="E930" s="99"/>
      <c r="F930" s="99"/>
    </row>
    <row r="931" spans="2:6" ht="12.75" customHeight="1" x14ac:dyDescent="0.25">
      <c r="B931" s="99"/>
      <c r="E931" s="99"/>
      <c r="F931" s="99"/>
    </row>
    <row r="932" spans="2:6" ht="12.75" customHeight="1" x14ac:dyDescent="0.25">
      <c r="B932" s="99"/>
      <c r="E932" s="99"/>
      <c r="F932" s="99"/>
    </row>
    <row r="933" spans="2:6" ht="12.75" customHeight="1" x14ac:dyDescent="0.25">
      <c r="B933" s="99"/>
      <c r="E933" s="99"/>
      <c r="F933" s="99"/>
    </row>
    <row r="934" spans="2:6" ht="12.75" customHeight="1" x14ac:dyDescent="0.25">
      <c r="B934" s="99"/>
      <c r="E934" s="99"/>
      <c r="F934" s="99"/>
    </row>
    <row r="935" spans="2:6" ht="12.75" customHeight="1" x14ac:dyDescent="0.25">
      <c r="B935" s="99"/>
      <c r="E935" s="99"/>
      <c r="F935" s="99"/>
    </row>
    <row r="936" spans="2:6" ht="12.75" customHeight="1" x14ac:dyDescent="0.25">
      <c r="B936" s="99"/>
      <c r="E936" s="99"/>
      <c r="F936" s="99"/>
    </row>
    <row r="937" spans="2:6" ht="12.75" customHeight="1" x14ac:dyDescent="0.25">
      <c r="B937" s="99"/>
      <c r="E937" s="99"/>
      <c r="F937" s="99"/>
    </row>
    <row r="938" spans="2:6" ht="12.75" customHeight="1" x14ac:dyDescent="0.25">
      <c r="B938" s="99"/>
      <c r="E938" s="99"/>
      <c r="F938" s="99"/>
    </row>
    <row r="939" spans="2:6" ht="12.75" customHeight="1" x14ac:dyDescent="0.25">
      <c r="B939" s="99"/>
      <c r="E939" s="99"/>
      <c r="F939" s="99"/>
    </row>
    <row r="940" spans="2:6" ht="12.75" customHeight="1" x14ac:dyDescent="0.25">
      <c r="B940" s="99"/>
      <c r="E940" s="99"/>
      <c r="F940" s="99"/>
    </row>
    <row r="941" spans="2:6" ht="12.75" customHeight="1" x14ac:dyDescent="0.25">
      <c r="B941" s="99"/>
      <c r="E941" s="99"/>
      <c r="F941" s="99"/>
    </row>
    <row r="942" spans="2:6" ht="12.75" customHeight="1" x14ac:dyDescent="0.25">
      <c r="B942" s="99"/>
      <c r="E942" s="99"/>
      <c r="F942" s="99"/>
    </row>
    <row r="943" spans="2:6" ht="12.75" customHeight="1" x14ac:dyDescent="0.25">
      <c r="B943" s="99"/>
      <c r="E943" s="99"/>
      <c r="F943" s="99"/>
    </row>
    <row r="944" spans="2:6" ht="12.75" customHeight="1" x14ac:dyDescent="0.25">
      <c r="B944" s="99"/>
      <c r="E944" s="99"/>
      <c r="F944" s="99"/>
    </row>
    <row r="945" spans="2:6" ht="12.75" customHeight="1" x14ac:dyDescent="0.25">
      <c r="B945" s="99"/>
      <c r="E945" s="99"/>
      <c r="F945" s="99"/>
    </row>
    <row r="946" spans="2:6" ht="12.75" customHeight="1" x14ac:dyDescent="0.25">
      <c r="B946" s="99"/>
      <c r="E946" s="99"/>
      <c r="F946" s="99"/>
    </row>
    <row r="947" spans="2:6" ht="12.75" customHeight="1" x14ac:dyDescent="0.25">
      <c r="B947" s="99"/>
      <c r="E947" s="99"/>
      <c r="F947" s="99"/>
    </row>
    <row r="948" spans="2:6" ht="12.75" customHeight="1" x14ac:dyDescent="0.25">
      <c r="B948" s="99"/>
      <c r="E948" s="99"/>
      <c r="F948" s="99"/>
    </row>
    <row r="949" spans="2:6" ht="12.75" customHeight="1" x14ac:dyDescent="0.25">
      <c r="B949" s="99"/>
      <c r="E949" s="99"/>
      <c r="F949" s="99"/>
    </row>
    <row r="950" spans="2:6" ht="12.75" customHeight="1" x14ac:dyDescent="0.25">
      <c r="B950" s="99"/>
      <c r="E950" s="99"/>
      <c r="F950" s="99"/>
    </row>
    <row r="951" spans="2:6" ht="12.75" customHeight="1" x14ac:dyDescent="0.25">
      <c r="B951" s="99"/>
      <c r="E951" s="99"/>
      <c r="F951" s="99"/>
    </row>
    <row r="952" spans="2:6" ht="12.75" customHeight="1" x14ac:dyDescent="0.25">
      <c r="B952" s="99"/>
      <c r="E952" s="99"/>
      <c r="F952" s="99"/>
    </row>
    <row r="953" spans="2:6" ht="12.75" customHeight="1" x14ac:dyDescent="0.25">
      <c r="B953" s="99"/>
      <c r="E953" s="99"/>
      <c r="F953" s="99"/>
    </row>
    <row r="954" spans="2:6" ht="12.75" customHeight="1" x14ac:dyDescent="0.25">
      <c r="B954" s="99"/>
      <c r="E954" s="99"/>
      <c r="F954" s="99"/>
    </row>
    <row r="955" spans="2:6" ht="12.75" customHeight="1" x14ac:dyDescent="0.25">
      <c r="B955" s="99"/>
      <c r="E955" s="99"/>
      <c r="F955" s="99"/>
    </row>
    <row r="956" spans="2:6" ht="12.75" customHeight="1" x14ac:dyDescent="0.25">
      <c r="B956" s="99"/>
      <c r="E956" s="99"/>
      <c r="F956" s="99"/>
    </row>
    <row r="957" spans="2:6" ht="12.75" customHeight="1" x14ac:dyDescent="0.25">
      <c r="B957" s="99"/>
      <c r="E957" s="99"/>
      <c r="F957" s="99"/>
    </row>
    <row r="958" spans="2:6" ht="12.75" customHeight="1" x14ac:dyDescent="0.25">
      <c r="B958" s="99"/>
      <c r="E958" s="99"/>
      <c r="F958" s="99"/>
    </row>
    <row r="959" spans="2:6" ht="12.75" customHeight="1" x14ac:dyDescent="0.25">
      <c r="B959" s="99"/>
      <c r="E959" s="99"/>
      <c r="F959" s="99"/>
    </row>
    <row r="960" spans="2:6" ht="12.75" customHeight="1" x14ac:dyDescent="0.25">
      <c r="B960" s="99"/>
      <c r="E960" s="99"/>
      <c r="F960" s="99"/>
    </row>
    <row r="961" spans="2:6" ht="12.75" customHeight="1" x14ac:dyDescent="0.25">
      <c r="B961" s="99"/>
      <c r="E961" s="99"/>
      <c r="F961" s="99"/>
    </row>
    <row r="962" spans="2:6" ht="12.75" customHeight="1" x14ac:dyDescent="0.25">
      <c r="B962" s="99"/>
      <c r="E962" s="99"/>
      <c r="F962" s="99"/>
    </row>
    <row r="963" spans="2:6" ht="12.75" customHeight="1" x14ac:dyDescent="0.25">
      <c r="B963" s="99"/>
      <c r="E963" s="99"/>
      <c r="F963" s="99"/>
    </row>
    <row r="964" spans="2:6" ht="12.75" customHeight="1" x14ac:dyDescent="0.25">
      <c r="B964" s="99"/>
      <c r="E964" s="99"/>
      <c r="F964" s="99"/>
    </row>
    <row r="965" spans="2:6" ht="12.75" customHeight="1" x14ac:dyDescent="0.25">
      <c r="B965" s="99"/>
      <c r="E965" s="99"/>
      <c r="F965" s="99"/>
    </row>
    <row r="966" spans="2:6" ht="12.75" customHeight="1" x14ac:dyDescent="0.25">
      <c r="B966" s="99"/>
      <c r="E966" s="99"/>
      <c r="F966" s="99"/>
    </row>
    <row r="967" spans="2:6" ht="12.75" customHeight="1" x14ac:dyDescent="0.25">
      <c r="B967" s="99"/>
      <c r="E967" s="99"/>
      <c r="F967" s="99"/>
    </row>
    <row r="968" spans="2:6" ht="12.75" customHeight="1" x14ac:dyDescent="0.25">
      <c r="B968" s="99"/>
      <c r="E968" s="99"/>
      <c r="F968" s="99"/>
    </row>
    <row r="969" spans="2:6" ht="12.75" customHeight="1" x14ac:dyDescent="0.25">
      <c r="B969" s="99"/>
      <c r="E969" s="99"/>
      <c r="F969" s="99"/>
    </row>
    <row r="970" spans="2:6" ht="12.75" customHeight="1" x14ac:dyDescent="0.25">
      <c r="B970" s="99"/>
      <c r="E970" s="99"/>
      <c r="F970" s="99"/>
    </row>
    <row r="971" spans="2:6" ht="12.75" customHeight="1" x14ac:dyDescent="0.25">
      <c r="B971" s="99"/>
      <c r="E971" s="99"/>
      <c r="F971" s="99"/>
    </row>
    <row r="972" spans="2:6" ht="12.75" customHeight="1" x14ac:dyDescent="0.25">
      <c r="B972" s="99"/>
      <c r="E972" s="99"/>
      <c r="F972" s="99"/>
    </row>
    <row r="973" spans="2:6" ht="12.75" customHeight="1" x14ac:dyDescent="0.25">
      <c r="B973" s="99"/>
      <c r="E973" s="99"/>
      <c r="F973" s="99"/>
    </row>
  </sheetData>
  <mergeCells count="5">
    <mergeCell ref="AL2:AM2"/>
    <mergeCell ref="R25:U25"/>
    <mergeCell ref="R26:U26"/>
    <mergeCell ref="B2:H3"/>
    <mergeCell ref="B35:F35"/>
  </mergeCells>
  <printOptions horizontalCentered="1"/>
  <pageMargins left="0.5" right="0.5" top="1" bottom="0.5" header="0.3" footer="0.511811023622047"/>
  <pageSetup paperSize="9" scale="28" orientation="portrait" r:id="rId1"/>
  <legacyDrawing r:id="rId2"/>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rgb="FFA6A6A6"/>
    <pageSetUpPr fitToPage="1"/>
  </sheetPr>
  <dimension ref="A1:AG138"/>
  <sheetViews>
    <sheetView topLeftCell="A7" zoomScale="70" zoomScaleNormal="70" workbookViewId="0">
      <selection activeCell="T95" sqref="T95"/>
    </sheetView>
  </sheetViews>
  <sheetFormatPr defaultColWidth="12.5" defaultRowHeight="14" x14ac:dyDescent="0.3"/>
  <cols>
    <col min="1" max="1" width="16.33203125" style="1" customWidth="1"/>
    <col min="2" max="2" width="36.75" customWidth="1"/>
    <col min="3" max="3" width="16.9140625" customWidth="1"/>
    <col min="4" max="4" width="19" customWidth="1"/>
    <col min="5" max="5" width="16.1640625" customWidth="1"/>
    <col min="6" max="6" width="23.08203125" customWidth="1"/>
    <col min="7" max="7" width="25.1640625" customWidth="1"/>
    <col min="8" max="8" width="25.5" customWidth="1"/>
    <col min="9" max="9" width="18" customWidth="1"/>
    <col min="12" max="12" width="8.33203125" customWidth="1"/>
    <col min="13" max="16" width="5.4140625" customWidth="1"/>
    <col min="18" max="18" width="32" customWidth="1"/>
    <col min="23" max="23" width="8.6640625" customWidth="1"/>
    <col min="24" max="24" width="31.6640625" customWidth="1"/>
    <col min="28" max="29" width="12.5" style="761"/>
  </cols>
  <sheetData>
    <row r="1" spans="1:33" ht="24" customHeight="1" x14ac:dyDescent="0.3">
      <c r="A1" s="79" t="s">
        <v>235</v>
      </c>
      <c r="B1" s="80">
        <v>1000</v>
      </c>
      <c r="C1" s="88" t="s">
        <v>317</v>
      </c>
      <c r="D1" s="89">
        <f>$S$30/J1</f>
        <v>26841.269841269841</v>
      </c>
      <c r="E1" s="90" t="s">
        <v>240</v>
      </c>
      <c r="F1" s="91" t="s">
        <v>318</v>
      </c>
      <c r="G1" s="90" t="s">
        <v>319</v>
      </c>
      <c r="H1" s="304">
        <f>H52</f>
        <v>16.91</v>
      </c>
      <c r="I1" s="92" t="s">
        <v>242</v>
      </c>
      <c r="J1" s="305">
        <v>0.63</v>
      </c>
      <c r="K1" s="99"/>
      <c r="Y1" s="90" t="s">
        <v>463</v>
      </c>
      <c r="Z1" s="835">
        <v>16410</v>
      </c>
      <c r="AA1" s="90" t="s">
        <v>578</v>
      </c>
      <c r="AB1" s="835">
        <v>500</v>
      </c>
      <c r="AC1" s="90" t="s">
        <v>567</v>
      </c>
      <c r="AD1" s="835">
        <v>114</v>
      </c>
    </row>
    <row r="2" spans="1:33" ht="12.75" customHeight="1" x14ac:dyDescent="0.3">
      <c r="A2" s="264"/>
      <c r="B2" s="1450" t="s">
        <v>428</v>
      </c>
      <c r="C2" s="1458"/>
      <c r="D2" s="1458"/>
      <c r="E2" s="1458"/>
      <c r="F2" s="1458"/>
      <c r="G2" s="1458"/>
      <c r="H2" s="1458"/>
      <c r="I2" s="1458"/>
      <c r="J2" s="1458"/>
      <c r="K2" s="1458"/>
      <c r="L2" s="292"/>
      <c r="M2" s="99"/>
      <c r="N2" s="99"/>
      <c r="AE2" s="1433"/>
      <c r="AF2" s="1458"/>
      <c r="AG2" s="1458"/>
    </row>
    <row r="3" spans="1:33" ht="12.75" customHeight="1" x14ac:dyDescent="0.3">
      <c r="A3" s="264"/>
      <c r="B3" s="1444"/>
      <c r="C3" s="1444"/>
      <c r="D3" s="1444"/>
      <c r="E3" s="1444"/>
      <c r="F3" s="1444"/>
      <c r="G3" s="1444"/>
      <c r="H3" s="1444"/>
      <c r="I3" s="1444"/>
      <c r="J3" s="1444"/>
      <c r="K3" s="1444"/>
      <c r="L3" s="292"/>
      <c r="M3" s="99"/>
      <c r="N3" s="99"/>
      <c r="AE3" s="1458"/>
      <c r="AF3" s="1458"/>
      <c r="AG3" s="1458"/>
    </row>
    <row r="4" spans="1:33" ht="46.5" customHeight="1" x14ac:dyDescent="0.3">
      <c r="A4" s="90" t="s">
        <v>1</v>
      </c>
      <c r="B4" s="90" t="s">
        <v>245</v>
      </c>
      <c r="C4" s="306" t="s">
        <v>321</v>
      </c>
      <c r="D4" s="90" t="s">
        <v>322</v>
      </c>
      <c r="E4" s="107" t="s">
        <v>323</v>
      </c>
      <c r="F4" s="107" t="s">
        <v>324</v>
      </c>
      <c r="G4" s="307" t="s">
        <v>325</v>
      </c>
      <c r="H4" s="108" t="s">
        <v>326</v>
      </c>
      <c r="I4" s="90" t="s">
        <v>250</v>
      </c>
      <c r="J4" s="90" t="s">
        <v>251</v>
      </c>
      <c r="K4" s="90" t="s">
        <v>252</v>
      </c>
      <c r="L4" s="90" t="s">
        <v>253</v>
      </c>
    </row>
    <row r="5" spans="1:33" ht="14.25" customHeight="1" x14ac:dyDescent="0.3">
      <c r="A5" s="157" t="s">
        <v>225</v>
      </c>
      <c r="B5" s="491" t="s">
        <v>224</v>
      </c>
      <c r="C5" s="123" t="s">
        <v>14</v>
      </c>
      <c r="D5" s="115">
        <f>I51/H51</f>
        <v>1587.3015873015872</v>
      </c>
      <c r="E5" s="115">
        <f>I52/D5</f>
        <v>16.91</v>
      </c>
      <c r="F5" s="126">
        <v>1</v>
      </c>
      <c r="G5" s="118">
        <f t="shared" ref="G5:G17" si="0">D5*E5</f>
        <v>26841.269841269841</v>
      </c>
      <c r="H5" s="119">
        <f>D1</f>
        <v>26841.269841269841</v>
      </c>
      <c r="I5" s="80">
        <f>VLOOKUP(B5,All_Ingredients!$A$1:$F$149,6,FALSE())</f>
        <v>0.86</v>
      </c>
      <c r="J5" s="118">
        <f>VLOOKUP(B5,All_Ingredients!$A$1:$J$149,10,FALSE())</f>
        <v>17.100000000000001</v>
      </c>
      <c r="K5" s="121">
        <f t="shared" ref="K5" si="1">(H5/I5)/1000</f>
        <v>31.210778885197492</v>
      </c>
      <c r="L5" s="121">
        <f t="shared" ref="L5" si="2">K5*J5</f>
        <v>533.70431893687714</v>
      </c>
    </row>
    <row r="6" spans="1:33" ht="14.25" customHeight="1" x14ac:dyDescent="0.3">
      <c r="A6" s="269" t="s">
        <v>95</v>
      </c>
      <c r="B6" s="22" t="s">
        <v>137</v>
      </c>
      <c r="C6" s="123" t="s">
        <v>14</v>
      </c>
      <c r="D6" s="124">
        <v>35</v>
      </c>
      <c r="E6" s="115">
        <f t="shared" ref="E6:E17" si="3">$H$52</f>
        <v>16.91</v>
      </c>
      <c r="F6" s="126">
        <v>0.5</v>
      </c>
      <c r="G6" s="118">
        <f t="shared" si="0"/>
        <v>591.85</v>
      </c>
      <c r="H6" s="119">
        <f t="shared" ref="H6:H17" si="4">G6*F6</f>
        <v>295.92500000000001</v>
      </c>
      <c r="I6" s="80">
        <f>VLOOKUP(B6,All_Ingredients!$A$1:$F$149,6,FALSE())</f>
        <v>1</v>
      </c>
      <c r="J6" s="118">
        <f>VLOOKUP(B6,All_Ingredients!$A$1:$J$149,10,FALSE())</f>
        <v>43.75</v>
      </c>
      <c r="K6" s="121">
        <f t="shared" ref="K6:K17" si="5">(H6/I6)/1000</f>
        <v>0.29592499999999999</v>
      </c>
      <c r="L6" s="121">
        <f t="shared" ref="L6:L17" si="6">K6*J6</f>
        <v>12.94671875</v>
      </c>
    </row>
    <row r="7" spans="1:33" ht="14.25" customHeight="1" x14ac:dyDescent="0.3">
      <c r="A7" s="269" t="s">
        <v>95</v>
      </c>
      <c r="B7" s="22" t="s">
        <v>106</v>
      </c>
      <c r="C7" s="123" t="s">
        <v>14</v>
      </c>
      <c r="D7" s="124">
        <v>20</v>
      </c>
      <c r="E7" s="115">
        <f t="shared" si="3"/>
        <v>16.91</v>
      </c>
      <c r="F7" s="126">
        <v>0.7</v>
      </c>
      <c r="G7" s="118">
        <f t="shared" si="0"/>
        <v>338.2</v>
      </c>
      <c r="H7" s="119">
        <f t="shared" si="4"/>
        <v>236.73999999999998</v>
      </c>
      <c r="I7" s="80">
        <f>VLOOKUP(B7,All_Ingredients!$A$1:$F$149,6,FALSE())</f>
        <v>1</v>
      </c>
      <c r="J7" s="118">
        <f>VLOOKUP(B7,All_Ingredients!$A$1:$J$149,10,FALSE())</f>
        <v>15</v>
      </c>
      <c r="K7" s="121">
        <f t="shared" si="5"/>
        <v>0.23673999999999998</v>
      </c>
      <c r="L7" s="121">
        <f t="shared" si="6"/>
        <v>3.5510999999999995</v>
      </c>
    </row>
    <row r="8" spans="1:33" ht="14.25" customHeight="1" x14ac:dyDescent="0.3">
      <c r="A8" s="269" t="s">
        <v>95</v>
      </c>
      <c r="B8" s="293" t="s">
        <v>140</v>
      </c>
      <c r="C8" s="123" t="s">
        <v>14</v>
      </c>
      <c r="D8" s="124">
        <v>20</v>
      </c>
      <c r="E8" s="115">
        <f t="shared" si="3"/>
        <v>16.91</v>
      </c>
      <c r="F8" s="126">
        <v>0.75</v>
      </c>
      <c r="G8" s="118">
        <f t="shared" si="0"/>
        <v>338.2</v>
      </c>
      <c r="H8" s="119">
        <f t="shared" si="4"/>
        <v>253.64999999999998</v>
      </c>
      <c r="I8" s="80">
        <f>VLOOKUP(B8,All_Ingredients!$A$1:$F$149,6,FALSE())</f>
        <v>1</v>
      </c>
      <c r="J8" s="118">
        <f>VLOOKUP(B8,All_Ingredients!$A$1:$J$149,10,FALSE())</f>
        <v>15.277777777777779</v>
      </c>
      <c r="K8" s="121">
        <f t="shared" si="5"/>
        <v>0.25364999999999999</v>
      </c>
      <c r="L8" s="121">
        <f t="shared" si="6"/>
        <v>3.8752083333333331</v>
      </c>
    </row>
    <row r="9" spans="1:33" ht="14.25" customHeight="1" x14ac:dyDescent="0.3">
      <c r="A9" s="269" t="s">
        <v>95</v>
      </c>
      <c r="B9" s="22" t="s">
        <v>108</v>
      </c>
      <c r="C9" s="123" t="s">
        <v>14</v>
      </c>
      <c r="D9" s="124">
        <v>20</v>
      </c>
      <c r="E9" s="115">
        <f t="shared" si="3"/>
        <v>16.91</v>
      </c>
      <c r="F9" s="126">
        <v>0.7</v>
      </c>
      <c r="G9" s="118">
        <f t="shared" si="0"/>
        <v>338.2</v>
      </c>
      <c r="H9" s="119">
        <f t="shared" si="4"/>
        <v>236.73999999999998</v>
      </c>
      <c r="I9" s="80">
        <f>VLOOKUP(B9,All_Ingredients!$A$1:$F$149,6,FALSE())</f>
        <v>1</v>
      </c>
      <c r="J9" s="118">
        <f>VLOOKUP(B9,All_Ingredients!$A$1:$J$149,10,FALSE())</f>
        <v>8</v>
      </c>
      <c r="K9" s="121">
        <f t="shared" si="5"/>
        <v>0.23673999999999998</v>
      </c>
      <c r="L9" s="121">
        <f t="shared" si="6"/>
        <v>1.8939199999999998</v>
      </c>
    </row>
    <row r="10" spans="1:33" ht="14.25" customHeight="1" x14ac:dyDescent="0.3">
      <c r="A10" s="269" t="s">
        <v>192</v>
      </c>
      <c r="B10" s="293" t="s">
        <v>731</v>
      </c>
      <c r="C10" s="123" t="s">
        <v>14</v>
      </c>
      <c r="D10" s="124">
        <v>70</v>
      </c>
      <c r="E10" s="115">
        <f t="shared" si="3"/>
        <v>16.91</v>
      </c>
      <c r="F10" s="126">
        <v>0.6</v>
      </c>
      <c r="G10" s="118">
        <f t="shared" si="0"/>
        <v>1183.7</v>
      </c>
      <c r="H10" s="119">
        <f t="shared" si="4"/>
        <v>710.22</v>
      </c>
      <c r="I10" s="80">
        <f>VLOOKUP(B10,All_Ingredients!$A$1:$F$149,6,FALSE())</f>
        <v>1</v>
      </c>
      <c r="J10" s="118">
        <f>VLOOKUP(B10,All_Ingredients!$A$1:$J$149,10,FALSE())</f>
        <v>8.1520833333333336</v>
      </c>
      <c r="K10" s="121">
        <f t="shared" si="5"/>
        <v>0.71022000000000007</v>
      </c>
      <c r="L10" s="121">
        <f t="shared" si="6"/>
        <v>5.7897726250000003</v>
      </c>
    </row>
    <row r="11" spans="1:33" ht="14.25" customHeight="1" x14ac:dyDescent="0.3">
      <c r="A11" s="269" t="s">
        <v>13</v>
      </c>
      <c r="B11" s="22" t="s">
        <v>17</v>
      </c>
      <c r="C11" s="123" t="s">
        <v>14</v>
      </c>
      <c r="D11" s="124">
        <v>100</v>
      </c>
      <c r="E11" s="115">
        <f t="shared" si="3"/>
        <v>16.91</v>
      </c>
      <c r="F11" s="126">
        <v>1</v>
      </c>
      <c r="G11" s="118">
        <f t="shared" si="0"/>
        <v>1691</v>
      </c>
      <c r="H11" s="119">
        <f t="shared" si="4"/>
        <v>1691</v>
      </c>
      <c r="I11" s="80">
        <f>VLOOKUP(B11,All_Ingredients!$A$1:$F$149,6,FALSE())</f>
        <v>0.98</v>
      </c>
      <c r="J11" s="118">
        <f>VLOOKUP(B11,All_Ingredients!$A$1:$J$149,10,FALSE())</f>
        <v>3.5</v>
      </c>
      <c r="K11" s="121">
        <f t="shared" si="5"/>
        <v>1.7255102040816328</v>
      </c>
      <c r="L11" s="121">
        <f t="shared" si="6"/>
        <v>6.0392857142857146</v>
      </c>
    </row>
    <row r="12" spans="1:33" ht="14.25" customHeight="1" x14ac:dyDescent="0.3">
      <c r="A12" s="269" t="s">
        <v>95</v>
      </c>
      <c r="B12" s="22" t="s">
        <v>94</v>
      </c>
      <c r="C12" s="123" t="s">
        <v>14</v>
      </c>
      <c r="D12" s="124">
        <v>10</v>
      </c>
      <c r="E12" s="115">
        <f t="shared" si="3"/>
        <v>16.91</v>
      </c>
      <c r="F12" s="126">
        <v>0.75</v>
      </c>
      <c r="G12" s="118">
        <f t="shared" si="0"/>
        <v>169.1</v>
      </c>
      <c r="H12" s="119">
        <f t="shared" si="4"/>
        <v>126.82499999999999</v>
      </c>
      <c r="I12" s="80">
        <f>VLOOKUP(B12,All_Ingredients!$A$1:$F$149,6,FALSE())</f>
        <v>1</v>
      </c>
      <c r="J12" s="118">
        <f>VLOOKUP(B12,All_Ingredients!$A$1:$J$149,10,FALSE())</f>
        <v>0.74</v>
      </c>
      <c r="K12" s="121">
        <f t="shared" si="5"/>
        <v>0.12682499999999999</v>
      </c>
      <c r="L12" s="121">
        <f t="shared" si="6"/>
        <v>9.3850499999999989E-2</v>
      </c>
    </row>
    <row r="13" spans="1:33" ht="14.25" customHeight="1" x14ac:dyDescent="0.3">
      <c r="A13" s="269" t="s">
        <v>13</v>
      </c>
      <c r="B13" s="22" t="s">
        <v>762</v>
      </c>
      <c r="C13" s="123" t="s">
        <v>14</v>
      </c>
      <c r="D13" s="124">
        <v>10</v>
      </c>
      <c r="E13" s="115">
        <f t="shared" si="3"/>
        <v>16.91</v>
      </c>
      <c r="F13" s="126">
        <v>0.5</v>
      </c>
      <c r="G13" s="118">
        <f t="shared" si="0"/>
        <v>169.1</v>
      </c>
      <c r="H13" s="119">
        <f t="shared" si="4"/>
        <v>84.55</v>
      </c>
      <c r="I13" s="80">
        <f>VLOOKUP(B13,All_Ingredients!$A$1:$F$149,6,FALSE())</f>
        <v>1</v>
      </c>
      <c r="J13" s="118">
        <f>VLOOKUP(B13,All_Ingredients!$A$1:$J$149,10,FALSE())</f>
        <v>10.5</v>
      </c>
      <c r="K13" s="121">
        <f t="shared" si="5"/>
        <v>8.455E-2</v>
      </c>
      <c r="L13" s="121">
        <f t="shared" si="6"/>
        <v>0.88777499999999998</v>
      </c>
    </row>
    <row r="14" spans="1:33" ht="14.25" customHeight="1" x14ac:dyDescent="0.3">
      <c r="A14" s="269" t="s">
        <v>62</v>
      </c>
      <c r="B14" s="22" t="s">
        <v>61</v>
      </c>
      <c r="C14" s="123" t="s">
        <v>14</v>
      </c>
      <c r="D14" s="124">
        <v>15</v>
      </c>
      <c r="E14" s="115">
        <f t="shared" si="3"/>
        <v>16.91</v>
      </c>
      <c r="F14" s="273">
        <v>0.6</v>
      </c>
      <c r="G14" s="118">
        <f t="shared" si="0"/>
        <v>253.65</v>
      </c>
      <c r="H14" s="119">
        <f t="shared" si="4"/>
        <v>152.19</v>
      </c>
      <c r="I14" s="80">
        <f>VLOOKUP(B14,All_Ingredients!$A$1:$F$149,6,FALSE())</f>
        <v>0.94</v>
      </c>
      <c r="J14" s="118">
        <f>VLOOKUP(B14,All_Ingredients!$A$1:$J$149,10,FALSE())</f>
        <v>3.6363636363636367</v>
      </c>
      <c r="K14" s="121">
        <f t="shared" si="5"/>
        <v>0.16190425531914895</v>
      </c>
      <c r="L14" s="121">
        <f t="shared" si="6"/>
        <v>0.58874274661508719</v>
      </c>
    </row>
    <row r="15" spans="1:33" ht="15" customHeight="1" x14ac:dyDescent="0.3">
      <c r="A15" s="269" t="s">
        <v>13</v>
      </c>
      <c r="B15" s="22" t="s">
        <v>32</v>
      </c>
      <c r="C15" s="123" t="s">
        <v>14</v>
      </c>
      <c r="D15" s="124">
        <v>50</v>
      </c>
      <c r="E15" s="115">
        <f t="shared" si="3"/>
        <v>16.91</v>
      </c>
      <c r="F15" s="126">
        <v>1</v>
      </c>
      <c r="G15" s="118">
        <f t="shared" si="0"/>
        <v>845.5</v>
      </c>
      <c r="H15" s="119">
        <f t="shared" si="4"/>
        <v>845.5</v>
      </c>
      <c r="I15" s="80">
        <f>VLOOKUP(B15,All_Ingredients!$A$1:$F$149,6,FALSE())</f>
        <v>0.69</v>
      </c>
      <c r="J15" s="118">
        <f>VLOOKUP(B15,All_Ingredients!$A$1:$J$149,10,FALSE())</f>
        <v>4</v>
      </c>
      <c r="K15" s="121">
        <f t="shared" si="5"/>
        <v>1.2253623188405798</v>
      </c>
      <c r="L15" s="121">
        <f t="shared" si="6"/>
        <v>4.9014492753623191</v>
      </c>
    </row>
    <row r="16" spans="1:33" ht="14.25" customHeight="1" x14ac:dyDescent="0.3">
      <c r="A16" s="269" t="s">
        <v>56</v>
      </c>
      <c r="B16" s="22" t="s">
        <v>55</v>
      </c>
      <c r="C16" s="123" t="s">
        <v>14</v>
      </c>
      <c r="D16" s="124">
        <v>30</v>
      </c>
      <c r="E16" s="115">
        <f t="shared" si="3"/>
        <v>16.91</v>
      </c>
      <c r="F16" s="126">
        <v>0.25</v>
      </c>
      <c r="G16" s="118">
        <f t="shared" si="0"/>
        <v>507.3</v>
      </c>
      <c r="H16" s="119">
        <f t="shared" si="4"/>
        <v>126.825</v>
      </c>
      <c r="I16" s="80">
        <f>VLOOKUP(B16,All_Ingredients!$A$1:$F$149,6,FALSE())</f>
        <v>0.87</v>
      </c>
      <c r="J16" s="118">
        <f>VLOOKUP(B16,All_Ingredients!$A$1:$J$149,10,FALSE())</f>
        <v>7</v>
      </c>
      <c r="K16" s="121">
        <f t="shared" si="5"/>
        <v>0.14577586206896553</v>
      </c>
      <c r="L16" s="121">
        <f t="shared" si="6"/>
        <v>1.0204310344827587</v>
      </c>
    </row>
    <row r="17" spans="1:29" ht="14.25" customHeight="1" x14ac:dyDescent="0.3">
      <c r="A17" s="269" t="s">
        <v>206</v>
      </c>
      <c r="B17" s="293" t="s">
        <v>205</v>
      </c>
      <c r="C17" s="123" t="s">
        <v>161</v>
      </c>
      <c r="D17" s="124">
        <v>350</v>
      </c>
      <c r="E17" s="115">
        <f t="shared" si="3"/>
        <v>16.91</v>
      </c>
      <c r="F17" s="126">
        <v>1</v>
      </c>
      <c r="G17" s="118">
        <f t="shared" si="0"/>
        <v>5918.5</v>
      </c>
      <c r="H17" s="119">
        <f t="shared" si="4"/>
        <v>5918.5</v>
      </c>
      <c r="I17" s="80">
        <f>VLOOKUP(B17,All_Ingredients!$A$1:$F$149,6,FALSE())</f>
        <v>1</v>
      </c>
      <c r="J17" s="118">
        <f>VLOOKUP(B17,All_Ingredients!$A$1:$J$149,10,FALSE())</f>
        <v>0</v>
      </c>
      <c r="K17" s="121">
        <f t="shared" si="5"/>
        <v>5.9184999999999999</v>
      </c>
      <c r="L17" s="121">
        <f t="shared" si="6"/>
        <v>0</v>
      </c>
    </row>
    <row r="18" spans="1:29" ht="14.25" customHeight="1" x14ac:dyDescent="0.3">
      <c r="A18" s="99"/>
      <c r="B18" s="99"/>
      <c r="C18" s="99"/>
      <c r="D18" s="99"/>
      <c r="E18" s="99"/>
      <c r="F18" s="99"/>
      <c r="L18" s="208"/>
    </row>
    <row r="19" spans="1:29" ht="14.25" customHeight="1" x14ac:dyDescent="0.3">
      <c r="A19" s="99"/>
      <c r="B19" s="99"/>
      <c r="C19" s="99"/>
      <c r="D19" s="99"/>
      <c r="E19" s="99"/>
      <c r="F19" s="99"/>
      <c r="L19" s="208"/>
    </row>
    <row r="20" spans="1:29" ht="14.25" customHeight="1" x14ac:dyDescent="0.3">
      <c r="A20" s="99"/>
      <c r="B20" s="99"/>
      <c r="C20" s="99"/>
      <c r="D20" s="99"/>
      <c r="E20" s="99"/>
      <c r="F20" s="99"/>
      <c r="L20" s="208"/>
    </row>
    <row r="21" spans="1:29" ht="14.25" customHeight="1" x14ac:dyDescent="0.3">
      <c r="A21" s="99"/>
      <c r="F21" s="99"/>
      <c r="L21" s="208"/>
    </row>
    <row r="22" spans="1:29" ht="14.25" customHeight="1" x14ac:dyDescent="0.3">
      <c r="A22" s="99"/>
      <c r="F22" s="99"/>
      <c r="L22" s="208"/>
    </row>
    <row r="23" spans="1:29" ht="14.25" customHeight="1" x14ac:dyDescent="0.3">
      <c r="A23" s="99"/>
      <c r="F23" s="99"/>
    </row>
    <row r="24" spans="1:29" ht="14.25" customHeight="1" x14ac:dyDescent="0.3">
      <c r="A24" s="99"/>
      <c r="F24" s="99"/>
      <c r="Z24" s="1265"/>
    </row>
    <row r="25" spans="1:29" ht="15.75" customHeight="1" x14ac:dyDescent="0.35">
      <c r="A25" s="99"/>
      <c r="F25" s="99"/>
      <c r="R25" s="1528" t="str">
        <f>B2</f>
        <v>Chicken Makloba - مقلوبة دجاج</v>
      </c>
      <c r="S25" s="1516"/>
      <c r="T25" s="1516"/>
      <c r="U25" s="1194"/>
      <c r="Z25" s="140" t="s">
        <v>256</v>
      </c>
      <c r="AA25" s="141">
        <v>1</v>
      </c>
      <c r="AB25" s="140" t="s">
        <v>253</v>
      </c>
      <c r="AC25" s="142">
        <f>AC30*AA25</f>
        <v>3.402084996546164E-2</v>
      </c>
    </row>
    <row r="26" spans="1:29" ht="14.25" customHeight="1" x14ac:dyDescent="0.3">
      <c r="A26" s="99"/>
      <c r="F26" s="99"/>
      <c r="R26" s="1445" t="s">
        <v>328</v>
      </c>
      <c r="S26" s="1521"/>
      <c r="T26" s="1521"/>
      <c r="U26" s="1194"/>
      <c r="AB26" s="14"/>
      <c r="AC26" s="14"/>
    </row>
    <row r="27" spans="1:29" ht="14.25" customHeight="1" thickBot="1" x14ac:dyDescent="0.35">
      <c r="F27" s="99"/>
      <c r="R27" s="144" t="s">
        <v>258</v>
      </c>
      <c r="S27" s="145" t="s">
        <v>259</v>
      </c>
      <c r="T27" s="145" t="s">
        <v>261</v>
      </c>
      <c r="U27" s="145" t="s">
        <v>817</v>
      </c>
      <c r="Z27" s="140" t="s">
        <v>262</v>
      </c>
      <c r="AA27" s="146" t="s">
        <v>263</v>
      </c>
      <c r="AB27" s="1167" t="s">
        <v>817</v>
      </c>
      <c r="AC27" s="146" t="s">
        <v>266</v>
      </c>
    </row>
    <row r="28" spans="1:29" ht="14.25" customHeight="1" thickBot="1" x14ac:dyDescent="0.35">
      <c r="B28" s="99"/>
      <c r="E28" s="99"/>
      <c r="F28" s="99"/>
      <c r="R28" s="147" t="s">
        <v>329</v>
      </c>
      <c r="S28" s="760">
        <f>$Z$1</f>
        <v>16410</v>
      </c>
      <c r="T28" s="754">
        <f>S28</f>
        <v>16410</v>
      </c>
      <c r="U28" s="148">
        <f>SUM(H37)</f>
        <v>0</v>
      </c>
      <c r="Z28" s="150"/>
      <c r="AA28" s="151">
        <f>AA25*$S$40</f>
        <v>1</v>
      </c>
      <c r="AB28" s="1169"/>
      <c r="AC28" s="153">
        <f>SUM(AA28:AB28)</f>
        <v>1</v>
      </c>
    </row>
    <row r="29" spans="1:29" ht="14.25" customHeight="1" thickBot="1" x14ac:dyDescent="0.35">
      <c r="B29" s="99"/>
      <c r="E29" s="99"/>
      <c r="F29" s="99"/>
      <c r="R29" s="147" t="s">
        <v>330</v>
      </c>
      <c r="S29" s="1329">
        <f>$AB$1</f>
        <v>500</v>
      </c>
      <c r="T29" s="756">
        <f>S29</f>
        <v>500</v>
      </c>
      <c r="U29" s="154"/>
      <c r="Z29" s="150"/>
      <c r="AA29" s="155">
        <v>1</v>
      </c>
      <c r="AB29" s="1173"/>
      <c r="AC29" s="155">
        <f>AC28/$AC$28</f>
        <v>1</v>
      </c>
    </row>
    <row r="30" spans="1:29" ht="14.25" customHeight="1" thickBot="1" x14ac:dyDescent="0.35">
      <c r="B30" s="99"/>
      <c r="E30" s="99"/>
      <c r="F30" s="99"/>
      <c r="R30" s="159" t="s">
        <v>331</v>
      </c>
      <c r="S30" s="148">
        <f>S28+S29</f>
        <v>16910</v>
      </c>
      <c r="T30" s="148">
        <f>T28+T29</f>
        <v>16910</v>
      </c>
      <c r="U30" s="148">
        <f>U28+U29</f>
        <v>0</v>
      </c>
      <c r="Z30" s="140" t="s">
        <v>270</v>
      </c>
      <c r="AA30" s="156">
        <f>S33/(S30)</f>
        <v>3.402084996546164E-2</v>
      </c>
      <c r="AB30" s="1180">
        <f>U33/T30</f>
        <v>0</v>
      </c>
      <c r="AC30" s="158">
        <f>SUMPRODUCT(AA30:AB30,AA29:AB29)</f>
        <v>3.402084996546164E-2</v>
      </c>
    </row>
    <row r="31" spans="1:29" ht="14.25" customHeight="1" thickBot="1" x14ac:dyDescent="0.35">
      <c r="R31" s="160" t="s">
        <v>272</v>
      </c>
      <c r="S31" s="154"/>
      <c r="T31" s="154"/>
      <c r="U31" s="154"/>
    </row>
    <row r="32" spans="1:29" ht="14.25" customHeight="1" thickBot="1" x14ac:dyDescent="0.35">
      <c r="R32" s="161" t="s">
        <v>273</v>
      </c>
      <c r="S32" s="154"/>
      <c r="T32" s="154"/>
      <c r="U32" s="154"/>
    </row>
    <row r="33" spans="17:24" ht="14.25" customHeight="1" thickBot="1" x14ac:dyDescent="0.35">
      <c r="R33" s="162" t="s">
        <v>253</v>
      </c>
      <c r="S33" s="1125">
        <f>SUM(L5:L17)</f>
        <v>575.29257291595638</v>
      </c>
      <c r="T33" s="1184">
        <f>S33</f>
        <v>575.29257291595638</v>
      </c>
      <c r="U33" s="1125">
        <f>SUM(L37)</f>
        <v>0</v>
      </c>
    </row>
    <row r="40" spans="17:24" ht="14.25" customHeight="1" x14ac:dyDescent="0.3">
      <c r="Q40" s="14"/>
      <c r="R40" s="164" t="s">
        <v>332</v>
      </c>
      <c r="S40" s="238">
        <v>1</v>
      </c>
      <c r="X40" s="14"/>
    </row>
    <row r="41" spans="17:24" ht="14.25" customHeight="1" x14ac:dyDescent="0.3">
      <c r="Q41" s="14"/>
      <c r="R41" s="14"/>
      <c r="S41" s="14"/>
      <c r="T41" s="14"/>
      <c r="U41" s="168"/>
      <c r="V41" s="14"/>
      <c r="W41" s="14"/>
      <c r="X41" s="14"/>
    </row>
    <row r="42" spans="17:24" ht="14.25" customHeight="1" x14ac:dyDescent="0.3">
      <c r="Q42" s="14"/>
      <c r="R42" s="14"/>
      <c r="S42" s="14"/>
      <c r="T42" s="14"/>
      <c r="U42" s="14"/>
      <c r="V42" s="14"/>
      <c r="W42" s="14"/>
      <c r="X42" s="14"/>
    </row>
    <row r="43" spans="17:24" ht="14.25" customHeight="1" x14ac:dyDescent="0.3">
      <c r="Q43" s="169" t="s">
        <v>276</v>
      </c>
      <c r="R43" s="169" t="s">
        <v>277</v>
      </c>
      <c r="S43" s="169" t="s">
        <v>278</v>
      </c>
      <c r="T43" s="169" t="s">
        <v>279</v>
      </c>
      <c r="U43" s="169" t="s">
        <v>280</v>
      </c>
      <c r="V43" s="169" t="s">
        <v>281</v>
      </c>
      <c r="W43" s="257" t="s">
        <v>333</v>
      </c>
      <c r="X43" s="320"/>
    </row>
    <row r="44" spans="17:24" ht="14.25" customHeight="1" x14ac:dyDescent="0.3">
      <c r="Q44" s="171">
        <v>10000</v>
      </c>
      <c r="R44" s="172">
        <v>0</v>
      </c>
      <c r="S44" s="240">
        <v>0</v>
      </c>
      <c r="T44" s="240">
        <v>0</v>
      </c>
      <c r="U44" s="241">
        <f>R44*S44</f>
        <v>0</v>
      </c>
      <c r="V44" s="175">
        <f>R44*T44</f>
        <v>0</v>
      </c>
      <c r="W44" s="259">
        <f>Q44-U44</f>
        <v>10000</v>
      </c>
      <c r="X44" s="297"/>
    </row>
    <row r="50" spans="1:10" ht="14.5" thickBot="1" x14ac:dyDescent="0.35">
      <c r="G50" s="145" t="s">
        <v>284</v>
      </c>
      <c r="H50" s="145" t="s">
        <v>237</v>
      </c>
      <c r="I50" s="145" t="s">
        <v>285</v>
      </c>
      <c r="J50" s="145" t="s">
        <v>286</v>
      </c>
    </row>
    <row r="51" spans="1:10" ht="14.5" thickBot="1" x14ac:dyDescent="0.35">
      <c r="G51" s="309" t="s">
        <v>327</v>
      </c>
      <c r="H51" s="310">
        <v>10</v>
      </c>
      <c r="I51" s="310">
        <f>J51/J1</f>
        <v>15873.015873015873</v>
      </c>
      <c r="J51" s="311">
        <f>$W$44</f>
        <v>10000</v>
      </c>
    </row>
    <row r="52" spans="1:10" x14ac:dyDescent="0.3">
      <c r="G52" s="161" t="s">
        <v>266</v>
      </c>
      <c r="H52" s="312">
        <f>E5</f>
        <v>16.91</v>
      </c>
      <c r="I52" s="313">
        <f>J52/$J$1</f>
        <v>26841.269841269841</v>
      </c>
      <c r="J52" s="314">
        <f>$S$30</f>
        <v>16910</v>
      </c>
    </row>
    <row r="53" spans="1:10" x14ac:dyDescent="0.3">
      <c r="D53" s="489"/>
      <c r="G53" s="147" t="s">
        <v>288</v>
      </c>
      <c r="H53" s="315">
        <f>MIN($H$52, H51)</f>
        <v>10</v>
      </c>
      <c r="I53" s="175">
        <f>J53/$J$1</f>
        <v>15873.015873015873</v>
      </c>
      <c r="J53" s="316">
        <f>MIN(MAX($J$52,0),$J$51)</f>
        <v>10000</v>
      </c>
    </row>
    <row r="54" spans="1:10" x14ac:dyDescent="0.3">
      <c r="D54" s="489"/>
      <c r="G54" s="147" t="s">
        <v>289</v>
      </c>
      <c r="H54" s="315">
        <f>MIN(MAX($H$52-H53,0),H51)</f>
        <v>6.91</v>
      </c>
      <c r="I54" s="175">
        <f>J54/$J$1</f>
        <v>10968.253968253968</v>
      </c>
      <c r="J54" s="183">
        <f>MIN(MAX($J$52-J53,0),$J$51)</f>
        <v>6910</v>
      </c>
    </row>
    <row r="55" spans="1:10" x14ac:dyDescent="0.3">
      <c r="D55" s="489"/>
      <c r="G55" s="144" t="s">
        <v>290</v>
      </c>
      <c r="H55" s="315">
        <f>MIN(MAX($H$52-H53-H54,0),H51)</f>
        <v>0</v>
      </c>
      <c r="I55" s="175">
        <f>J55/$J$1</f>
        <v>0</v>
      </c>
      <c r="J55" s="316">
        <f>MIN(MAX($J$52-J53-J54,0),$J$51)</f>
        <v>0</v>
      </c>
    </row>
    <row r="56" spans="1:10" x14ac:dyDescent="0.3">
      <c r="G56" s="144" t="s">
        <v>297</v>
      </c>
      <c r="H56" s="315">
        <f>MIN(MAX($H$52-H53-H54-H55,0),H52)</f>
        <v>0</v>
      </c>
      <c r="I56" s="175">
        <f>J56/$J$1</f>
        <v>0</v>
      </c>
      <c r="J56" s="316">
        <f>MIN(MAX($J$52-J53-J54-J55,0),$J$51)</f>
        <v>0</v>
      </c>
    </row>
    <row r="62" spans="1:10" ht="17.75" customHeight="1" x14ac:dyDescent="0.3">
      <c r="A62" s="321"/>
      <c r="B62" s="1438" t="str">
        <f>"مقلوبة دجاج 1 / " &amp; COUNTIF($H$53:$H$56, "&gt;0")</f>
        <v>مقلوبة دجاج 1 / 2</v>
      </c>
      <c r="C62" s="1439"/>
      <c r="D62" s="1439"/>
      <c r="E62" s="1439"/>
      <c r="F62" s="1439"/>
      <c r="G62" s="1439"/>
      <c r="H62" s="1439"/>
    </row>
    <row r="63" spans="1:10" ht="17.75" customHeight="1" x14ac:dyDescent="0.3">
      <c r="A63" s="321"/>
      <c r="B63" s="1436" t="str">
        <f>"Chicken Maklouba 1 / " &amp; COUNTIF($H$53:$H$56, "&gt;0")</f>
        <v>Chicken Maklouba 1 / 2</v>
      </c>
      <c r="C63" s="1437"/>
      <c r="D63" s="1437"/>
      <c r="E63" s="1437"/>
      <c r="F63" s="1437"/>
      <c r="G63" s="1437"/>
      <c r="H63" s="1437"/>
    </row>
    <row r="64" spans="1:10" ht="52.25" customHeight="1" x14ac:dyDescent="0.3">
      <c r="A64" s="90"/>
      <c r="B64" s="90" t="s">
        <v>245</v>
      </c>
      <c r="C64" s="306" t="s">
        <v>321</v>
      </c>
      <c r="D64" s="90" t="s">
        <v>322</v>
      </c>
      <c r="E64" s="107" t="s">
        <v>323</v>
      </c>
      <c r="F64" s="107" t="s">
        <v>324</v>
      </c>
      <c r="G64" s="307" t="s">
        <v>325</v>
      </c>
      <c r="H64" s="108" t="s">
        <v>326</v>
      </c>
    </row>
    <row r="65" spans="1:8" ht="14.25" customHeight="1" x14ac:dyDescent="0.3">
      <c r="A65" s="218" t="s">
        <v>225</v>
      </c>
      <c r="B65" s="322" t="str">
        <f t="shared" ref="B65:D77" si="7">B5</f>
        <v>Chicken - دجاج</v>
      </c>
      <c r="C65" s="322" t="str">
        <f t="shared" si="7"/>
        <v>gm</v>
      </c>
      <c r="D65" s="323">
        <f t="shared" si="7"/>
        <v>1587.3015873015872</v>
      </c>
      <c r="E65" s="196">
        <f t="shared" ref="E65:E77" si="8">$H$53</f>
        <v>10</v>
      </c>
      <c r="F65" s="126">
        <f t="shared" ref="F65:F77" si="9">F5</f>
        <v>1</v>
      </c>
      <c r="G65" s="118">
        <f t="shared" ref="G65:G77" si="10">D65*E65</f>
        <v>15873.015873015873</v>
      </c>
      <c r="H65" s="119">
        <f t="shared" ref="H65:H77" si="11">G65*F65</f>
        <v>15873.015873015873</v>
      </c>
    </row>
    <row r="66" spans="1:8" ht="14.25" customHeight="1" x14ac:dyDescent="0.3">
      <c r="A66" s="269" t="s">
        <v>95</v>
      </c>
      <c r="B66" s="322" t="str">
        <f t="shared" si="7"/>
        <v>Kabsa Spices Powder - توابل كبسة بودر</v>
      </c>
      <c r="C66" s="322" t="str">
        <f t="shared" si="7"/>
        <v>gm</v>
      </c>
      <c r="D66" s="322">
        <f t="shared" si="7"/>
        <v>35</v>
      </c>
      <c r="E66" s="196">
        <f t="shared" si="8"/>
        <v>10</v>
      </c>
      <c r="F66" s="126">
        <f t="shared" si="9"/>
        <v>0.5</v>
      </c>
      <c r="G66" s="80">
        <f t="shared" si="10"/>
        <v>350</v>
      </c>
      <c r="H66" s="119">
        <f t="shared" si="11"/>
        <v>175</v>
      </c>
    </row>
    <row r="67" spans="1:8" ht="14.25" customHeight="1" x14ac:dyDescent="0.3">
      <c r="A67" s="269" t="s">
        <v>95</v>
      </c>
      <c r="B67" s="322" t="str">
        <f t="shared" si="7"/>
        <v>Cumin Powder - كمون مطحون</v>
      </c>
      <c r="C67" s="322" t="str">
        <f t="shared" si="7"/>
        <v>gm</v>
      </c>
      <c r="D67" s="322">
        <f t="shared" si="7"/>
        <v>20</v>
      </c>
      <c r="E67" s="196">
        <f t="shared" si="8"/>
        <v>10</v>
      </c>
      <c r="F67" s="126">
        <f t="shared" si="9"/>
        <v>0.7</v>
      </c>
      <c r="G67" s="80">
        <f t="shared" si="10"/>
        <v>200</v>
      </c>
      <c r="H67" s="119">
        <f t="shared" si="11"/>
        <v>140</v>
      </c>
    </row>
    <row r="68" spans="1:8" ht="14.25" customHeight="1" x14ac:dyDescent="0.3">
      <c r="A68" s="269" t="s">
        <v>95</v>
      </c>
      <c r="B68" s="322" t="str">
        <f t="shared" si="7"/>
        <v>Maggi Cubes - مكعبات ماجي</v>
      </c>
      <c r="C68" s="322" t="str">
        <f t="shared" si="7"/>
        <v>gm</v>
      </c>
      <c r="D68" s="322">
        <f t="shared" si="7"/>
        <v>20</v>
      </c>
      <c r="E68" s="196">
        <f t="shared" si="8"/>
        <v>10</v>
      </c>
      <c r="F68" s="126">
        <f t="shared" si="9"/>
        <v>0.75</v>
      </c>
      <c r="G68" s="80">
        <f t="shared" si="10"/>
        <v>200</v>
      </c>
      <c r="H68" s="119">
        <f t="shared" si="11"/>
        <v>150</v>
      </c>
    </row>
    <row r="69" spans="1:8" ht="14.25" customHeight="1" x14ac:dyDescent="0.3">
      <c r="A69" s="269" t="s">
        <v>95</v>
      </c>
      <c r="B69" s="322" t="str">
        <f t="shared" si="7"/>
        <v>Coriander Powder - كزبرة مطحونة</v>
      </c>
      <c r="C69" s="322" t="str">
        <f t="shared" si="7"/>
        <v>gm</v>
      </c>
      <c r="D69" s="322">
        <f t="shared" si="7"/>
        <v>20</v>
      </c>
      <c r="E69" s="196">
        <f t="shared" si="8"/>
        <v>10</v>
      </c>
      <c r="F69" s="126">
        <f t="shared" si="9"/>
        <v>0.7</v>
      </c>
      <c r="G69" s="80">
        <f t="shared" si="10"/>
        <v>200</v>
      </c>
      <c r="H69" s="119">
        <f t="shared" si="11"/>
        <v>140</v>
      </c>
    </row>
    <row r="70" spans="1:8" ht="14.25" customHeight="1" x14ac:dyDescent="0.3">
      <c r="A70" s="269" t="s">
        <v>192</v>
      </c>
      <c r="B70" s="322" t="str">
        <f t="shared" si="7"/>
        <v>Tomato Paste - صلصة طماطم</v>
      </c>
      <c r="C70" s="322" t="str">
        <f t="shared" si="7"/>
        <v>gm</v>
      </c>
      <c r="D70" s="322">
        <f t="shared" si="7"/>
        <v>70</v>
      </c>
      <c r="E70" s="196">
        <f t="shared" si="8"/>
        <v>10</v>
      </c>
      <c r="F70" s="126">
        <f t="shared" si="9"/>
        <v>0.6</v>
      </c>
      <c r="G70" s="80">
        <f t="shared" si="10"/>
        <v>700</v>
      </c>
      <c r="H70" s="119">
        <f t="shared" si="11"/>
        <v>420</v>
      </c>
    </row>
    <row r="71" spans="1:8" ht="14.25" customHeight="1" x14ac:dyDescent="0.3">
      <c r="A71" s="269" t="s">
        <v>13</v>
      </c>
      <c r="B71" s="322" t="str">
        <f t="shared" si="7"/>
        <v>Tomato - طماطم</v>
      </c>
      <c r="C71" s="322" t="str">
        <f t="shared" si="7"/>
        <v>gm</v>
      </c>
      <c r="D71" s="322">
        <f t="shared" si="7"/>
        <v>100</v>
      </c>
      <c r="E71" s="196">
        <f t="shared" si="8"/>
        <v>10</v>
      </c>
      <c r="F71" s="126">
        <f t="shared" si="9"/>
        <v>1</v>
      </c>
      <c r="G71" s="80">
        <f t="shared" si="10"/>
        <v>1000</v>
      </c>
      <c r="H71" s="119">
        <f t="shared" si="11"/>
        <v>1000</v>
      </c>
    </row>
    <row r="72" spans="1:8" ht="14.25" customHeight="1" x14ac:dyDescent="0.3">
      <c r="A72" s="269" t="s">
        <v>95</v>
      </c>
      <c r="B72" s="322" t="str">
        <f t="shared" si="7"/>
        <v>Salt - ملح</v>
      </c>
      <c r="C72" s="322" t="str">
        <f t="shared" si="7"/>
        <v>gm</v>
      </c>
      <c r="D72" s="322">
        <f t="shared" si="7"/>
        <v>10</v>
      </c>
      <c r="E72" s="196">
        <f t="shared" si="8"/>
        <v>10</v>
      </c>
      <c r="F72" s="126">
        <f t="shared" si="9"/>
        <v>0.75</v>
      </c>
      <c r="G72" s="80">
        <f t="shared" si="10"/>
        <v>100</v>
      </c>
      <c r="H72" s="119">
        <f t="shared" si="11"/>
        <v>75</v>
      </c>
    </row>
    <row r="73" spans="1:8" ht="14.25" customHeight="1" x14ac:dyDescent="0.3">
      <c r="A73" s="269" t="s">
        <v>13</v>
      </c>
      <c r="B73" s="322" t="str">
        <f t="shared" si="7"/>
        <v>Garlic - ثوم مقشر</v>
      </c>
      <c r="C73" s="322" t="str">
        <f t="shared" si="7"/>
        <v>gm</v>
      </c>
      <c r="D73" s="322">
        <f t="shared" si="7"/>
        <v>10</v>
      </c>
      <c r="E73" s="196">
        <f t="shared" si="8"/>
        <v>10</v>
      </c>
      <c r="F73" s="126">
        <f t="shared" si="9"/>
        <v>0.5</v>
      </c>
      <c r="G73" s="80">
        <f t="shared" si="10"/>
        <v>100</v>
      </c>
      <c r="H73" s="119">
        <f t="shared" si="11"/>
        <v>50</v>
      </c>
    </row>
    <row r="74" spans="1:8" ht="14.25" customHeight="1" x14ac:dyDescent="0.3">
      <c r="A74" s="269" t="s">
        <v>62</v>
      </c>
      <c r="B74" s="322" t="str">
        <f t="shared" si="7"/>
        <v>Coriander Leaves - كزبرة خضراء</v>
      </c>
      <c r="C74" s="322" t="str">
        <f t="shared" si="7"/>
        <v>gm</v>
      </c>
      <c r="D74" s="322">
        <f t="shared" si="7"/>
        <v>15</v>
      </c>
      <c r="E74" s="196">
        <f t="shared" si="8"/>
        <v>10</v>
      </c>
      <c r="F74" s="126">
        <f t="shared" si="9"/>
        <v>0.6</v>
      </c>
      <c r="G74" s="80">
        <f t="shared" si="10"/>
        <v>150</v>
      </c>
      <c r="H74" s="119">
        <f t="shared" si="11"/>
        <v>90</v>
      </c>
    </row>
    <row r="75" spans="1:8" ht="20.75" customHeight="1" x14ac:dyDescent="0.3">
      <c r="A75" s="269" t="s">
        <v>13</v>
      </c>
      <c r="B75" s="322" t="str">
        <f t="shared" si="7"/>
        <v>Green Bell Pepper - فلفل أخضر رومى</v>
      </c>
      <c r="C75" s="322" t="str">
        <f t="shared" si="7"/>
        <v>gm</v>
      </c>
      <c r="D75" s="322">
        <f t="shared" si="7"/>
        <v>50</v>
      </c>
      <c r="E75" s="196">
        <f t="shared" si="8"/>
        <v>10</v>
      </c>
      <c r="F75" s="126">
        <f t="shared" si="9"/>
        <v>1</v>
      </c>
      <c r="G75" s="80">
        <f t="shared" si="10"/>
        <v>500</v>
      </c>
      <c r="H75" s="119">
        <f t="shared" si="11"/>
        <v>500</v>
      </c>
    </row>
    <row r="76" spans="1:8" ht="20.75" customHeight="1" x14ac:dyDescent="0.3">
      <c r="A76" s="269" t="s">
        <v>56</v>
      </c>
      <c r="B76" s="322" t="str">
        <f t="shared" si="7"/>
        <v>Ginger - زنجبيل</v>
      </c>
      <c r="C76" s="322" t="str">
        <f t="shared" si="7"/>
        <v>gm</v>
      </c>
      <c r="D76" s="322">
        <f t="shared" si="7"/>
        <v>30</v>
      </c>
      <c r="E76" s="196">
        <f t="shared" si="8"/>
        <v>10</v>
      </c>
      <c r="F76" s="126">
        <f t="shared" si="9"/>
        <v>0.25</v>
      </c>
      <c r="G76" s="80">
        <f t="shared" si="10"/>
        <v>300</v>
      </c>
      <c r="H76" s="119">
        <f t="shared" si="11"/>
        <v>75</v>
      </c>
    </row>
    <row r="77" spans="1:8" ht="14.25" customHeight="1" x14ac:dyDescent="0.3">
      <c r="A77" s="269" t="s">
        <v>206</v>
      </c>
      <c r="B77" s="322" t="str">
        <f t="shared" si="7"/>
        <v>Water - ماء</v>
      </c>
      <c r="C77" s="322" t="str">
        <f t="shared" si="7"/>
        <v>ml</v>
      </c>
      <c r="D77" s="322">
        <f t="shared" si="7"/>
        <v>350</v>
      </c>
      <c r="E77" s="196">
        <f t="shared" si="8"/>
        <v>10</v>
      </c>
      <c r="F77" s="126">
        <f t="shared" si="9"/>
        <v>1</v>
      </c>
      <c r="G77" s="80">
        <f t="shared" si="10"/>
        <v>3500</v>
      </c>
      <c r="H77" s="119">
        <f t="shared" si="11"/>
        <v>3500</v>
      </c>
    </row>
    <row r="78" spans="1:8" ht="20.25" customHeight="1" x14ac:dyDescent="0.3">
      <c r="A78" s="210"/>
      <c r="B78" s="197" t="s">
        <v>291</v>
      </c>
      <c r="C78" s="199" t="s">
        <v>277</v>
      </c>
      <c r="D78" s="14"/>
      <c r="E78" s="199" t="s">
        <v>292</v>
      </c>
      <c r="F78" s="14"/>
      <c r="G78" s="878" t="s">
        <v>268</v>
      </c>
      <c r="H78" s="878" t="s">
        <v>703</v>
      </c>
    </row>
    <row r="79" spans="1:8" ht="20" x14ac:dyDescent="0.4">
      <c r="A79" s="210"/>
      <c r="B79" s="198">
        <f>$J$53</f>
        <v>10000</v>
      </c>
      <c r="C79" s="200">
        <f>E79+G79</f>
        <v>0</v>
      </c>
      <c r="D79" s="208"/>
      <c r="E79" s="200">
        <f>$C$53*$S$44</f>
        <v>0</v>
      </c>
      <c r="F79" s="99"/>
      <c r="G79" s="201">
        <f>$C$53*$T$44</f>
        <v>0</v>
      </c>
      <c r="H79" s="201">
        <f>B79+E79</f>
        <v>10000</v>
      </c>
    </row>
    <row r="81" spans="1:8" ht="17.75" customHeight="1" x14ac:dyDescent="0.3">
      <c r="A81" s="321"/>
      <c r="B81" s="1438" t="str">
        <f>"مقلوبة دجاج 2 / " &amp; COUNTIF($H$53:$H$56, "&gt;0")</f>
        <v>مقلوبة دجاج 2 / 2</v>
      </c>
      <c r="C81" s="1439"/>
      <c r="D81" s="1439"/>
      <c r="E81" s="1439"/>
      <c r="F81" s="1439"/>
      <c r="G81" s="1439"/>
      <c r="H81" s="1439"/>
    </row>
    <row r="82" spans="1:8" ht="17.75" customHeight="1" x14ac:dyDescent="0.3">
      <c r="A82" s="321"/>
      <c r="B82" s="1436" t="str">
        <f>"Chicken Maklouba 2 / " &amp; COUNTIF($H$53:$H$56, "&gt;0")</f>
        <v>Chicken Maklouba 2 / 2</v>
      </c>
      <c r="C82" s="1437"/>
      <c r="D82" s="1437"/>
      <c r="E82" s="1437"/>
      <c r="F82" s="1437"/>
      <c r="G82" s="1437"/>
      <c r="H82" s="1437"/>
    </row>
    <row r="83" spans="1:8" ht="52.25" customHeight="1" x14ac:dyDescent="0.3">
      <c r="A83" s="90"/>
      <c r="B83" s="90" t="s">
        <v>245</v>
      </c>
      <c r="C83" s="306" t="s">
        <v>321</v>
      </c>
      <c r="D83" s="90" t="s">
        <v>322</v>
      </c>
      <c r="E83" s="107" t="s">
        <v>323</v>
      </c>
      <c r="F83" s="107" t="s">
        <v>324</v>
      </c>
      <c r="G83" s="307" t="s">
        <v>325</v>
      </c>
      <c r="H83" s="108" t="s">
        <v>326</v>
      </c>
    </row>
    <row r="84" spans="1:8" ht="14.25" customHeight="1" x14ac:dyDescent="0.3">
      <c r="A84" s="218" t="s">
        <v>225</v>
      </c>
      <c r="B84" s="322" t="str">
        <f t="shared" ref="B84:D96" si="12">B5</f>
        <v>Chicken - دجاج</v>
      </c>
      <c r="C84" s="322" t="str">
        <f t="shared" si="12"/>
        <v>gm</v>
      </c>
      <c r="D84" s="118">
        <f t="shared" si="12"/>
        <v>1587.3015873015872</v>
      </c>
      <c r="E84" s="196">
        <f t="shared" ref="E84:E96" si="13">$H$54</f>
        <v>6.91</v>
      </c>
      <c r="F84" s="126">
        <f t="shared" ref="F84:F96" si="14">F5</f>
        <v>1</v>
      </c>
      <c r="G84" s="118">
        <f t="shared" ref="G84:G96" si="15">D84*E84</f>
        <v>10968.253968253968</v>
      </c>
      <c r="H84" s="119">
        <f t="shared" ref="H84:H96" si="16">G84*F84</f>
        <v>10968.253968253968</v>
      </c>
    </row>
    <row r="85" spans="1:8" ht="14.25" customHeight="1" x14ac:dyDescent="0.3">
      <c r="A85" s="269" t="s">
        <v>95</v>
      </c>
      <c r="B85" s="322" t="str">
        <f t="shared" si="12"/>
        <v>Kabsa Spices Powder - توابل كبسة بودر</v>
      </c>
      <c r="C85" s="322" t="str">
        <f t="shared" si="12"/>
        <v>gm</v>
      </c>
      <c r="D85" s="322">
        <f t="shared" si="12"/>
        <v>35</v>
      </c>
      <c r="E85" s="196">
        <f t="shared" si="13"/>
        <v>6.91</v>
      </c>
      <c r="F85" s="126">
        <f t="shared" si="14"/>
        <v>0.5</v>
      </c>
      <c r="G85" s="118">
        <f t="shared" si="15"/>
        <v>241.85</v>
      </c>
      <c r="H85" s="119">
        <f t="shared" si="16"/>
        <v>120.925</v>
      </c>
    </row>
    <row r="86" spans="1:8" ht="14.25" customHeight="1" x14ac:dyDescent="0.3">
      <c r="A86" s="269" t="s">
        <v>95</v>
      </c>
      <c r="B86" s="322" t="str">
        <f t="shared" si="12"/>
        <v>Cumin Powder - كمون مطحون</v>
      </c>
      <c r="C86" s="322" t="str">
        <f t="shared" si="12"/>
        <v>gm</v>
      </c>
      <c r="D86" s="322">
        <f t="shared" si="12"/>
        <v>20</v>
      </c>
      <c r="E86" s="196">
        <f t="shared" si="13"/>
        <v>6.91</v>
      </c>
      <c r="F86" s="126">
        <f t="shared" si="14"/>
        <v>0.7</v>
      </c>
      <c r="G86" s="118">
        <f t="shared" si="15"/>
        <v>138.19999999999999</v>
      </c>
      <c r="H86" s="119">
        <f t="shared" si="16"/>
        <v>96.739999999999981</v>
      </c>
    </row>
    <row r="87" spans="1:8" ht="14.25" customHeight="1" x14ac:dyDescent="0.3">
      <c r="A87" s="269" t="s">
        <v>95</v>
      </c>
      <c r="B87" s="322" t="str">
        <f t="shared" si="12"/>
        <v>Maggi Cubes - مكعبات ماجي</v>
      </c>
      <c r="C87" s="322" t="str">
        <f t="shared" si="12"/>
        <v>gm</v>
      </c>
      <c r="D87" s="322">
        <f t="shared" si="12"/>
        <v>20</v>
      </c>
      <c r="E87" s="196">
        <f t="shared" si="13"/>
        <v>6.91</v>
      </c>
      <c r="F87" s="126">
        <f t="shared" si="14"/>
        <v>0.75</v>
      </c>
      <c r="G87" s="118">
        <f t="shared" si="15"/>
        <v>138.19999999999999</v>
      </c>
      <c r="H87" s="119">
        <f t="shared" si="16"/>
        <v>103.64999999999999</v>
      </c>
    </row>
    <row r="88" spans="1:8" ht="14.25" customHeight="1" x14ac:dyDescent="0.3">
      <c r="A88" s="269" t="s">
        <v>95</v>
      </c>
      <c r="B88" s="322" t="str">
        <f t="shared" si="12"/>
        <v>Coriander Powder - كزبرة مطحونة</v>
      </c>
      <c r="C88" s="322" t="str">
        <f t="shared" si="12"/>
        <v>gm</v>
      </c>
      <c r="D88" s="322">
        <f t="shared" si="12"/>
        <v>20</v>
      </c>
      <c r="E88" s="196">
        <f t="shared" si="13"/>
        <v>6.91</v>
      </c>
      <c r="F88" s="126">
        <f t="shared" si="14"/>
        <v>0.7</v>
      </c>
      <c r="G88" s="118">
        <f t="shared" si="15"/>
        <v>138.19999999999999</v>
      </c>
      <c r="H88" s="119">
        <f t="shared" si="16"/>
        <v>96.739999999999981</v>
      </c>
    </row>
    <row r="89" spans="1:8" ht="14.25" customHeight="1" x14ac:dyDescent="0.3">
      <c r="A89" s="269" t="s">
        <v>192</v>
      </c>
      <c r="B89" s="322" t="str">
        <f t="shared" si="12"/>
        <v>Tomato Paste - صلصة طماطم</v>
      </c>
      <c r="C89" s="322" t="str">
        <f t="shared" si="12"/>
        <v>gm</v>
      </c>
      <c r="D89" s="322">
        <f t="shared" si="12"/>
        <v>70</v>
      </c>
      <c r="E89" s="196">
        <f t="shared" si="13"/>
        <v>6.91</v>
      </c>
      <c r="F89" s="126">
        <f t="shared" si="14"/>
        <v>0.6</v>
      </c>
      <c r="G89" s="118">
        <f t="shared" si="15"/>
        <v>483.7</v>
      </c>
      <c r="H89" s="119">
        <f t="shared" si="16"/>
        <v>290.21999999999997</v>
      </c>
    </row>
    <row r="90" spans="1:8" ht="14.25" customHeight="1" x14ac:dyDescent="0.3">
      <c r="A90" s="269" t="s">
        <v>13</v>
      </c>
      <c r="B90" s="322" t="str">
        <f t="shared" si="12"/>
        <v>Tomato - طماطم</v>
      </c>
      <c r="C90" s="322" t="str">
        <f t="shared" si="12"/>
        <v>gm</v>
      </c>
      <c r="D90" s="322">
        <f t="shared" si="12"/>
        <v>100</v>
      </c>
      <c r="E90" s="196">
        <f t="shared" si="13"/>
        <v>6.91</v>
      </c>
      <c r="F90" s="126">
        <f t="shared" si="14"/>
        <v>1</v>
      </c>
      <c r="G90" s="118">
        <f t="shared" si="15"/>
        <v>691</v>
      </c>
      <c r="H90" s="119">
        <f t="shared" si="16"/>
        <v>691</v>
      </c>
    </row>
    <row r="91" spans="1:8" ht="14.25" customHeight="1" x14ac:dyDescent="0.3">
      <c r="A91" s="269" t="s">
        <v>95</v>
      </c>
      <c r="B91" s="322" t="str">
        <f t="shared" si="12"/>
        <v>Salt - ملح</v>
      </c>
      <c r="C91" s="322" t="str">
        <f t="shared" si="12"/>
        <v>gm</v>
      </c>
      <c r="D91" s="322">
        <f t="shared" si="12"/>
        <v>10</v>
      </c>
      <c r="E91" s="196">
        <f t="shared" si="13"/>
        <v>6.91</v>
      </c>
      <c r="F91" s="126">
        <f t="shared" si="14"/>
        <v>0.75</v>
      </c>
      <c r="G91" s="118">
        <f t="shared" si="15"/>
        <v>69.099999999999994</v>
      </c>
      <c r="H91" s="119">
        <f t="shared" si="16"/>
        <v>51.824999999999996</v>
      </c>
    </row>
    <row r="92" spans="1:8" ht="14.25" customHeight="1" x14ac:dyDescent="0.3">
      <c r="A92" s="269" t="s">
        <v>13</v>
      </c>
      <c r="B92" s="322" t="str">
        <f t="shared" si="12"/>
        <v>Garlic - ثوم مقشر</v>
      </c>
      <c r="C92" s="322" t="str">
        <f t="shared" si="12"/>
        <v>gm</v>
      </c>
      <c r="D92" s="322">
        <f t="shared" si="12"/>
        <v>10</v>
      </c>
      <c r="E92" s="196">
        <f t="shared" si="13"/>
        <v>6.91</v>
      </c>
      <c r="F92" s="126">
        <f t="shared" si="14"/>
        <v>0.5</v>
      </c>
      <c r="G92" s="118">
        <f t="shared" si="15"/>
        <v>69.099999999999994</v>
      </c>
      <c r="H92" s="119">
        <f t="shared" si="16"/>
        <v>34.549999999999997</v>
      </c>
    </row>
    <row r="93" spans="1:8" ht="14.25" customHeight="1" x14ac:dyDescent="0.3">
      <c r="A93" s="269" t="s">
        <v>62</v>
      </c>
      <c r="B93" s="322" t="str">
        <f t="shared" si="12"/>
        <v>Coriander Leaves - كزبرة خضراء</v>
      </c>
      <c r="C93" s="322" t="str">
        <f t="shared" si="12"/>
        <v>gm</v>
      </c>
      <c r="D93" s="322">
        <f t="shared" si="12"/>
        <v>15</v>
      </c>
      <c r="E93" s="196">
        <f t="shared" si="13"/>
        <v>6.91</v>
      </c>
      <c r="F93" s="126">
        <f t="shared" si="14"/>
        <v>0.6</v>
      </c>
      <c r="G93" s="118">
        <f t="shared" si="15"/>
        <v>103.65</v>
      </c>
      <c r="H93" s="119">
        <f t="shared" si="16"/>
        <v>62.19</v>
      </c>
    </row>
    <row r="94" spans="1:8" ht="14.25" customHeight="1" x14ac:dyDescent="0.3">
      <c r="A94" s="269" t="s">
        <v>13</v>
      </c>
      <c r="B94" s="322" t="str">
        <f t="shared" si="12"/>
        <v>Green Bell Pepper - فلفل أخضر رومى</v>
      </c>
      <c r="C94" s="322" t="str">
        <f t="shared" si="12"/>
        <v>gm</v>
      </c>
      <c r="D94" s="322">
        <f t="shared" si="12"/>
        <v>50</v>
      </c>
      <c r="E94" s="196">
        <f t="shared" si="13"/>
        <v>6.91</v>
      </c>
      <c r="F94" s="126">
        <f t="shared" si="14"/>
        <v>1</v>
      </c>
      <c r="G94" s="118">
        <f t="shared" si="15"/>
        <v>345.5</v>
      </c>
      <c r="H94" s="119">
        <f t="shared" si="16"/>
        <v>345.5</v>
      </c>
    </row>
    <row r="95" spans="1:8" ht="14.25" customHeight="1" x14ac:dyDescent="0.3">
      <c r="A95" s="269" t="s">
        <v>56</v>
      </c>
      <c r="B95" s="322" t="str">
        <f t="shared" si="12"/>
        <v>Ginger - زنجبيل</v>
      </c>
      <c r="C95" s="322" t="str">
        <f t="shared" si="12"/>
        <v>gm</v>
      </c>
      <c r="D95" s="322">
        <f t="shared" si="12"/>
        <v>30</v>
      </c>
      <c r="E95" s="196">
        <f t="shared" si="13"/>
        <v>6.91</v>
      </c>
      <c r="F95" s="126">
        <f t="shared" si="14"/>
        <v>0.25</v>
      </c>
      <c r="G95" s="118">
        <f t="shared" si="15"/>
        <v>207.3</v>
      </c>
      <c r="H95" s="119">
        <f t="shared" si="16"/>
        <v>51.825000000000003</v>
      </c>
    </row>
    <row r="96" spans="1:8" ht="14.25" customHeight="1" x14ac:dyDescent="0.3">
      <c r="A96" s="269" t="s">
        <v>206</v>
      </c>
      <c r="B96" s="322" t="str">
        <f t="shared" si="12"/>
        <v>Water - ماء</v>
      </c>
      <c r="C96" s="322" t="str">
        <f t="shared" si="12"/>
        <v>ml</v>
      </c>
      <c r="D96" s="322">
        <f t="shared" si="12"/>
        <v>350</v>
      </c>
      <c r="E96" s="196">
        <f t="shared" si="13"/>
        <v>6.91</v>
      </c>
      <c r="F96" s="126">
        <f t="shared" si="14"/>
        <v>1</v>
      </c>
      <c r="G96" s="118">
        <f t="shared" si="15"/>
        <v>2418.5</v>
      </c>
      <c r="H96" s="119">
        <f t="shared" si="16"/>
        <v>2418.5</v>
      </c>
    </row>
    <row r="97" spans="1:8" ht="20.25" customHeight="1" x14ac:dyDescent="0.3">
      <c r="A97" s="210"/>
      <c r="B97" s="197" t="s">
        <v>291</v>
      </c>
      <c r="C97" s="199" t="s">
        <v>277</v>
      </c>
      <c r="D97" s="14"/>
      <c r="E97" s="199" t="s">
        <v>292</v>
      </c>
      <c r="F97" s="14"/>
      <c r="G97" s="878" t="s">
        <v>268</v>
      </c>
      <c r="H97" s="878" t="s">
        <v>703</v>
      </c>
    </row>
    <row r="98" spans="1:8" ht="25.25" customHeight="1" x14ac:dyDescent="0.4">
      <c r="A98" s="210"/>
      <c r="B98" s="198">
        <f>$J$54</f>
        <v>6910</v>
      </c>
      <c r="C98" s="200">
        <f>E98+G98</f>
        <v>0</v>
      </c>
      <c r="D98" s="208"/>
      <c r="E98" s="200">
        <f>$C$54*$S$44</f>
        <v>0</v>
      </c>
      <c r="F98" s="99"/>
      <c r="G98" s="201">
        <f>$C$54*$T$44</f>
        <v>0</v>
      </c>
      <c r="H98" s="201">
        <f>B98+E98</f>
        <v>6910</v>
      </c>
    </row>
    <row r="99" spans="1:8" ht="14.25" customHeight="1" x14ac:dyDescent="0.3">
      <c r="B99" s="99"/>
      <c r="E99" s="99"/>
      <c r="F99" s="99"/>
    </row>
    <row r="100" spans="1:8" ht="14.25" customHeight="1" x14ac:dyDescent="0.3">
      <c r="B100" s="99"/>
      <c r="E100" s="99"/>
      <c r="F100" s="99"/>
    </row>
    <row r="101" spans="1:8" ht="14.25" customHeight="1" x14ac:dyDescent="0.3">
      <c r="B101" s="99"/>
      <c r="E101" s="99"/>
      <c r="F101" s="99"/>
    </row>
    <row r="102" spans="1:8" ht="17.75" customHeight="1" x14ac:dyDescent="0.3">
      <c r="A102" s="321"/>
      <c r="B102" s="1438" t="str">
        <f>"مقلوبة دجاج 3 / " &amp; COUNTIF($H$53:$H$56, "&gt;0")</f>
        <v>مقلوبة دجاج 3 / 2</v>
      </c>
      <c r="C102" s="1439"/>
      <c r="D102" s="1439"/>
      <c r="E102" s="1439"/>
      <c r="F102" s="1439"/>
      <c r="G102" s="1439"/>
      <c r="H102" s="1439"/>
    </row>
    <row r="103" spans="1:8" ht="17.75" customHeight="1" x14ac:dyDescent="0.3">
      <c r="A103" s="406"/>
      <c r="B103" s="1436" t="str">
        <f>"Chicken Maklouba 3 / " &amp; COUNTIF($H$53:$H$56, "&gt;0")</f>
        <v>Chicken Maklouba 3 / 2</v>
      </c>
      <c r="C103" s="1437"/>
      <c r="D103" s="1437"/>
      <c r="E103" s="1437"/>
      <c r="F103" s="1437"/>
      <c r="G103" s="1437"/>
      <c r="H103" s="1437"/>
    </row>
    <row r="104" spans="1:8" ht="46.5" customHeight="1" x14ac:dyDescent="0.3">
      <c r="A104" s="90"/>
      <c r="B104" s="90" t="s">
        <v>245</v>
      </c>
      <c r="C104" s="306" t="s">
        <v>321</v>
      </c>
      <c r="D104" s="90" t="s">
        <v>322</v>
      </c>
      <c r="E104" s="107" t="s">
        <v>323</v>
      </c>
      <c r="F104" s="107" t="s">
        <v>324</v>
      </c>
      <c r="G104" s="307" t="s">
        <v>325</v>
      </c>
      <c r="H104" s="108" t="s">
        <v>326</v>
      </c>
    </row>
    <row r="105" spans="1:8" ht="14.25" customHeight="1" x14ac:dyDescent="0.3">
      <c r="A105" s="218" t="s">
        <v>225</v>
      </c>
      <c r="B105" s="218" t="str">
        <f t="shared" ref="B105:D117" si="17">B5</f>
        <v>Chicken - دجاج</v>
      </c>
      <c r="C105" s="218" t="str">
        <f t="shared" si="17"/>
        <v>gm</v>
      </c>
      <c r="D105" s="118">
        <f t="shared" si="17"/>
        <v>1587.3015873015872</v>
      </c>
      <c r="E105" s="196">
        <f t="shared" ref="E105:E117" si="18">$H$55</f>
        <v>0</v>
      </c>
      <c r="F105" s="324">
        <f t="shared" ref="F105:F117" si="19">F5</f>
        <v>1</v>
      </c>
      <c r="G105" s="118">
        <f t="shared" ref="G105:G117" si="20">D105*E105</f>
        <v>0</v>
      </c>
      <c r="H105" s="119">
        <f t="shared" ref="H105:H117" si="21">G105*F105</f>
        <v>0</v>
      </c>
    </row>
    <row r="106" spans="1:8" ht="14.25" customHeight="1" x14ac:dyDescent="0.3">
      <c r="A106" s="218" t="s">
        <v>95</v>
      </c>
      <c r="B106" s="218" t="str">
        <f t="shared" si="17"/>
        <v>Kabsa Spices Powder - توابل كبسة بودر</v>
      </c>
      <c r="C106" s="218" t="str">
        <f t="shared" si="17"/>
        <v>gm</v>
      </c>
      <c r="D106" s="218">
        <f t="shared" si="17"/>
        <v>35</v>
      </c>
      <c r="E106" s="196">
        <f t="shared" si="18"/>
        <v>0</v>
      </c>
      <c r="F106" s="324">
        <f t="shared" si="19"/>
        <v>0.5</v>
      </c>
      <c r="G106" s="118">
        <f t="shared" si="20"/>
        <v>0</v>
      </c>
      <c r="H106" s="119">
        <f t="shared" si="21"/>
        <v>0</v>
      </c>
    </row>
    <row r="107" spans="1:8" ht="14.25" customHeight="1" x14ac:dyDescent="0.3">
      <c r="A107" s="218" t="s">
        <v>95</v>
      </c>
      <c r="B107" s="218" t="str">
        <f t="shared" si="17"/>
        <v>Cumin Powder - كمون مطحون</v>
      </c>
      <c r="C107" s="218" t="str">
        <f t="shared" si="17"/>
        <v>gm</v>
      </c>
      <c r="D107" s="218">
        <f t="shared" si="17"/>
        <v>20</v>
      </c>
      <c r="E107" s="196">
        <f t="shared" si="18"/>
        <v>0</v>
      </c>
      <c r="F107" s="324">
        <f t="shared" si="19"/>
        <v>0.7</v>
      </c>
      <c r="G107" s="118">
        <f t="shared" si="20"/>
        <v>0</v>
      </c>
      <c r="H107" s="119">
        <f t="shared" si="21"/>
        <v>0</v>
      </c>
    </row>
    <row r="108" spans="1:8" ht="14.25" customHeight="1" x14ac:dyDescent="0.3">
      <c r="A108" s="218" t="s">
        <v>95</v>
      </c>
      <c r="B108" s="218" t="str">
        <f t="shared" si="17"/>
        <v>Maggi Cubes - مكعبات ماجي</v>
      </c>
      <c r="C108" s="218" t="str">
        <f t="shared" si="17"/>
        <v>gm</v>
      </c>
      <c r="D108" s="218">
        <f t="shared" si="17"/>
        <v>20</v>
      </c>
      <c r="E108" s="196">
        <f t="shared" si="18"/>
        <v>0</v>
      </c>
      <c r="F108" s="324">
        <f t="shared" si="19"/>
        <v>0.75</v>
      </c>
      <c r="G108" s="118">
        <f t="shared" si="20"/>
        <v>0</v>
      </c>
      <c r="H108" s="119">
        <f t="shared" si="21"/>
        <v>0</v>
      </c>
    </row>
    <row r="109" spans="1:8" ht="14.25" customHeight="1" x14ac:dyDescent="0.3">
      <c r="A109" s="218" t="s">
        <v>95</v>
      </c>
      <c r="B109" s="218" t="str">
        <f t="shared" si="17"/>
        <v>Coriander Powder - كزبرة مطحونة</v>
      </c>
      <c r="C109" s="218" t="str">
        <f t="shared" si="17"/>
        <v>gm</v>
      </c>
      <c r="D109" s="218">
        <f t="shared" si="17"/>
        <v>20</v>
      </c>
      <c r="E109" s="196">
        <f t="shared" si="18"/>
        <v>0</v>
      </c>
      <c r="F109" s="324">
        <f t="shared" si="19"/>
        <v>0.7</v>
      </c>
      <c r="G109" s="118">
        <f t="shared" si="20"/>
        <v>0</v>
      </c>
      <c r="H109" s="119">
        <f t="shared" si="21"/>
        <v>0</v>
      </c>
    </row>
    <row r="110" spans="1:8" ht="14.25" customHeight="1" x14ac:dyDescent="0.3">
      <c r="A110" s="218" t="s">
        <v>192</v>
      </c>
      <c r="B110" s="218" t="str">
        <f t="shared" si="17"/>
        <v>Tomato Paste - صلصة طماطم</v>
      </c>
      <c r="C110" s="218" t="str">
        <f t="shared" si="17"/>
        <v>gm</v>
      </c>
      <c r="D110" s="218">
        <f t="shared" si="17"/>
        <v>70</v>
      </c>
      <c r="E110" s="196">
        <f t="shared" si="18"/>
        <v>0</v>
      </c>
      <c r="F110" s="324">
        <f t="shared" si="19"/>
        <v>0.6</v>
      </c>
      <c r="G110" s="118">
        <f t="shared" si="20"/>
        <v>0</v>
      </c>
      <c r="H110" s="119">
        <f t="shared" si="21"/>
        <v>0</v>
      </c>
    </row>
    <row r="111" spans="1:8" ht="14.25" customHeight="1" x14ac:dyDescent="0.3">
      <c r="A111" s="218" t="s">
        <v>13</v>
      </c>
      <c r="B111" s="218" t="str">
        <f t="shared" si="17"/>
        <v>Tomato - طماطم</v>
      </c>
      <c r="C111" s="218" t="str">
        <f t="shared" si="17"/>
        <v>gm</v>
      </c>
      <c r="D111" s="218">
        <f t="shared" si="17"/>
        <v>100</v>
      </c>
      <c r="E111" s="196">
        <f t="shared" si="18"/>
        <v>0</v>
      </c>
      <c r="F111" s="324">
        <f t="shared" si="19"/>
        <v>1</v>
      </c>
      <c r="G111" s="118">
        <f t="shared" si="20"/>
        <v>0</v>
      </c>
      <c r="H111" s="119">
        <f t="shared" si="21"/>
        <v>0</v>
      </c>
    </row>
    <row r="112" spans="1:8" ht="14.25" customHeight="1" x14ac:dyDescent="0.3">
      <c r="A112" s="218" t="s">
        <v>95</v>
      </c>
      <c r="B112" s="218" t="str">
        <f t="shared" si="17"/>
        <v>Salt - ملح</v>
      </c>
      <c r="C112" s="218" t="str">
        <f t="shared" si="17"/>
        <v>gm</v>
      </c>
      <c r="D112" s="218">
        <f t="shared" si="17"/>
        <v>10</v>
      </c>
      <c r="E112" s="196">
        <f t="shared" si="18"/>
        <v>0</v>
      </c>
      <c r="F112" s="324">
        <f t="shared" si="19"/>
        <v>0.75</v>
      </c>
      <c r="G112" s="118">
        <f t="shared" si="20"/>
        <v>0</v>
      </c>
      <c r="H112" s="119">
        <f t="shared" si="21"/>
        <v>0</v>
      </c>
    </row>
    <row r="113" spans="1:10" ht="14.25" customHeight="1" x14ac:dyDescent="0.3">
      <c r="A113" s="218" t="s">
        <v>13</v>
      </c>
      <c r="B113" s="218" t="str">
        <f t="shared" si="17"/>
        <v>Garlic - ثوم مقشر</v>
      </c>
      <c r="C113" s="218" t="str">
        <f t="shared" si="17"/>
        <v>gm</v>
      </c>
      <c r="D113" s="218">
        <f t="shared" si="17"/>
        <v>10</v>
      </c>
      <c r="E113" s="196">
        <f t="shared" si="18"/>
        <v>0</v>
      </c>
      <c r="F113" s="324">
        <f t="shared" si="19"/>
        <v>0.5</v>
      </c>
      <c r="G113" s="118">
        <f t="shared" si="20"/>
        <v>0</v>
      </c>
      <c r="H113" s="119">
        <f t="shared" si="21"/>
        <v>0</v>
      </c>
    </row>
    <row r="114" spans="1:10" ht="14.25" customHeight="1" x14ac:dyDescent="0.3">
      <c r="A114" s="218" t="s">
        <v>62</v>
      </c>
      <c r="B114" s="218" t="str">
        <f t="shared" si="17"/>
        <v>Coriander Leaves - كزبرة خضراء</v>
      </c>
      <c r="C114" s="218" t="str">
        <f t="shared" si="17"/>
        <v>gm</v>
      </c>
      <c r="D114" s="218">
        <f t="shared" si="17"/>
        <v>15</v>
      </c>
      <c r="E114" s="196">
        <f t="shared" si="18"/>
        <v>0</v>
      </c>
      <c r="F114" s="324">
        <f t="shared" si="19"/>
        <v>0.6</v>
      </c>
      <c r="G114" s="118">
        <f t="shared" si="20"/>
        <v>0</v>
      </c>
      <c r="H114" s="119">
        <f t="shared" si="21"/>
        <v>0</v>
      </c>
    </row>
    <row r="115" spans="1:10" ht="14.25" customHeight="1" x14ac:dyDescent="0.3">
      <c r="A115" s="218" t="s">
        <v>13</v>
      </c>
      <c r="B115" s="218" t="str">
        <f t="shared" si="17"/>
        <v>Green Bell Pepper - فلفل أخضر رومى</v>
      </c>
      <c r="C115" s="218" t="str">
        <f t="shared" si="17"/>
        <v>gm</v>
      </c>
      <c r="D115" s="218">
        <f t="shared" si="17"/>
        <v>50</v>
      </c>
      <c r="E115" s="196">
        <f t="shared" si="18"/>
        <v>0</v>
      </c>
      <c r="F115" s="324">
        <f t="shared" si="19"/>
        <v>1</v>
      </c>
      <c r="G115" s="118">
        <f t="shared" si="20"/>
        <v>0</v>
      </c>
      <c r="H115" s="119">
        <f t="shared" si="21"/>
        <v>0</v>
      </c>
    </row>
    <row r="116" spans="1:10" ht="14.25" customHeight="1" x14ac:dyDescent="0.3">
      <c r="A116" s="218" t="s">
        <v>56</v>
      </c>
      <c r="B116" s="218" t="str">
        <f t="shared" si="17"/>
        <v>Ginger - زنجبيل</v>
      </c>
      <c r="C116" s="218" t="str">
        <f t="shared" si="17"/>
        <v>gm</v>
      </c>
      <c r="D116" s="218">
        <f t="shared" si="17"/>
        <v>30</v>
      </c>
      <c r="E116" s="196">
        <f t="shared" si="18"/>
        <v>0</v>
      </c>
      <c r="F116" s="324">
        <f t="shared" si="19"/>
        <v>0.25</v>
      </c>
      <c r="G116" s="118">
        <f t="shared" si="20"/>
        <v>0</v>
      </c>
      <c r="H116" s="119">
        <f t="shared" si="21"/>
        <v>0</v>
      </c>
    </row>
    <row r="117" spans="1:10" ht="14.25" customHeight="1" x14ac:dyDescent="0.3">
      <c r="A117" s="218" t="s">
        <v>206</v>
      </c>
      <c r="B117" s="218" t="str">
        <f t="shared" si="17"/>
        <v>Water - ماء</v>
      </c>
      <c r="C117" s="218" t="str">
        <f t="shared" si="17"/>
        <v>ml</v>
      </c>
      <c r="D117" s="218">
        <f t="shared" si="17"/>
        <v>350</v>
      </c>
      <c r="E117" s="196">
        <f t="shared" si="18"/>
        <v>0</v>
      </c>
      <c r="F117" s="324">
        <f t="shared" si="19"/>
        <v>1</v>
      </c>
      <c r="G117" s="118">
        <f t="shared" si="20"/>
        <v>0</v>
      </c>
      <c r="H117" s="119">
        <f t="shared" si="21"/>
        <v>0</v>
      </c>
    </row>
    <row r="118" spans="1:10" ht="20.25" customHeight="1" x14ac:dyDescent="0.4">
      <c r="A118" s="210"/>
      <c r="B118" s="197" t="s">
        <v>291</v>
      </c>
      <c r="C118" s="199" t="s">
        <v>277</v>
      </c>
      <c r="D118" s="14"/>
      <c r="E118" s="199" t="s">
        <v>292</v>
      </c>
      <c r="F118" s="14"/>
      <c r="G118" s="878" t="s">
        <v>268</v>
      </c>
      <c r="H118" s="878" t="s">
        <v>703</v>
      </c>
      <c r="I118" s="203"/>
      <c r="J118" s="202"/>
    </row>
    <row r="119" spans="1:10" ht="20" x14ac:dyDescent="0.4">
      <c r="A119" s="210"/>
      <c r="B119" s="198">
        <f>$J$55</f>
        <v>0</v>
      </c>
      <c r="C119" s="200">
        <f>E119+G119</f>
        <v>0</v>
      </c>
      <c r="D119" s="208"/>
      <c r="E119" s="200">
        <f>$C$56*$S$44</f>
        <v>0</v>
      </c>
      <c r="F119" s="99"/>
      <c r="G119" s="201">
        <f>$C$55*$T$44</f>
        <v>0</v>
      </c>
      <c r="H119" s="201">
        <f>B119+E119</f>
        <v>0</v>
      </c>
    </row>
    <row r="121" spans="1:10" ht="18" x14ac:dyDescent="0.3">
      <c r="A121" s="321"/>
      <c r="B121" s="1438" t="str">
        <f>"مقلوبة دجاج 3 / " &amp; COUNTIF($H$53:$H$56, "&gt;0")</f>
        <v>مقلوبة دجاج 3 / 2</v>
      </c>
      <c r="C121" s="1444"/>
      <c r="D121" s="1444"/>
      <c r="E121" s="1444"/>
      <c r="F121" s="1444"/>
      <c r="G121" s="1444"/>
      <c r="H121" s="1444"/>
    </row>
    <row r="122" spans="1:10" ht="18" x14ac:dyDescent="0.3">
      <c r="A122" s="406"/>
      <c r="B122" s="1436" t="str">
        <f>"Chicken Maklouba 3 / " &amp; COUNTIF($H$53:$H$56, "&gt;0")</f>
        <v>Chicken Maklouba 3 / 2</v>
      </c>
      <c r="C122" s="1446"/>
      <c r="D122" s="1446"/>
      <c r="E122" s="1446"/>
      <c r="F122" s="1446"/>
      <c r="G122" s="1446"/>
      <c r="H122" s="1446"/>
    </row>
    <row r="123" spans="1:10" ht="39" x14ac:dyDescent="0.3">
      <c r="A123" s="90"/>
      <c r="B123" s="90" t="s">
        <v>245</v>
      </c>
      <c r="C123" s="306" t="s">
        <v>321</v>
      </c>
      <c r="D123" s="90" t="s">
        <v>322</v>
      </c>
      <c r="E123" s="107" t="s">
        <v>323</v>
      </c>
      <c r="F123" s="107" t="s">
        <v>324</v>
      </c>
      <c r="G123" s="307" t="s">
        <v>325</v>
      </c>
      <c r="H123" s="108" t="s">
        <v>326</v>
      </c>
    </row>
    <row r="124" spans="1:10" x14ac:dyDescent="0.3">
      <c r="A124" s="218" t="s">
        <v>225</v>
      </c>
      <c r="B124" s="218" t="str">
        <f t="shared" ref="B124:D136" si="22">B5</f>
        <v>Chicken - دجاج</v>
      </c>
      <c r="C124" s="218" t="str">
        <f t="shared" si="22"/>
        <v>gm</v>
      </c>
      <c r="D124" s="564">
        <f t="shared" si="22"/>
        <v>1587.3015873015872</v>
      </c>
      <c r="E124" s="196">
        <f t="shared" ref="E124:E136" si="23">$H$56</f>
        <v>0</v>
      </c>
      <c r="F124" s="324">
        <f>F5</f>
        <v>1</v>
      </c>
      <c r="G124" s="118">
        <f t="shared" ref="G124:G136" si="24">D124*E124</f>
        <v>0</v>
      </c>
      <c r="H124" s="119">
        <f t="shared" ref="H124:H136" si="25">G124*F124</f>
        <v>0</v>
      </c>
    </row>
    <row r="125" spans="1:10" x14ac:dyDescent="0.3">
      <c r="A125" s="218" t="s">
        <v>95</v>
      </c>
      <c r="B125" s="218" t="str">
        <f t="shared" si="22"/>
        <v>Kabsa Spices Powder - توابل كبسة بودر</v>
      </c>
      <c r="C125" s="218" t="str">
        <f t="shared" si="22"/>
        <v>gm</v>
      </c>
      <c r="D125" s="218">
        <f t="shared" si="22"/>
        <v>35</v>
      </c>
      <c r="E125" s="196">
        <f t="shared" si="23"/>
        <v>0</v>
      </c>
      <c r="F125" s="324">
        <f t="shared" ref="F125:F136" si="26">F6</f>
        <v>0.5</v>
      </c>
      <c r="G125" s="118">
        <f t="shared" si="24"/>
        <v>0</v>
      </c>
      <c r="H125" s="119">
        <f t="shared" si="25"/>
        <v>0</v>
      </c>
    </row>
    <row r="126" spans="1:10" x14ac:dyDescent="0.3">
      <c r="A126" s="218" t="s">
        <v>95</v>
      </c>
      <c r="B126" s="218" t="str">
        <f t="shared" si="22"/>
        <v>Cumin Powder - كمون مطحون</v>
      </c>
      <c r="C126" s="218" t="str">
        <f t="shared" si="22"/>
        <v>gm</v>
      </c>
      <c r="D126" s="218">
        <f t="shared" si="22"/>
        <v>20</v>
      </c>
      <c r="E126" s="196">
        <f t="shared" si="23"/>
        <v>0</v>
      </c>
      <c r="F126" s="324">
        <f t="shared" si="26"/>
        <v>0.7</v>
      </c>
      <c r="G126" s="118">
        <f t="shared" si="24"/>
        <v>0</v>
      </c>
      <c r="H126" s="119">
        <f t="shared" si="25"/>
        <v>0</v>
      </c>
    </row>
    <row r="127" spans="1:10" x14ac:dyDescent="0.3">
      <c r="A127" s="218" t="s">
        <v>95</v>
      </c>
      <c r="B127" s="218" t="str">
        <f t="shared" si="22"/>
        <v>Maggi Cubes - مكعبات ماجي</v>
      </c>
      <c r="C127" s="218" t="str">
        <f t="shared" si="22"/>
        <v>gm</v>
      </c>
      <c r="D127" s="218">
        <f t="shared" si="22"/>
        <v>20</v>
      </c>
      <c r="E127" s="196">
        <f t="shared" si="23"/>
        <v>0</v>
      </c>
      <c r="F127" s="324">
        <f t="shared" si="26"/>
        <v>0.75</v>
      </c>
      <c r="G127" s="118">
        <f t="shared" si="24"/>
        <v>0</v>
      </c>
      <c r="H127" s="119">
        <f t="shared" si="25"/>
        <v>0</v>
      </c>
    </row>
    <row r="128" spans="1:10" x14ac:dyDescent="0.3">
      <c r="A128" s="218" t="s">
        <v>95</v>
      </c>
      <c r="B128" s="218" t="str">
        <f t="shared" si="22"/>
        <v>Coriander Powder - كزبرة مطحونة</v>
      </c>
      <c r="C128" s="218" t="str">
        <f t="shared" si="22"/>
        <v>gm</v>
      </c>
      <c r="D128" s="218">
        <f t="shared" si="22"/>
        <v>20</v>
      </c>
      <c r="E128" s="196">
        <f t="shared" si="23"/>
        <v>0</v>
      </c>
      <c r="F128" s="324">
        <f t="shared" si="26"/>
        <v>0.7</v>
      </c>
      <c r="G128" s="118">
        <f t="shared" si="24"/>
        <v>0</v>
      </c>
      <c r="H128" s="119">
        <f t="shared" si="25"/>
        <v>0</v>
      </c>
    </row>
    <row r="129" spans="1:8" x14ac:dyDescent="0.3">
      <c r="A129" s="218" t="s">
        <v>192</v>
      </c>
      <c r="B129" s="218" t="str">
        <f t="shared" si="22"/>
        <v>Tomato Paste - صلصة طماطم</v>
      </c>
      <c r="C129" s="218" t="str">
        <f t="shared" si="22"/>
        <v>gm</v>
      </c>
      <c r="D129" s="218">
        <f t="shared" si="22"/>
        <v>70</v>
      </c>
      <c r="E129" s="196">
        <f t="shared" si="23"/>
        <v>0</v>
      </c>
      <c r="F129" s="324">
        <f t="shared" si="26"/>
        <v>0.6</v>
      </c>
      <c r="G129" s="118">
        <f t="shared" si="24"/>
        <v>0</v>
      </c>
      <c r="H129" s="119">
        <f t="shared" si="25"/>
        <v>0</v>
      </c>
    </row>
    <row r="130" spans="1:8" x14ac:dyDescent="0.3">
      <c r="A130" s="218" t="s">
        <v>13</v>
      </c>
      <c r="B130" s="218" t="str">
        <f t="shared" si="22"/>
        <v>Tomato - طماطم</v>
      </c>
      <c r="C130" s="218" t="str">
        <f t="shared" si="22"/>
        <v>gm</v>
      </c>
      <c r="D130" s="218">
        <f t="shared" si="22"/>
        <v>100</v>
      </c>
      <c r="E130" s="196">
        <f t="shared" si="23"/>
        <v>0</v>
      </c>
      <c r="F130" s="324">
        <f t="shared" si="26"/>
        <v>1</v>
      </c>
      <c r="G130" s="118">
        <f t="shared" si="24"/>
        <v>0</v>
      </c>
      <c r="H130" s="119">
        <f t="shared" si="25"/>
        <v>0</v>
      </c>
    </row>
    <row r="131" spans="1:8" x14ac:dyDescent="0.3">
      <c r="A131" s="218" t="s">
        <v>95</v>
      </c>
      <c r="B131" s="218" t="str">
        <f t="shared" si="22"/>
        <v>Salt - ملح</v>
      </c>
      <c r="C131" s="218" t="str">
        <f t="shared" si="22"/>
        <v>gm</v>
      </c>
      <c r="D131" s="218">
        <f t="shared" si="22"/>
        <v>10</v>
      </c>
      <c r="E131" s="196">
        <f t="shared" si="23"/>
        <v>0</v>
      </c>
      <c r="F131" s="324">
        <f t="shared" si="26"/>
        <v>0.75</v>
      </c>
      <c r="G131" s="118">
        <f t="shared" si="24"/>
        <v>0</v>
      </c>
      <c r="H131" s="119">
        <f t="shared" si="25"/>
        <v>0</v>
      </c>
    </row>
    <row r="132" spans="1:8" x14ac:dyDescent="0.3">
      <c r="A132" s="218" t="s">
        <v>13</v>
      </c>
      <c r="B132" s="218" t="str">
        <f t="shared" si="22"/>
        <v>Garlic - ثوم مقشر</v>
      </c>
      <c r="C132" s="218" t="str">
        <f t="shared" si="22"/>
        <v>gm</v>
      </c>
      <c r="D132" s="218">
        <f t="shared" si="22"/>
        <v>10</v>
      </c>
      <c r="E132" s="196">
        <f t="shared" si="23"/>
        <v>0</v>
      </c>
      <c r="F132" s="324">
        <f t="shared" si="26"/>
        <v>0.5</v>
      </c>
      <c r="G132" s="118">
        <f t="shared" si="24"/>
        <v>0</v>
      </c>
      <c r="H132" s="119">
        <f t="shared" si="25"/>
        <v>0</v>
      </c>
    </row>
    <row r="133" spans="1:8" x14ac:dyDescent="0.3">
      <c r="A133" s="218" t="s">
        <v>62</v>
      </c>
      <c r="B133" s="218" t="str">
        <f t="shared" si="22"/>
        <v>Coriander Leaves - كزبرة خضراء</v>
      </c>
      <c r="C133" s="218" t="str">
        <f t="shared" si="22"/>
        <v>gm</v>
      </c>
      <c r="D133" s="218">
        <f t="shared" si="22"/>
        <v>15</v>
      </c>
      <c r="E133" s="196">
        <f t="shared" si="23"/>
        <v>0</v>
      </c>
      <c r="F133" s="324">
        <f t="shared" si="26"/>
        <v>0.6</v>
      </c>
      <c r="G133" s="118">
        <f t="shared" si="24"/>
        <v>0</v>
      </c>
      <c r="H133" s="119">
        <f t="shared" si="25"/>
        <v>0</v>
      </c>
    </row>
    <row r="134" spans="1:8" x14ac:dyDescent="0.3">
      <c r="A134" s="218" t="s">
        <v>13</v>
      </c>
      <c r="B134" s="218" t="str">
        <f t="shared" si="22"/>
        <v>Green Bell Pepper - فلفل أخضر رومى</v>
      </c>
      <c r="C134" s="218" t="str">
        <f t="shared" si="22"/>
        <v>gm</v>
      </c>
      <c r="D134" s="218">
        <f t="shared" si="22"/>
        <v>50</v>
      </c>
      <c r="E134" s="196">
        <f t="shared" si="23"/>
        <v>0</v>
      </c>
      <c r="F134" s="324">
        <f t="shared" si="26"/>
        <v>1</v>
      </c>
      <c r="G134" s="118">
        <f t="shared" si="24"/>
        <v>0</v>
      </c>
      <c r="H134" s="119">
        <f t="shared" si="25"/>
        <v>0</v>
      </c>
    </row>
    <row r="135" spans="1:8" x14ac:dyDescent="0.3">
      <c r="A135" s="218" t="s">
        <v>56</v>
      </c>
      <c r="B135" s="218" t="str">
        <f t="shared" si="22"/>
        <v>Ginger - زنجبيل</v>
      </c>
      <c r="C135" s="218" t="str">
        <f t="shared" si="22"/>
        <v>gm</v>
      </c>
      <c r="D135" s="218">
        <f t="shared" si="22"/>
        <v>30</v>
      </c>
      <c r="E135" s="196">
        <f t="shared" si="23"/>
        <v>0</v>
      </c>
      <c r="F135" s="324">
        <f t="shared" si="26"/>
        <v>0.25</v>
      </c>
      <c r="G135" s="118">
        <f t="shared" si="24"/>
        <v>0</v>
      </c>
      <c r="H135" s="119">
        <f t="shared" si="25"/>
        <v>0</v>
      </c>
    </row>
    <row r="136" spans="1:8" x14ac:dyDescent="0.3">
      <c r="A136" s="218" t="s">
        <v>206</v>
      </c>
      <c r="B136" s="218" t="str">
        <f t="shared" si="22"/>
        <v>Water - ماء</v>
      </c>
      <c r="C136" s="218" t="str">
        <f t="shared" si="22"/>
        <v>ml</v>
      </c>
      <c r="D136" s="218">
        <f t="shared" si="22"/>
        <v>350</v>
      </c>
      <c r="E136" s="196">
        <f t="shared" si="23"/>
        <v>0</v>
      </c>
      <c r="F136" s="324">
        <f t="shared" si="26"/>
        <v>1</v>
      </c>
      <c r="G136" s="118">
        <f t="shared" si="24"/>
        <v>0</v>
      </c>
      <c r="H136" s="119">
        <f t="shared" si="25"/>
        <v>0</v>
      </c>
    </row>
    <row r="137" spans="1:8" ht="18" x14ac:dyDescent="0.3">
      <c r="A137" s="210"/>
      <c r="B137" s="197" t="s">
        <v>291</v>
      </c>
      <c r="C137" s="199" t="s">
        <v>277</v>
      </c>
      <c r="D137" s="14"/>
      <c r="E137" s="199" t="s">
        <v>292</v>
      </c>
      <c r="F137" s="14"/>
      <c r="G137" s="878" t="s">
        <v>268</v>
      </c>
      <c r="H137" s="878" t="s">
        <v>703</v>
      </c>
    </row>
    <row r="138" spans="1:8" ht="20" x14ac:dyDescent="0.4">
      <c r="A138" s="210"/>
      <c r="B138" s="198">
        <f>$J$56</f>
        <v>0</v>
      </c>
      <c r="C138" s="200">
        <f>E138+G138</f>
        <v>0</v>
      </c>
      <c r="D138" s="208"/>
      <c r="E138" s="200">
        <f>$C$56*$S$44</f>
        <v>0</v>
      </c>
      <c r="F138" s="99"/>
      <c r="G138" s="201">
        <f>$C$56*$T$44</f>
        <v>0</v>
      </c>
      <c r="H138" s="201">
        <f>B138+E138</f>
        <v>0</v>
      </c>
    </row>
  </sheetData>
  <mergeCells count="12">
    <mergeCell ref="B121:H121"/>
    <mergeCell ref="B122:H122"/>
    <mergeCell ref="B103:H103"/>
    <mergeCell ref="B2:K3"/>
    <mergeCell ref="B81:H81"/>
    <mergeCell ref="R25:T25"/>
    <mergeCell ref="AE2:AG3"/>
    <mergeCell ref="B102:H102"/>
    <mergeCell ref="B82:H82"/>
    <mergeCell ref="B62:H62"/>
    <mergeCell ref="R26:T26"/>
    <mergeCell ref="B63:H63"/>
  </mergeCells>
  <printOptions horizontalCentered="1"/>
  <pageMargins left="0.5" right="0.5" top="1" bottom="0.5" header="0.3" footer="0.511811023622047"/>
  <pageSetup paperSize="9" scale="33" orientation="portrait" r:id="rId1"/>
  <legacyDrawing r:id="rId2"/>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tabColor theme="6" tint="-0.249977111117893"/>
    <pageSetUpPr fitToPage="1"/>
  </sheetPr>
  <dimension ref="A1:AG56"/>
  <sheetViews>
    <sheetView zoomScale="85" zoomScaleNormal="85" workbookViewId="0">
      <selection activeCell="T95" sqref="T95"/>
    </sheetView>
  </sheetViews>
  <sheetFormatPr defaultColWidth="12.5" defaultRowHeight="14" x14ac:dyDescent="0.3"/>
  <cols>
    <col min="1" max="1" width="12.5" style="1" customWidth="1"/>
    <col min="2" max="2" width="19.5" customWidth="1"/>
    <col min="3" max="3" width="12" customWidth="1"/>
    <col min="4" max="4" width="16.33203125" customWidth="1"/>
    <col min="5" max="6" width="16.1640625" customWidth="1"/>
    <col min="7" max="7" width="16.4140625" customWidth="1"/>
    <col min="8" max="8" width="19.25" customWidth="1"/>
    <col min="9" max="9" width="18.4140625" customWidth="1"/>
    <col min="12" max="12" width="8.33203125" customWidth="1"/>
    <col min="13" max="13" width="11" customWidth="1"/>
    <col min="14" max="14" width="8.33203125" customWidth="1"/>
    <col min="15" max="17" width="4.1640625" customWidth="1"/>
    <col min="18" max="18" width="32" customWidth="1"/>
    <col min="29" max="29" width="16.58203125" bestFit="1" customWidth="1"/>
  </cols>
  <sheetData>
    <row r="1" spans="1:33" ht="24" customHeight="1" x14ac:dyDescent="0.3">
      <c r="A1" s="79" t="s">
        <v>235</v>
      </c>
      <c r="B1" s="80">
        <v>1000</v>
      </c>
      <c r="C1" s="81" t="s">
        <v>236</v>
      </c>
      <c r="D1" s="116">
        <f>S28</f>
        <v>5457.568181818182</v>
      </c>
      <c r="E1" s="79" t="s">
        <v>237</v>
      </c>
      <c r="F1" s="120">
        <f>D1/B1</f>
        <v>5.457568181818182</v>
      </c>
      <c r="G1" s="79" t="s">
        <v>238</v>
      </c>
      <c r="H1" s="120">
        <f>F1</f>
        <v>5.457568181818182</v>
      </c>
      <c r="I1" s="85" t="s">
        <v>429</v>
      </c>
      <c r="J1" s="504">
        <f>U54</f>
        <v>0.81185185185185182</v>
      </c>
      <c r="K1" s="85" t="s">
        <v>430</v>
      </c>
      <c r="L1" s="505">
        <f>U52</f>
        <v>0.76419634263715108</v>
      </c>
      <c r="M1" s="85" t="s">
        <v>431</v>
      </c>
      <c r="N1" s="505">
        <f>U53</f>
        <v>0.61852861035422346</v>
      </c>
      <c r="Y1" s="90" t="s">
        <v>463</v>
      </c>
      <c r="Z1" s="835">
        <v>16410</v>
      </c>
      <c r="AA1" s="90" t="s">
        <v>578</v>
      </c>
      <c r="AB1" s="835">
        <v>500</v>
      </c>
      <c r="AC1" s="90" t="s">
        <v>567</v>
      </c>
      <c r="AD1" s="835">
        <v>114</v>
      </c>
    </row>
    <row r="2" spans="1:33" ht="12.75" customHeight="1" x14ac:dyDescent="0.3">
      <c r="A2" s="506"/>
      <c r="B2" s="1443" t="s">
        <v>432</v>
      </c>
      <c r="C2" s="1466"/>
      <c r="D2" s="1466"/>
      <c r="E2" s="1466"/>
      <c r="F2" s="1466"/>
      <c r="G2" s="1466"/>
      <c r="H2" s="1466"/>
      <c r="I2" s="488"/>
      <c r="J2" s="488"/>
      <c r="K2" s="488"/>
      <c r="L2" s="507"/>
      <c r="M2" s="213"/>
      <c r="N2" s="213"/>
      <c r="AE2" s="1433"/>
      <c r="AF2" s="1458"/>
      <c r="AG2" s="1458"/>
    </row>
    <row r="3" spans="1:33" ht="12.75" customHeight="1" x14ac:dyDescent="0.3">
      <c r="A3" s="506"/>
      <c r="B3" s="1444"/>
      <c r="C3" s="1444"/>
      <c r="D3" s="1444"/>
      <c r="E3" s="1444"/>
      <c r="F3" s="1444"/>
      <c r="G3" s="1444"/>
      <c r="H3" s="1444"/>
      <c r="I3" s="369"/>
      <c r="J3" s="369"/>
      <c r="K3" s="369"/>
      <c r="L3" s="507"/>
      <c r="M3" s="213"/>
      <c r="N3" s="213"/>
      <c r="AE3" s="1458"/>
      <c r="AF3" s="1458"/>
      <c r="AG3" s="1458"/>
    </row>
    <row r="4" spans="1:33" ht="61.25" customHeight="1" x14ac:dyDescent="0.3">
      <c r="A4" s="90" t="s">
        <v>1</v>
      </c>
      <c r="B4" s="90" t="s">
        <v>245</v>
      </c>
      <c r="C4" s="306" t="s">
        <v>321</v>
      </c>
      <c r="D4" s="90" t="s">
        <v>322</v>
      </c>
      <c r="E4" s="107" t="s">
        <v>323</v>
      </c>
      <c r="F4" s="107" t="s">
        <v>324</v>
      </c>
      <c r="G4" s="307" t="s">
        <v>325</v>
      </c>
      <c r="H4" s="108" t="s">
        <v>326</v>
      </c>
      <c r="I4" s="90" t="s">
        <v>250</v>
      </c>
      <c r="J4" s="90" t="s">
        <v>251</v>
      </c>
      <c r="K4" s="90" t="s">
        <v>252</v>
      </c>
      <c r="L4" s="90" t="s">
        <v>253</v>
      </c>
    </row>
    <row r="5" spans="1:33" ht="14.25" customHeight="1" x14ac:dyDescent="0.3">
      <c r="A5" s="218"/>
      <c r="B5" s="649"/>
      <c r="C5" s="265"/>
      <c r="D5" s="218"/>
      <c r="E5" s="218"/>
      <c r="F5" s="218"/>
      <c r="G5" s="613"/>
      <c r="H5" s="265"/>
      <c r="I5" s="218"/>
      <c r="J5" s="218"/>
      <c r="K5" s="218"/>
      <c r="L5" s="218"/>
    </row>
    <row r="6" spans="1:33" ht="14.25" customHeight="1" x14ac:dyDescent="0.3">
      <c r="A6" s="508" t="s">
        <v>13</v>
      </c>
      <c r="B6" s="285" t="s">
        <v>21</v>
      </c>
      <c r="C6" s="123" t="s">
        <v>14</v>
      </c>
      <c r="D6" s="115">
        <f>V52</f>
        <v>523.42569269521414</v>
      </c>
      <c r="E6" s="196">
        <f>$H$1</f>
        <v>5.457568181818182</v>
      </c>
      <c r="F6" s="126">
        <v>1</v>
      </c>
      <c r="G6" s="118">
        <f>D6*E6</f>
        <v>2856.6314059995425</v>
      </c>
      <c r="H6" s="119">
        <f>G6*F6</f>
        <v>2856.6314059995425</v>
      </c>
      <c r="I6" s="218">
        <f>VLOOKUP(B6,All_Ingredients!$A$1:$F$149,6,FALSE())</f>
        <v>0.9</v>
      </c>
      <c r="J6" s="218">
        <f>VLOOKUP(B6,All_Ingredients!$A$1:$J$149,10,FALSE())</f>
        <v>2.2999999999999998</v>
      </c>
      <c r="K6" s="509">
        <f>(H6/I6)/1000</f>
        <v>3.1740348955550473</v>
      </c>
      <c r="L6" s="509">
        <f>K6*J6</f>
        <v>7.3002802597766081</v>
      </c>
    </row>
    <row r="7" spans="1:33" ht="14.25" customHeight="1" x14ac:dyDescent="0.3">
      <c r="A7" s="510" t="s">
        <v>13</v>
      </c>
      <c r="B7" s="285" t="s">
        <v>19</v>
      </c>
      <c r="C7" s="123" t="s">
        <v>14</v>
      </c>
      <c r="D7" s="115">
        <f>V53</f>
        <v>323.34801762114535</v>
      </c>
      <c r="E7" s="196">
        <f>$H$1</f>
        <v>5.457568181818182</v>
      </c>
      <c r="F7" s="126">
        <v>1</v>
      </c>
      <c r="G7" s="118">
        <f>D7*E7</f>
        <v>1764.6938526231477</v>
      </c>
      <c r="H7" s="119">
        <f>G7*F7</f>
        <v>1764.6938526231477</v>
      </c>
      <c r="I7" s="218">
        <f>VLOOKUP(B7,All_Ingredients!$A$1:$F$149,6,FALSE())</f>
        <v>0.84</v>
      </c>
      <c r="J7" s="218">
        <f>VLOOKUP(B7,All_Ingredients!$A$1:$J$149,10,FALSE())</f>
        <v>2.6</v>
      </c>
      <c r="K7" s="509">
        <f>(H7/I7)/1000</f>
        <v>2.1008260150275571</v>
      </c>
      <c r="L7" s="509">
        <f>K7*J7</f>
        <v>5.4621476390716488</v>
      </c>
    </row>
    <row r="8" spans="1:33" ht="14.25" customHeight="1" x14ac:dyDescent="0.3">
      <c r="A8" s="510" t="s">
        <v>13</v>
      </c>
      <c r="B8" s="285" t="s">
        <v>47</v>
      </c>
      <c r="C8" s="123" t="s">
        <v>14</v>
      </c>
      <c r="D8" s="115">
        <f>V54</f>
        <v>492.70072992700733</v>
      </c>
      <c r="E8" s="196">
        <f>$H$1</f>
        <v>5.457568181818182</v>
      </c>
      <c r="F8" s="126">
        <v>1</v>
      </c>
      <c r="G8" s="118">
        <f>D8*E8</f>
        <v>2688.9478268082285</v>
      </c>
      <c r="H8" s="119">
        <f>G8*F8</f>
        <v>2688.9478268082285</v>
      </c>
      <c r="I8" s="218">
        <f>VLOOKUP(B8,All_Ingredients!$A$1:$F$149,6,FALSE())</f>
        <v>0.78</v>
      </c>
      <c r="J8" s="218">
        <f>VLOOKUP(B8,All_Ingredients!$A$1:$J$149,10,FALSE())</f>
        <v>3.7</v>
      </c>
      <c r="K8" s="509">
        <f>(H8/I8)/1000</f>
        <v>3.4473690087284981</v>
      </c>
      <c r="L8" s="509">
        <f>K8*J8</f>
        <v>12.755265332295444</v>
      </c>
    </row>
    <row r="9" spans="1:33" x14ac:dyDescent="0.3">
      <c r="A9" s="510" t="s">
        <v>95</v>
      </c>
      <c r="B9" s="285" t="s">
        <v>94</v>
      </c>
      <c r="C9" s="123" t="s">
        <v>14</v>
      </c>
      <c r="D9" s="124">
        <v>25</v>
      </c>
      <c r="E9" s="196">
        <f>$H$1</f>
        <v>5.457568181818182</v>
      </c>
      <c r="F9" s="126">
        <v>0.5</v>
      </c>
      <c r="G9" s="118">
        <f>D9*E9</f>
        <v>136.43920454545454</v>
      </c>
      <c r="H9" s="119">
        <f>G9*F9</f>
        <v>68.219602272727272</v>
      </c>
      <c r="I9" s="218">
        <f>VLOOKUP(B9,All_Ingredients!$A$1:$F$149,6,FALSE())</f>
        <v>1</v>
      </c>
      <c r="J9" s="218">
        <f>VLOOKUP(B9,All_Ingredients!$A$1:$J$149,10,FALSE())</f>
        <v>0.74</v>
      </c>
      <c r="K9" s="509">
        <f>(H9/I9)/1000</f>
        <v>6.8219602272727276E-2</v>
      </c>
      <c r="L9" s="509">
        <f>K9*J9</f>
        <v>5.0482505681818182E-2</v>
      </c>
    </row>
    <row r="21" spans="18:31" ht="14.25" customHeight="1" x14ac:dyDescent="0.3"/>
    <row r="22" spans="18:31" ht="14.25" customHeight="1" x14ac:dyDescent="0.3"/>
    <row r="23" spans="18:31" ht="14.25" customHeight="1" x14ac:dyDescent="0.3"/>
    <row r="24" spans="18:31" ht="14.25" customHeight="1" x14ac:dyDescent="0.3">
      <c r="Z24" s="1265"/>
    </row>
    <row r="25" spans="18:31" ht="14.25" customHeight="1" x14ac:dyDescent="0.35">
      <c r="R25" s="1440" t="s">
        <v>438</v>
      </c>
      <c r="S25" s="1444"/>
      <c r="T25" s="1444"/>
      <c r="U25" s="1444"/>
      <c r="Z25" s="140" t="s">
        <v>256</v>
      </c>
      <c r="AA25" s="141">
        <v>1</v>
      </c>
      <c r="AB25" s="140" t="s">
        <v>253</v>
      </c>
      <c r="AC25" s="1210">
        <f>(S35/S32)*AA25</f>
        <v>4.291713490557552E-3</v>
      </c>
    </row>
    <row r="26" spans="18:31" ht="14.25" customHeight="1" x14ac:dyDescent="0.3">
      <c r="R26" s="1445" t="s">
        <v>426</v>
      </c>
      <c r="S26" s="1446"/>
      <c r="T26" s="1446"/>
      <c r="U26" s="1446"/>
      <c r="AC26" s="14"/>
      <c r="AD26" s="14"/>
    </row>
    <row r="27" spans="18:31" ht="14.25" customHeight="1" thickBot="1" x14ac:dyDescent="0.35">
      <c r="R27" s="144"/>
      <c r="S27" s="145" t="s">
        <v>439</v>
      </c>
      <c r="T27" s="145" t="s">
        <v>260</v>
      </c>
      <c r="U27" s="145" t="s">
        <v>261</v>
      </c>
      <c r="V27" s="489"/>
      <c r="Z27" s="14"/>
      <c r="AA27" s="14"/>
      <c r="AB27" s="14"/>
      <c r="AC27" s="14"/>
      <c r="AD27" s="14"/>
      <c r="AE27" s="14"/>
    </row>
    <row r="28" spans="18:31" ht="14.25" customHeight="1" thickBot="1" x14ac:dyDescent="0.35">
      <c r="R28" s="147" t="s">
        <v>329</v>
      </c>
      <c r="S28" s="1325">
        <f>U28*AVERAGE(Z55:AC55)</f>
        <v>5457.568181818182</v>
      </c>
      <c r="T28" s="148"/>
      <c r="U28" s="1346">
        <f>$Z$1</f>
        <v>16410</v>
      </c>
      <c r="V28" s="13"/>
      <c r="Z28" s="14"/>
      <c r="AA28" s="14"/>
      <c r="AB28" s="14"/>
      <c r="AC28" s="14"/>
      <c r="AD28" s="14"/>
      <c r="AE28" s="14"/>
    </row>
    <row r="29" spans="18:31" ht="14.25" customHeight="1" thickBot="1" x14ac:dyDescent="0.35">
      <c r="R29" s="147"/>
      <c r="S29" s="154"/>
      <c r="T29" s="148"/>
      <c r="U29" s="148">
        <f>T29</f>
        <v>0</v>
      </c>
      <c r="V29" s="489"/>
      <c r="Z29" s="14"/>
      <c r="AA29" s="14"/>
      <c r="AB29" s="14"/>
      <c r="AC29" s="14"/>
      <c r="AD29" s="14"/>
      <c r="AE29" s="14"/>
    </row>
    <row r="30" spans="18:31" ht="14.25" customHeight="1" thickBot="1" x14ac:dyDescent="0.35">
      <c r="R30" s="426" t="s">
        <v>330</v>
      </c>
      <c r="S30" s="1329">
        <f>$AB$1</f>
        <v>500</v>
      </c>
      <c r="T30" s="148"/>
      <c r="U30" s="756">
        <v>1000</v>
      </c>
      <c r="Z30" s="14"/>
      <c r="AA30" s="14"/>
      <c r="AB30" s="14"/>
      <c r="AC30" s="14"/>
      <c r="AD30" s="14"/>
      <c r="AE30" s="14"/>
    </row>
    <row r="31" spans="18:31" ht="14.25" customHeight="1" thickBot="1" x14ac:dyDescent="0.35">
      <c r="R31" s="147" t="s">
        <v>440</v>
      </c>
      <c r="S31" s="154"/>
      <c r="T31" s="148"/>
      <c r="U31" s="148">
        <f>T31</f>
        <v>0</v>
      </c>
      <c r="Z31" s="14"/>
      <c r="AA31" s="14"/>
      <c r="AB31" s="14"/>
      <c r="AC31" s="14"/>
      <c r="AD31" s="14"/>
      <c r="AE31" s="14"/>
    </row>
    <row r="32" spans="18:31" ht="14.25" customHeight="1" x14ac:dyDescent="0.3">
      <c r="R32" s="427" t="s">
        <v>331</v>
      </c>
      <c r="S32" s="148">
        <f>S28+S30</f>
        <v>5957.568181818182</v>
      </c>
      <c r="T32" s="148"/>
      <c r="U32" s="148">
        <f>U28+U30</f>
        <v>17410</v>
      </c>
    </row>
    <row r="33" spans="17:25" ht="14.25" customHeight="1" x14ac:dyDescent="0.3">
      <c r="R33" s="160" t="s">
        <v>272</v>
      </c>
      <c r="S33" s="154"/>
      <c r="T33" s="154"/>
      <c r="U33" s="154"/>
    </row>
    <row r="34" spans="17:25" ht="14.25" customHeight="1" x14ac:dyDescent="0.3">
      <c r="R34" s="161" t="s">
        <v>273</v>
      </c>
      <c r="S34" s="154"/>
      <c r="T34" s="148"/>
      <c r="U34" s="154"/>
    </row>
    <row r="35" spans="17:25" ht="14.25" customHeight="1" x14ac:dyDescent="0.3">
      <c r="R35" s="162" t="s">
        <v>253</v>
      </c>
      <c r="S35" s="1125">
        <f>SUM(L6:L9)</f>
        <v>25.56817573682552</v>
      </c>
      <c r="T35" s="1125"/>
      <c r="U35" s="1213">
        <f>S35+T35</f>
        <v>25.56817573682552</v>
      </c>
      <c r="V35" s="526"/>
    </row>
    <row r="40" spans="17:25" ht="14.25" customHeight="1" x14ac:dyDescent="0.3">
      <c r="Q40" s="14"/>
      <c r="R40" s="389"/>
      <c r="S40" s="498"/>
      <c r="T40" s="389"/>
      <c r="U40" s="498"/>
      <c r="V40" s="498"/>
      <c r="W40" s="390"/>
      <c r="X40" s="14"/>
      <c r="Y40" s="14"/>
    </row>
    <row r="41" spans="17:25" ht="14.25" customHeight="1" x14ac:dyDescent="0.3">
      <c r="Q41" s="14"/>
      <c r="R41" s="14"/>
      <c r="S41" s="14"/>
      <c r="T41" s="14"/>
      <c r="U41" s="168"/>
      <c r="V41" s="168"/>
      <c r="W41" s="14"/>
      <c r="X41" s="14"/>
      <c r="Y41" s="14"/>
    </row>
    <row r="42" spans="17:25" ht="14.25" customHeight="1" x14ac:dyDescent="0.3">
      <c r="Q42" s="14"/>
      <c r="R42" s="14"/>
      <c r="S42" s="14"/>
      <c r="T42" s="14"/>
      <c r="U42" s="14"/>
      <c r="V42" s="14"/>
      <c r="W42" s="14"/>
      <c r="X42" s="14"/>
      <c r="Y42" s="14"/>
    </row>
    <row r="43" spans="17:25" ht="14.25" customHeight="1" x14ac:dyDescent="0.3">
      <c r="Q43" s="320"/>
      <c r="R43" s="320"/>
      <c r="S43" s="320"/>
      <c r="T43" s="320"/>
      <c r="U43" s="320"/>
      <c r="V43" s="320"/>
      <c r="W43" s="320"/>
      <c r="X43" s="320"/>
      <c r="Y43" s="320"/>
    </row>
    <row r="44" spans="17:25" ht="14.25" customHeight="1" x14ac:dyDescent="0.3">
      <c r="Q44" s="14"/>
      <c r="R44" s="388"/>
      <c r="S44" s="391"/>
      <c r="T44" s="391"/>
      <c r="U44" s="392"/>
      <c r="V44" s="392"/>
      <c r="W44" s="297"/>
      <c r="X44" s="297"/>
      <c r="Y44" s="297"/>
    </row>
    <row r="50" spans="4:29" ht="14.5" thickBot="1" x14ac:dyDescent="0.35">
      <c r="R50" s="1"/>
      <c r="Z50">
        <v>90</v>
      </c>
      <c r="AA50">
        <v>110</v>
      </c>
      <c r="AB50">
        <v>150</v>
      </c>
      <c r="AC50">
        <v>200</v>
      </c>
    </row>
    <row r="51" spans="4:29" ht="28" x14ac:dyDescent="0.3">
      <c r="R51" s="132" t="s">
        <v>433</v>
      </c>
      <c r="S51" s="132" t="s">
        <v>434</v>
      </c>
      <c r="T51" s="132" t="s">
        <v>435</v>
      </c>
      <c r="U51" s="132"/>
      <c r="V51" s="132" t="s">
        <v>436</v>
      </c>
      <c r="W51" s="132"/>
      <c r="X51" s="132"/>
      <c r="Y51" s="511" t="s">
        <v>437</v>
      </c>
      <c r="Z51" s="512">
        <v>30</v>
      </c>
      <c r="AA51" s="513">
        <v>40</v>
      </c>
      <c r="AB51" s="514">
        <v>50</v>
      </c>
      <c r="AC51" s="515">
        <v>60</v>
      </c>
    </row>
    <row r="52" spans="4:29" x14ac:dyDescent="0.3">
      <c r="R52" t="s">
        <v>21</v>
      </c>
      <c r="S52">
        <v>20780</v>
      </c>
      <c r="T52">
        <v>15880</v>
      </c>
      <c r="U52" s="499">
        <f>T52/S52</f>
        <v>0.76419634263715108</v>
      </c>
      <c r="V52">
        <f>400/U52</f>
        <v>523.42569269521414</v>
      </c>
      <c r="W52">
        <f>V52*U52</f>
        <v>400</v>
      </c>
      <c r="X52" s="499">
        <f>W52/$X$56</f>
        <v>0.4</v>
      </c>
      <c r="Y52" s="516" t="s">
        <v>21</v>
      </c>
      <c r="Z52" s="517">
        <f>X52*$Z$51</f>
        <v>12</v>
      </c>
      <c r="AA52" s="518">
        <f>X52*$AA$51</f>
        <v>16</v>
      </c>
      <c r="AB52" s="519">
        <f>X52*$AB$51</f>
        <v>20</v>
      </c>
      <c r="AC52" s="520">
        <f>X52*$AC$51</f>
        <v>24</v>
      </c>
    </row>
    <row r="53" spans="4:29" x14ac:dyDescent="0.3">
      <c r="D53" s="489"/>
      <c r="R53" t="s">
        <v>19</v>
      </c>
      <c r="S53">
        <v>3670</v>
      </c>
      <c r="T53">
        <v>2270</v>
      </c>
      <c r="U53" s="499">
        <f>T53/S53</f>
        <v>0.61852861035422346</v>
      </c>
      <c r="V53">
        <f>200/U53</f>
        <v>323.34801762114535</v>
      </c>
      <c r="W53">
        <f>V53*U53</f>
        <v>200</v>
      </c>
      <c r="X53" s="499">
        <f>W53/$X$56</f>
        <v>0.2</v>
      </c>
      <c r="Y53" s="516" t="s">
        <v>19</v>
      </c>
      <c r="Z53" s="517">
        <f>X53*$Z$51</f>
        <v>6</v>
      </c>
      <c r="AA53" s="518">
        <f>X53*$AA$51</f>
        <v>8</v>
      </c>
      <c r="AB53" s="519">
        <f>X53*$AB$51</f>
        <v>10</v>
      </c>
      <c r="AC53" s="520">
        <f>X53*$AC$51</f>
        <v>12</v>
      </c>
    </row>
    <row r="54" spans="4:29" ht="14.5" thickBot="1" x14ac:dyDescent="0.35">
      <c r="D54" s="489"/>
      <c r="R54" t="s">
        <v>47</v>
      </c>
      <c r="S54">
        <v>6750</v>
      </c>
      <c r="T54">
        <v>5480</v>
      </c>
      <c r="U54" s="499">
        <f>T54/S54</f>
        <v>0.81185185185185182</v>
      </c>
      <c r="V54">
        <f>400/U54</f>
        <v>492.70072992700733</v>
      </c>
      <c r="W54">
        <f>V54*U54</f>
        <v>400</v>
      </c>
      <c r="X54" s="499">
        <f>W54/$X$56</f>
        <v>0.4</v>
      </c>
      <c r="Y54" s="521" t="s">
        <v>47</v>
      </c>
      <c r="Z54" s="522">
        <f>X54*$Z$51</f>
        <v>12</v>
      </c>
      <c r="AA54" s="523">
        <f>X54*$AA$51</f>
        <v>16</v>
      </c>
      <c r="AB54" s="524">
        <f>X54*$AB$51</f>
        <v>20</v>
      </c>
      <c r="AC54" s="525">
        <f>X54*$AC$51</f>
        <v>24</v>
      </c>
    </row>
    <row r="55" spans="4:29" x14ac:dyDescent="0.3">
      <c r="D55" s="489"/>
      <c r="R55" s="1"/>
      <c r="Z55" s="4">
        <f>Z51/Z50</f>
        <v>0.33333333333333331</v>
      </c>
      <c r="AA55" s="4">
        <f>AA51/AA50</f>
        <v>0.36363636363636365</v>
      </c>
      <c r="AB55" s="4">
        <f>AB51/AB50</f>
        <v>0.33333333333333331</v>
      </c>
      <c r="AC55" s="4">
        <f>AC51/AC50</f>
        <v>0.3</v>
      </c>
    </row>
    <row r="56" spans="4:29" x14ac:dyDescent="0.3">
      <c r="R56" s="1"/>
      <c r="X56">
        <f>SUM(W52:W54)</f>
        <v>1000</v>
      </c>
    </row>
  </sheetData>
  <mergeCells count="4">
    <mergeCell ref="AE2:AG3"/>
    <mergeCell ref="R25:U25"/>
    <mergeCell ref="R26:U26"/>
    <mergeCell ref="B2:H3"/>
  </mergeCells>
  <printOptions horizontalCentered="1"/>
  <pageMargins left="0.5" right="0.5" top="1" bottom="0.5" header="0.3" footer="0.511811023622047"/>
  <pageSetup paperSize="9" scale="19" orientation="portrait" r:id="rId1"/>
  <legacyDrawing r:id="rId2"/>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tabColor rgb="FF7C7C7C"/>
    <pageSetUpPr fitToPage="1"/>
  </sheetPr>
  <dimension ref="A1:AT73"/>
  <sheetViews>
    <sheetView zoomScale="85" zoomScaleNormal="85" workbookViewId="0">
      <selection activeCell="T95" sqref="T95"/>
    </sheetView>
  </sheetViews>
  <sheetFormatPr defaultColWidth="12.5" defaultRowHeight="12.5" x14ac:dyDescent="0.25"/>
  <cols>
    <col min="1" max="1" width="12.5" style="14" customWidth="1"/>
    <col min="2" max="2" width="43.7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4.5" style="14" customWidth="1"/>
    <col min="15" max="15" width="16.58203125" style="14" customWidth="1"/>
    <col min="16" max="17" width="12.5" style="14" customWidth="1"/>
    <col min="18" max="18" width="30.5" style="14" customWidth="1"/>
    <col min="19" max="19" width="12.5" style="14" customWidth="1"/>
    <col min="20" max="23" width="12.5" style="14"/>
    <col min="24" max="24" width="7.1640625" style="14" bestFit="1" customWidth="1"/>
    <col min="25" max="25" width="12" style="14" customWidth="1"/>
    <col min="26" max="26" width="9.33203125" style="14" bestFit="1" customWidth="1"/>
    <col min="27" max="27" width="11" style="14" bestFit="1" customWidth="1"/>
    <col min="28" max="28" width="11.75" style="14" bestFit="1" customWidth="1"/>
    <col min="29" max="29" width="13.25" style="14" bestFit="1" customWidth="1"/>
    <col min="30" max="30" width="12.5" style="14" bestFit="1" customWidth="1"/>
    <col min="31" max="31" width="11" style="14" customWidth="1"/>
    <col min="32" max="32" width="6.75" style="14" customWidth="1"/>
    <col min="33" max="34" width="5.08203125" style="14" customWidth="1"/>
    <col min="35" max="35" width="12.5" style="14"/>
    <col min="36" max="36" width="31.1640625" style="14" customWidth="1"/>
    <col min="37" max="37" width="12.5" style="14"/>
    <col min="38" max="38" width="15.9140625" style="14" customWidth="1"/>
    <col min="39" max="16384" width="12.5" style="14"/>
  </cols>
  <sheetData>
    <row r="1" spans="1:46" ht="28.5" customHeight="1" x14ac:dyDescent="0.3">
      <c r="B1" s="79" t="s">
        <v>235</v>
      </c>
      <c r="C1" s="80">
        <v>1000</v>
      </c>
      <c r="D1" s="81" t="s">
        <v>236</v>
      </c>
      <c r="E1" s="116">
        <f>T32</f>
        <v>4864.6153846153893</v>
      </c>
      <c r="F1" s="79" t="s">
        <v>237</v>
      </c>
      <c r="G1" s="116">
        <f>E1/C1</f>
        <v>4.864615384615389</v>
      </c>
      <c r="H1" s="79" t="s">
        <v>238</v>
      </c>
      <c r="I1" s="116">
        <f>G1/K1</f>
        <v>4.864615384615389</v>
      </c>
      <c r="J1" s="325" t="s">
        <v>239</v>
      </c>
      <c r="K1" s="326">
        <v>1</v>
      </c>
      <c r="L1" s="99"/>
      <c r="M1" s="88"/>
      <c r="N1" s="89"/>
      <c r="O1" s="90" t="s">
        <v>240</v>
      </c>
      <c r="P1" s="462"/>
      <c r="Q1" s="92" t="s">
        <v>242</v>
      </c>
      <c r="R1" s="91">
        <v>0.59</v>
      </c>
      <c r="S1" s="92" t="s">
        <v>337</v>
      </c>
      <c r="T1" s="327">
        <v>140</v>
      </c>
      <c r="U1" s="99"/>
      <c r="V1" s="99"/>
      <c r="Y1" s="90" t="s">
        <v>463</v>
      </c>
      <c r="Z1" s="835">
        <v>147</v>
      </c>
      <c r="AA1" s="90" t="s">
        <v>578</v>
      </c>
      <c r="AB1" s="835">
        <v>5</v>
      </c>
      <c r="AC1" s="90" t="s">
        <v>567</v>
      </c>
      <c r="AD1" s="835">
        <v>147</v>
      </c>
      <c r="AE1" s="90" t="s">
        <v>558</v>
      </c>
      <c r="AF1" s="835">
        <f>Z1+AB1</f>
        <v>152</v>
      </c>
      <c r="AJ1" s="93" t="s">
        <v>254</v>
      </c>
      <c r="AK1" s="93">
        <v>10000</v>
      </c>
      <c r="AL1" s="623" t="s">
        <v>503</v>
      </c>
      <c r="AM1" s="624">
        <f>$S$32</f>
        <v>16215.384615384612</v>
      </c>
      <c r="AN1" s="93" t="s">
        <v>243</v>
      </c>
      <c r="AO1" s="328">
        <f>((AD1*T1)/$R$1)/$AK$1</f>
        <v>3.4881355932203393</v>
      </c>
      <c r="AP1" s="94"/>
    </row>
    <row r="2" spans="1:46" ht="12.75" customHeight="1" x14ac:dyDescent="0.25">
      <c r="A2" s="329"/>
      <c r="B2" s="1450" t="s">
        <v>118</v>
      </c>
      <c r="C2" s="1460"/>
      <c r="D2" s="1460"/>
      <c r="E2" s="1460"/>
      <c r="F2" s="1460"/>
      <c r="G2" s="1460"/>
      <c r="H2" s="1460"/>
      <c r="I2" s="1460"/>
      <c r="J2" s="1460"/>
      <c r="K2" s="1460"/>
      <c r="L2" s="292"/>
      <c r="M2" s="99"/>
      <c r="N2" s="99"/>
      <c r="O2" s="99"/>
      <c r="P2" s="99"/>
      <c r="Q2" s="99"/>
      <c r="R2" s="99"/>
      <c r="AC2" s="98"/>
      <c r="AD2" s="98"/>
      <c r="AE2" s="1457"/>
      <c r="AF2" s="1460"/>
      <c r="AG2" s="1460"/>
      <c r="AJ2" s="100"/>
      <c r="AK2" s="1442" t="s">
        <v>442</v>
      </c>
      <c r="AL2" s="1442"/>
      <c r="AM2" s="1442"/>
      <c r="AN2" s="1442"/>
      <c r="AO2" s="100"/>
      <c r="AP2" s="100"/>
    </row>
    <row r="3" spans="1:46" ht="12.75" customHeight="1" x14ac:dyDescent="0.25">
      <c r="A3" s="329"/>
      <c r="B3" s="1444"/>
      <c r="C3" s="1444"/>
      <c r="D3" s="1444"/>
      <c r="E3" s="1444"/>
      <c r="F3" s="1444"/>
      <c r="G3" s="1444"/>
      <c r="H3" s="1444"/>
      <c r="I3" s="1444"/>
      <c r="J3" s="1444"/>
      <c r="K3" s="1444"/>
      <c r="L3" s="292"/>
      <c r="M3" s="99"/>
      <c r="N3" s="99"/>
      <c r="O3" s="99"/>
      <c r="P3" s="99"/>
      <c r="Q3" s="99"/>
      <c r="R3" s="99"/>
      <c r="AC3" s="98"/>
      <c r="AD3" s="98"/>
      <c r="AE3" s="1460"/>
      <c r="AF3" s="1460"/>
      <c r="AG3" s="1460"/>
      <c r="AJ3" s="100"/>
      <c r="AK3" s="100"/>
      <c r="AL3" s="100"/>
      <c r="AM3" s="100"/>
      <c r="AN3" s="1460"/>
      <c r="AO3" s="100"/>
      <c r="AP3" s="100"/>
    </row>
    <row r="4" spans="1:46" ht="68.75" customHeight="1" x14ac:dyDescent="0.25">
      <c r="A4" s="90" t="s">
        <v>1</v>
      </c>
      <c r="B4" s="90" t="s">
        <v>245</v>
      </c>
      <c r="C4" s="106" t="s">
        <v>246</v>
      </c>
      <c r="D4" s="90" t="s">
        <v>235</v>
      </c>
      <c r="E4" s="217" t="s">
        <v>238</v>
      </c>
      <c r="F4" s="107" t="s">
        <v>247</v>
      </c>
      <c r="G4" s="90" t="s">
        <v>248</v>
      </c>
      <c r="H4" s="106" t="s">
        <v>339</v>
      </c>
      <c r="I4" s="90" t="s">
        <v>250</v>
      </c>
      <c r="J4" s="90" t="s">
        <v>251</v>
      </c>
      <c r="K4" s="90" t="s">
        <v>252</v>
      </c>
      <c r="L4" s="90" t="s">
        <v>253</v>
      </c>
      <c r="M4" s="370"/>
      <c r="N4" s="370"/>
      <c r="O4" s="99"/>
      <c r="P4" s="99"/>
      <c r="Q4" s="99"/>
      <c r="R4" s="99"/>
      <c r="AC4" s="250"/>
      <c r="AD4" s="252"/>
      <c r="AE4" s="250"/>
      <c r="AF4" s="250"/>
      <c r="AG4" s="250"/>
      <c r="AJ4" s="93" t="s">
        <v>245</v>
      </c>
      <c r="AK4" s="527" t="s">
        <v>246</v>
      </c>
      <c r="AL4" s="93" t="s">
        <v>254</v>
      </c>
      <c r="AM4" s="93" t="s">
        <v>238</v>
      </c>
      <c r="AN4" s="93" t="s">
        <v>247</v>
      </c>
      <c r="AO4" s="93" t="s">
        <v>248</v>
      </c>
      <c r="AP4" s="93" t="s">
        <v>339</v>
      </c>
      <c r="AQ4" s="90" t="s">
        <v>250</v>
      </c>
      <c r="AR4" s="90" t="s">
        <v>251</v>
      </c>
      <c r="AS4" s="90" t="s">
        <v>252</v>
      </c>
      <c r="AT4" s="90" t="s">
        <v>253</v>
      </c>
    </row>
    <row r="5" spans="1:46" ht="13.25" customHeight="1" x14ac:dyDescent="0.3">
      <c r="A5" s="265" t="s">
        <v>225</v>
      </c>
      <c r="B5" s="491" t="s">
        <v>224</v>
      </c>
      <c r="C5" s="123" t="s">
        <v>14</v>
      </c>
      <c r="D5" s="267">
        <f>I51/10</f>
        <v>5649.8305084745762</v>
      </c>
      <c r="E5" s="528">
        <f>H52</f>
        <v>4.8645180942534987</v>
      </c>
      <c r="F5" s="126">
        <v>1</v>
      </c>
      <c r="G5" s="118">
        <f t="shared" ref="G5:G10" si="0">D5*E5</f>
        <v>27483.702737940021</v>
      </c>
      <c r="H5" s="119">
        <f t="shared" ref="H5:H10" si="1">G5*F5</f>
        <v>27483.702737940021</v>
      </c>
      <c r="I5" s="80">
        <f>VLOOKUP(B5,All_Ingredients!$A$1:$F$149,6,FALSE())</f>
        <v>0.86</v>
      </c>
      <c r="J5" s="118">
        <f>VLOOKUP(B5,All_Ingredients!$A$1:$J$149,10,FALSE())</f>
        <v>17.100000000000001</v>
      </c>
      <c r="K5" s="121">
        <f t="shared" ref="K5" si="2">(H5/I5)/1000</f>
        <v>31.957793881325603</v>
      </c>
      <c r="L5" s="121">
        <f t="shared" ref="L5" si="3">K5*J5</f>
        <v>546.47827537066792</v>
      </c>
      <c r="M5" s="130"/>
      <c r="N5" s="130"/>
      <c r="O5" s="99"/>
      <c r="P5" s="99"/>
      <c r="Q5" s="99"/>
      <c r="R5" s="99"/>
      <c r="AC5" s="91"/>
      <c r="AD5" s="132"/>
      <c r="AE5" s="253"/>
      <c r="AF5" s="134"/>
      <c r="AG5" s="135"/>
      <c r="AJ5" s="293" t="s">
        <v>224</v>
      </c>
      <c r="AK5" s="123" t="s">
        <v>231</v>
      </c>
      <c r="AL5" s="115">
        <v>10</v>
      </c>
      <c r="AM5" s="196">
        <f t="shared" ref="AM5:AM12" si="4">$AO$1</f>
        <v>3.4881355932203393</v>
      </c>
      <c r="AN5" s="298">
        <v>1</v>
      </c>
      <c r="AO5" s="118">
        <f t="shared" ref="AO5:AO12" si="5">AL5*AM5</f>
        <v>34.881355932203391</v>
      </c>
      <c r="AP5" s="206">
        <f t="shared" ref="AP5:AP12" si="6">AO5*AN5</f>
        <v>34.881355932203391</v>
      </c>
      <c r="AQ5" s="294"/>
      <c r="AR5" s="1152"/>
      <c r="AS5" s="174"/>
      <c r="AT5" s="1153"/>
    </row>
    <row r="6" spans="1:46" ht="14.25" customHeight="1" x14ac:dyDescent="0.3">
      <c r="A6" s="294" t="s">
        <v>192</v>
      </c>
      <c r="B6" s="221" t="s">
        <v>191</v>
      </c>
      <c r="C6" s="333" t="s">
        <v>161</v>
      </c>
      <c r="D6" s="115">
        <v>500</v>
      </c>
      <c r="E6" s="115">
        <f>$I$1</f>
        <v>4.864615384615389</v>
      </c>
      <c r="F6" s="126">
        <v>1</v>
      </c>
      <c r="G6" s="118">
        <f t="shared" si="0"/>
        <v>2432.3076923076947</v>
      </c>
      <c r="H6" s="119">
        <f t="shared" si="1"/>
        <v>2432.3076923076947</v>
      </c>
      <c r="I6" s="80">
        <f>VLOOKUP(B6,All_Ingredients!$A$1:$F$149,6,FALSE())</f>
        <v>1</v>
      </c>
      <c r="J6" s="118">
        <f>VLOOKUP(B6,All_Ingredients!$A$1:$J$149,10,FALSE())</f>
        <v>17.480211081794195</v>
      </c>
      <c r="K6" s="121">
        <f t="shared" ref="K6:K10" si="7">(H6/I6)/1000</f>
        <v>2.4323076923076945</v>
      </c>
      <c r="L6" s="121">
        <f t="shared" ref="L6:L10" si="8">K6*J6</f>
        <v>42.517251877410224</v>
      </c>
      <c r="M6" s="130"/>
      <c r="N6" s="130"/>
      <c r="AI6" s="14" t="s">
        <v>56</v>
      </c>
      <c r="AJ6" s="293" t="s">
        <v>55</v>
      </c>
      <c r="AK6" s="333" t="s">
        <v>14</v>
      </c>
      <c r="AL6" s="115">
        <v>150</v>
      </c>
      <c r="AM6" s="196">
        <f t="shared" si="4"/>
        <v>3.4881355932203393</v>
      </c>
      <c r="AN6" s="298">
        <v>1</v>
      </c>
      <c r="AO6" s="118">
        <f t="shared" si="5"/>
        <v>523.22033898305085</v>
      </c>
      <c r="AP6" s="206">
        <f t="shared" si="6"/>
        <v>523.22033898305085</v>
      </c>
      <c r="AQ6" s="1153">
        <f>VLOOKUP(AJ6,Marination_Ordering!$A:$J,6,FALSE)</f>
        <v>0.87</v>
      </c>
      <c r="AR6" s="1153">
        <f>VLOOKUP(AJ6,Marination_Ordering!$A:$J,10,FALSE)</f>
        <v>3.2</v>
      </c>
      <c r="AS6" s="174">
        <f>AP6/AQ6</f>
        <v>601.40268848626533</v>
      </c>
      <c r="AT6" s="1153">
        <f>AR6*(AS6/1000)</f>
        <v>1.9244886031560491</v>
      </c>
    </row>
    <row r="7" spans="1:46" ht="14.25" customHeight="1" x14ac:dyDescent="0.3">
      <c r="A7" s="294" t="s">
        <v>95</v>
      </c>
      <c r="B7" s="221" t="s">
        <v>150</v>
      </c>
      <c r="C7" s="123" t="s">
        <v>14</v>
      </c>
      <c r="D7" s="115">
        <v>50</v>
      </c>
      <c r="E7" s="115">
        <f>$I$1</f>
        <v>4.864615384615389</v>
      </c>
      <c r="F7" s="126">
        <v>1</v>
      </c>
      <c r="G7" s="118">
        <f t="shared" si="0"/>
        <v>243.23076923076945</v>
      </c>
      <c r="H7" s="119">
        <f t="shared" si="1"/>
        <v>243.23076923076945</v>
      </c>
      <c r="I7" s="80">
        <f>VLOOKUP(B7,All_Ingredients!$A$1:$F$149,6,FALSE())</f>
        <v>1</v>
      </c>
      <c r="J7" s="118">
        <f>VLOOKUP(B7,All_Ingredients!$A$1:$J$149,10,FALSE())</f>
        <v>10</v>
      </c>
      <c r="K7" s="121">
        <f t="shared" si="7"/>
        <v>0.24323076923076944</v>
      </c>
      <c r="L7" s="121">
        <f t="shared" si="8"/>
        <v>2.4323076923076945</v>
      </c>
      <c r="M7" s="130"/>
      <c r="N7" s="130"/>
      <c r="AI7" s="14" t="s">
        <v>13</v>
      </c>
      <c r="AJ7" s="293" t="s">
        <v>762</v>
      </c>
      <c r="AK7" s="333" t="s">
        <v>14</v>
      </c>
      <c r="AL7" s="115">
        <v>100</v>
      </c>
      <c r="AM7" s="196">
        <f t="shared" si="4"/>
        <v>3.4881355932203393</v>
      </c>
      <c r="AN7" s="298">
        <v>1</v>
      </c>
      <c r="AO7" s="118">
        <f t="shared" si="5"/>
        <v>348.81355932203394</v>
      </c>
      <c r="AP7" s="206">
        <f t="shared" si="6"/>
        <v>348.81355932203394</v>
      </c>
      <c r="AQ7" s="1153">
        <f>VLOOKUP(AJ7,Marination_Ordering!$A:$J,6,FALSE)</f>
        <v>1</v>
      </c>
      <c r="AR7" s="1153">
        <f>VLOOKUP(AJ7,Marination_Ordering!$A:$J,10,FALSE)</f>
        <v>10.5</v>
      </c>
      <c r="AS7" s="174">
        <f t="shared" ref="AS7:AS12" si="9">AP7/AQ7</f>
        <v>348.81355932203394</v>
      </c>
      <c r="AT7" s="1153">
        <f t="shared" ref="AT7:AT12" si="10">AR7*(AS7/1000)</f>
        <v>3.6625423728813566</v>
      </c>
    </row>
    <row r="8" spans="1:46" ht="14.25" customHeight="1" x14ac:dyDescent="0.3">
      <c r="A8" s="294" t="s">
        <v>95</v>
      </c>
      <c r="B8" s="221" t="s">
        <v>147</v>
      </c>
      <c r="C8" s="123" t="s">
        <v>14</v>
      </c>
      <c r="D8" s="115">
        <v>50</v>
      </c>
      <c r="E8" s="115">
        <f>$I$1</f>
        <v>4.864615384615389</v>
      </c>
      <c r="F8" s="126">
        <v>1</v>
      </c>
      <c r="G8" s="118">
        <f t="shared" si="0"/>
        <v>243.23076923076945</v>
      </c>
      <c r="H8" s="119">
        <f t="shared" si="1"/>
        <v>243.23076923076945</v>
      </c>
      <c r="I8" s="80">
        <f>VLOOKUP(B8,All_Ingredients!$A$1:$F$149,6,FALSE())</f>
        <v>1</v>
      </c>
      <c r="J8" s="118">
        <f>VLOOKUP(B8,All_Ingredients!$A$1:$J$149,10,FALSE())</f>
        <v>12</v>
      </c>
      <c r="K8" s="121">
        <f t="shared" si="7"/>
        <v>0.24323076923076944</v>
      </c>
      <c r="L8" s="121">
        <f t="shared" si="8"/>
        <v>2.9187692307692332</v>
      </c>
      <c r="M8" s="130"/>
      <c r="N8" s="130"/>
      <c r="AI8" s="14" t="s">
        <v>206</v>
      </c>
      <c r="AJ8" s="293" t="s">
        <v>214</v>
      </c>
      <c r="AK8" s="333" t="s">
        <v>161</v>
      </c>
      <c r="AL8" s="222">
        <v>350</v>
      </c>
      <c r="AM8" s="196">
        <f t="shared" si="4"/>
        <v>3.4881355932203393</v>
      </c>
      <c r="AN8" s="298">
        <v>1</v>
      </c>
      <c r="AO8" s="118">
        <f t="shared" si="5"/>
        <v>1220.8474576271187</v>
      </c>
      <c r="AP8" s="206">
        <f t="shared" si="6"/>
        <v>1220.8474576271187</v>
      </c>
      <c r="AQ8" s="1153">
        <f>VLOOKUP(AJ8,Marination_Ordering!$A:$J,6,FALSE)</f>
        <v>1</v>
      </c>
      <c r="AR8" s="1153">
        <f>VLOOKUP(AJ8,Marination_Ordering!$A:$J,10,FALSE)</f>
        <v>5</v>
      </c>
      <c r="AS8" s="174">
        <f t="shared" si="9"/>
        <v>1220.8474576271187</v>
      </c>
      <c r="AT8" s="1153">
        <f t="shared" si="10"/>
        <v>6.1042372881355931</v>
      </c>
    </row>
    <row r="9" spans="1:46" ht="14.25" customHeight="1" x14ac:dyDescent="0.35">
      <c r="A9" s="294" t="s">
        <v>192</v>
      </c>
      <c r="B9" s="221" t="s">
        <v>200</v>
      </c>
      <c r="C9" s="992" t="s">
        <v>161</v>
      </c>
      <c r="D9" s="115">
        <v>300</v>
      </c>
      <c r="E9" s="115">
        <f>$I$1</f>
        <v>4.864615384615389</v>
      </c>
      <c r="F9" s="126">
        <v>1</v>
      </c>
      <c r="G9" s="118">
        <f t="shared" si="0"/>
        <v>1459.3846153846166</v>
      </c>
      <c r="H9" s="119">
        <f t="shared" si="1"/>
        <v>1459.3846153846166</v>
      </c>
      <c r="I9" s="80">
        <f>VLOOKUP(B9,All_Ingredients!$A$1:$F$149,6,FALSE())</f>
        <v>1</v>
      </c>
      <c r="J9" s="118">
        <f>VLOOKUP(B9,All_Ingredients!$A$1:$J$149,10,FALSE())</f>
        <v>3.25</v>
      </c>
      <c r="K9" s="121">
        <f t="shared" si="7"/>
        <v>1.4593846153846166</v>
      </c>
      <c r="L9" s="121">
        <f t="shared" si="8"/>
        <v>4.7430000000000039</v>
      </c>
      <c r="M9" s="130"/>
      <c r="N9" s="130"/>
      <c r="AI9" s="14" t="s">
        <v>206</v>
      </c>
      <c r="AJ9" s="293" t="s">
        <v>210</v>
      </c>
      <c r="AK9" s="123" t="s">
        <v>161</v>
      </c>
      <c r="AL9" s="115">
        <v>70</v>
      </c>
      <c r="AM9" s="196">
        <f t="shared" si="4"/>
        <v>3.4881355932203393</v>
      </c>
      <c r="AN9" s="298">
        <v>1</v>
      </c>
      <c r="AO9" s="118">
        <f t="shared" si="5"/>
        <v>244.16949152542375</v>
      </c>
      <c r="AP9" s="206">
        <f t="shared" si="6"/>
        <v>244.16949152542375</v>
      </c>
      <c r="AQ9" s="1153">
        <f>VLOOKUP(AJ9,Marination_Ordering!$A:$J,6,FALSE)</f>
        <v>1</v>
      </c>
      <c r="AR9" s="1153">
        <f>VLOOKUP(AJ9,Marination_Ordering!$A:$J,10,FALSE)</f>
        <v>2.1621621621621623</v>
      </c>
      <c r="AS9" s="174">
        <f t="shared" si="9"/>
        <v>244.16949152542375</v>
      </c>
      <c r="AT9" s="1153">
        <f t="shared" si="10"/>
        <v>0.52793403573064601</v>
      </c>
    </row>
    <row r="10" spans="1:46" ht="14.25" customHeight="1" x14ac:dyDescent="0.3">
      <c r="A10" s="294" t="s">
        <v>192</v>
      </c>
      <c r="B10" s="221" t="s">
        <v>194</v>
      </c>
      <c r="C10" s="123" t="s">
        <v>161</v>
      </c>
      <c r="D10" s="115">
        <v>100</v>
      </c>
      <c r="E10" s="115">
        <f>$I$1</f>
        <v>4.864615384615389</v>
      </c>
      <c r="F10" s="126">
        <v>1</v>
      </c>
      <c r="G10" s="118">
        <f t="shared" si="0"/>
        <v>486.46153846153891</v>
      </c>
      <c r="H10" s="119">
        <f t="shared" si="1"/>
        <v>486.46153846153891</v>
      </c>
      <c r="I10" s="80">
        <f>VLOOKUP(B10,All_Ingredients!$A$1:$F$149,6,FALSE())</f>
        <v>1</v>
      </c>
      <c r="J10" s="118">
        <f>VLOOKUP(B10,All_Ingredients!$A$1:$J$149,10,FALSE())</f>
        <v>58.685446009389672</v>
      </c>
      <c r="K10" s="121">
        <f t="shared" si="7"/>
        <v>0.48646153846153889</v>
      </c>
      <c r="L10" s="121">
        <f t="shared" si="8"/>
        <v>28.548212351029278</v>
      </c>
      <c r="M10" s="130"/>
      <c r="N10" s="130"/>
      <c r="AI10" s="14" t="s">
        <v>95</v>
      </c>
      <c r="AJ10" s="293" t="s">
        <v>94</v>
      </c>
      <c r="AK10" s="333" t="s">
        <v>14</v>
      </c>
      <c r="AL10" s="115">
        <v>2</v>
      </c>
      <c r="AM10" s="196">
        <f t="shared" si="4"/>
        <v>3.4881355932203393</v>
      </c>
      <c r="AN10" s="298">
        <v>1</v>
      </c>
      <c r="AO10" s="118">
        <f t="shared" si="5"/>
        <v>6.9762711864406786</v>
      </c>
      <c r="AP10" s="206">
        <f t="shared" si="6"/>
        <v>6.9762711864406786</v>
      </c>
      <c r="AQ10" s="1153">
        <f>VLOOKUP(AJ10,Marination_Ordering!$A:$J,6,FALSE)</f>
        <v>1</v>
      </c>
      <c r="AR10" s="1153">
        <f>VLOOKUP(AJ10,Marination_Ordering!$A:$J,10,FALSE)</f>
        <v>0.74</v>
      </c>
      <c r="AS10" s="174">
        <f t="shared" si="9"/>
        <v>6.9762711864406786</v>
      </c>
      <c r="AT10" s="1153">
        <f t="shared" si="10"/>
        <v>5.1624406779661024E-3</v>
      </c>
    </row>
    <row r="11" spans="1:46" ht="14.25" customHeight="1" x14ac:dyDescent="0.3">
      <c r="B11" s="322" t="s">
        <v>879</v>
      </c>
      <c r="C11" s="123" t="s">
        <v>234</v>
      </c>
      <c r="D11" s="115">
        <v>1</v>
      </c>
      <c r="E11" s="115">
        <f>$Z$1+$AB$1</f>
        <v>152</v>
      </c>
      <c r="F11" s="126">
        <v>1</v>
      </c>
      <c r="G11" s="120">
        <f>D11*($Z$1+$AB$1)</f>
        <v>152</v>
      </c>
      <c r="H11" s="119">
        <f>G11*F11</f>
        <v>152</v>
      </c>
      <c r="I11" s="80">
        <f>VLOOKUP(B11,All_Ingredients!$A$1:$F$149,6,FALSE())</f>
        <v>1</v>
      </c>
      <c r="J11" s="118">
        <f>VLOOKUP(B11,All_Ingredients!$A$1:$J$149,10,FALSE())</f>
        <v>1</v>
      </c>
      <c r="K11" s="174">
        <f>H11*I11</f>
        <v>152</v>
      </c>
      <c r="L11" s="121">
        <f>K11*J11</f>
        <v>152</v>
      </c>
      <c r="R11" s="529"/>
      <c r="AI11" s="14" t="s">
        <v>95</v>
      </c>
      <c r="AJ11" s="293" t="s">
        <v>100</v>
      </c>
      <c r="AK11" s="333" t="s">
        <v>14</v>
      </c>
      <c r="AL11" s="115">
        <v>3</v>
      </c>
      <c r="AM11" s="196">
        <f t="shared" si="4"/>
        <v>3.4881355932203393</v>
      </c>
      <c r="AN11" s="298">
        <v>1</v>
      </c>
      <c r="AO11" s="118">
        <f t="shared" si="5"/>
        <v>10.464406779661019</v>
      </c>
      <c r="AP11" s="206">
        <f t="shared" si="6"/>
        <v>10.464406779661019</v>
      </c>
      <c r="AQ11" s="1153">
        <f>VLOOKUP(AJ11,Marination_Ordering!$A:$J,6,FALSE)</f>
        <v>1</v>
      </c>
      <c r="AR11" s="1153">
        <f>VLOOKUP(AJ11,Marination_Ordering!$A:$J,10,FALSE)</f>
        <v>31</v>
      </c>
      <c r="AS11" s="174">
        <f t="shared" si="9"/>
        <v>10.464406779661019</v>
      </c>
      <c r="AT11" s="1153">
        <f t="shared" si="10"/>
        <v>0.32439661016949156</v>
      </c>
    </row>
    <row r="12" spans="1:46" ht="14.25" customHeight="1" x14ac:dyDescent="0.3">
      <c r="B12" s="348"/>
      <c r="C12" s="132"/>
      <c r="D12" s="253"/>
      <c r="E12" s="224"/>
      <c r="F12" s="135"/>
      <c r="G12" s="139"/>
      <c r="H12" s="137"/>
      <c r="I12" s="91"/>
      <c r="J12" s="138"/>
      <c r="AI12" s="14" t="s">
        <v>192</v>
      </c>
      <c r="AJ12" s="293" t="s">
        <v>191</v>
      </c>
      <c r="AK12" s="333" t="s">
        <v>161</v>
      </c>
      <c r="AL12" s="124">
        <v>50</v>
      </c>
      <c r="AM12" s="196">
        <f t="shared" si="4"/>
        <v>3.4881355932203393</v>
      </c>
      <c r="AN12" s="298">
        <v>1</v>
      </c>
      <c r="AO12" s="118">
        <f t="shared" si="5"/>
        <v>174.40677966101697</v>
      </c>
      <c r="AP12" s="206">
        <f t="shared" si="6"/>
        <v>174.40677966101697</v>
      </c>
      <c r="AQ12" s="1153">
        <f>VLOOKUP(AJ12,Marination_Ordering!$A:$J,6,FALSE)</f>
        <v>1</v>
      </c>
      <c r="AR12" s="1153">
        <f>VLOOKUP(AJ12,Marination_Ordering!$A:$J,10,FALSE)</f>
        <v>17.480211081794195</v>
      </c>
      <c r="AS12" s="174">
        <f t="shared" si="9"/>
        <v>174.40677966101697</v>
      </c>
      <c r="AT12" s="1153">
        <f t="shared" si="10"/>
        <v>3.0486673225705472</v>
      </c>
    </row>
    <row r="23" spans="2:32" x14ac:dyDescent="0.25">
      <c r="U23" s="14" t="s">
        <v>441</v>
      </c>
    </row>
    <row r="24" spans="2:32" ht="12.75" customHeight="1" x14ac:dyDescent="0.25">
      <c r="Z24" s="1208"/>
    </row>
    <row r="25" spans="2:32" ht="14" customHeight="1" x14ac:dyDescent="0.3">
      <c r="B25" s="11"/>
      <c r="C25" s="335"/>
      <c r="D25" s="336"/>
      <c r="E25" s="335"/>
      <c r="F25" s="335"/>
      <c r="G25" s="335"/>
      <c r="H25" s="335"/>
      <c r="R25" s="1467" t="s">
        <v>442</v>
      </c>
      <c r="S25" s="1444"/>
      <c r="T25" s="1444"/>
      <c r="U25" s="1444"/>
      <c r="V25" s="1132"/>
      <c r="Z25" s="140" t="s">
        <v>256</v>
      </c>
      <c r="AA25" s="141">
        <v>1</v>
      </c>
      <c r="AB25" s="140" t="s">
        <v>253</v>
      </c>
      <c r="AC25" s="142">
        <f>AF30*AA25</f>
        <v>5.2318108236546452</v>
      </c>
    </row>
    <row r="26" spans="2:32" ht="14" customHeight="1" x14ac:dyDescent="0.3">
      <c r="B26" s="11"/>
      <c r="C26" s="335"/>
      <c r="D26" s="336"/>
      <c r="E26" s="335"/>
      <c r="F26" s="335"/>
      <c r="G26" s="335"/>
      <c r="H26" s="335"/>
      <c r="R26" s="1477" t="s">
        <v>301</v>
      </c>
      <c r="S26" s="1446"/>
      <c r="T26" s="1446"/>
      <c r="U26" s="1446"/>
      <c r="V26" s="1132"/>
    </row>
    <row r="27" spans="2:32" ht="14" customHeight="1" thickBot="1" x14ac:dyDescent="0.35">
      <c r="B27" s="11"/>
      <c r="C27" s="335"/>
      <c r="D27" s="336"/>
      <c r="E27" s="99"/>
      <c r="F27" s="99"/>
      <c r="R27" s="144" t="s">
        <v>258</v>
      </c>
      <c r="S27" s="144" t="s">
        <v>363</v>
      </c>
      <c r="T27" s="144" t="s">
        <v>260</v>
      </c>
      <c r="U27" s="144" t="s">
        <v>261</v>
      </c>
      <c r="V27" s="145" t="s">
        <v>808</v>
      </c>
      <c r="W27" s="145" t="s">
        <v>823</v>
      </c>
      <c r="X27" s="145" t="s">
        <v>818</v>
      </c>
      <c r="Z27" s="140" t="s">
        <v>262</v>
      </c>
      <c r="AA27" s="146" t="s">
        <v>808</v>
      </c>
      <c r="AB27" s="146" t="s">
        <v>263</v>
      </c>
      <c r="AC27" s="146" t="s">
        <v>264</v>
      </c>
      <c r="AD27" s="146" t="s">
        <v>821</v>
      </c>
      <c r="AE27" s="146" t="s">
        <v>818</v>
      </c>
      <c r="AF27" s="146" t="s">
        <v>266</v>
      </c>
    </row>
    <row r="28" spans="2:32" ht="14" customHeight="1" thickBot="1" x14ac:dyDescent="0.35">
      <c r="R28" s="144" t="s">
        <v>267</v>
      </c>
      <c r="S28" s="786">
        <f>U28*S40</f>
        <v>15830.769230769227</v>
      </c>
      <c r="T28" s="786">
        <f>U28*U40</f>
        <v>4749.2307692307741</v>
      </c>
      <c r="U28" s="784">
        <f>$Z$1*140</f>
        <v>20580</v>
      </c>
      <c r="V28" s="148">
        <f>SUM(AP5:AP13)</f>
        <v>2563.7796610169494</v>
      </c>
      <c r="W28" s="148">
        <f>SUM(K16:K18)</f>
        <v>0</v>
      </c>
      <c r="X28" s="148">
        <f>K11</f>
        <v>152</v>
      </c>
      <c r="Z28" s="150"/>
      <c r="AA28" s="1186"/>
      <c r="AB28" s="151">
        <f>AA25*$S$40</f>
        <v>0.76923076923076905</v>
      </c>
      <c r="AC28" s="151">
        <f>AA25-AB28</f>
        <v>0.23076923076923095</v>
      </c>
      <c r="AD28" s="1186"/>
      <c r="AE28" s="1186"/>
      <c r="AF28" s="153">
        <f>SUM(AB28:AD28)</f>
        <v>1</v>
      </c>
    </row>
    <row r="29" spans="2:32" ht="14" customHeight="1" thickBot="1" x14ac:dyDescent="0.35">
      <c r="R29" s="144" t="s">
        <v>268</v>
      </c>
      <c r="S29" s="787"/>
      <c r="T29" s="786"/>
      <c r="U29" s="338">
        <f>T29</f>
        <v>0</v>
      </c>
      <c r="V29" s="148"/>
      <c r="W29" s="148"/>
      <c r="X29" s="148"/>
      <c r="Z29" s="150"/>
      <c r="AA29" s="1186"/>
      <c r="AB29" s="155">
        <f>AB28/$AF$28</f>
        <v>0.76923076923076905</v>
      </c>
      <c r="AC29" s="155">
        <f>AC28/$AF$28</f>
        <v>0.23076923076923095</v>
      </c>
      <c r="AD29" s="1186"/>
      <c r="AE29" s="1186"/>
      <c r="AF29" s="155">
        <f>AF28/$AF$28</f>
        <v>1</v>
      </c>
    </row>
    <row r="30" spans="2:32" ht="14" customHeight="1" thickBot="1" x14ac:dyDescent="0.35">
      <c r="R30" s="144" t="s">
        <v>269</v>
      </c>
      <c r="S30" s="1335">
        <f>U30*S40</f>
        <v>384.61538461538453</v>
      </c>
      <c r="T30" s="786">
        <f>U30*U40</f>
        <v>115.3846153846155</v>
      </c>
      <c r="U30" s="784">
        <f>$AB$1*100</f>
        <v>500</v>
      </c>
      <c r="V30" s="1124"/>
      <c r="W30" s="1124"/>
      <c r="X30" s="1124"/>
      <c r="Z30" s="140" t="s">
        <v>270</v>
      </c>
      <c r="AA30" s="1126">
        <f>V35/$AF$1</f>
        <v>0.10261466232448453</v>
      </c>
      <c r="AB30" s="156">
        <f>S35/(AF1)</f>
        <v>3.5952518116491312</v>
      </c>
      <c r="AC30" s="1185">
        <f>T35/AF1</f>
        <v>0.53394434968102922</v>
      </c>
      <c r="AD30" s="297">
        <f>W35/AF1</f>
        <v>0</v>
      </c>
      <c r="AE30" s="1126">
        <f>X35/$AF$1</f>
        <v>1</v>
      </c>
      <c r="AF30" s="1129">
        <f>AA30+AB30+AC30+AD30+AE30</f>
        <v>5.2318108236546452</v>
      </c>
    </row>
    <row r="31" spans="2:32" ht="14" customHeight="1" thickBot="1" x14ac:dyDescent="0.35">
      <c r="R31" s="144" t="s">
        <v>271</v>
      </c>
      <c r="S31" s="293"/>
      <c r="T31" s="338"/>
      <c r="U31" s="338"/>
      <c r="V31" s="148"/>
      <c r="W31" s="148"/>
      <c r="X31" s="148"/>
    </row>
    <row r="32" spans="2:32" ht="14" customHeight="1" thickBot="1" x14ac:dyDescent="0.35">
      <c r="R32" s="145" t="s">
        <v>261</v>
      </c>
      <c r="S32" s="339">
        <f>SUM(S28:S30)</f>
        <v>16215.384615384612</v>
      </c>
      <c r="T32" s="339">
        <f>SUM(T28:T30)</f>
        <v>4864.6153846153893</v>
      </c>
      <c r="U32" s="339">
        <f>SUM(U28:U30)</f>
        <v>21080</v>
      </c>
      <c r="V32" s="148"/>
      <c r="W32" s="148"/>
      <c r="X32" s="148"/>
    </row>
    <row r="33" spans="2:24" ht="14" customHeight="1" thickBot="1" x14ac:dyDescent="0.35">
      <c r="R33" s="340" t="s">
        <v>272</v>
      </c>
      <c r="S33" s="341"/>
      <c r="T33" s="341"/>
      <c r="U33" s="342"/>
      <c r="V33" s="154"/>
      <c r="W33" s="154"/>
      <c r="X33" s="154"/>
    </row>
    <row r="34" spans="2:24" ht="14" customHeight="1" thickBot="1" x14ac:dyDescent="0.35">
      <c r="R34" s="177" t="s">
        <v>273</v>
      </c>
      <c r="S34" s="343"/>
      <c r="T34" s="344"/>
      <c r="U34" s="343"/>
      <c r="V34" s="154"/>
      <c r="W34" s="154"/>
      <c r="X34" s="154"/>
    </row>
    <row r="35" spans="2:24" ht="12.75" customHeight="1" thickBot="1" x14ac:dyDescent="0.35">
      <c r="R35" s="162" t="s">
        <v>253</v>
      </c>
      <c r="S35" s="1125">
        <f>$L$5</f>
        <v>546.47827537066792</v>
      </c>
      <c r="T35" s="1125">
        <f>SUM(L6:L10)</f>
        <v>81.159541151516436</v>
      </c>
      <c r="U35" s="1184">
        <f>S35+T35+V35+X35</f>
        <v>795.23524519550608</v>
      </c>
      <c r="V35" s="1125">
        <f>SUM(AT6:AT12)</f>
        <v>15.597428673321648</v>
      </c>
      <c r="W35" s="1125"/>
      <c r="X35" s="1125">
        <f>L11</f>
        <v>152</v>
      </c>
    </row>
    <row r="36" spans="2:24" ht="14" customHeight="1" x14ac:dyDescent="0.25"/>
    <row r="37" spans="2:24" ht="14" customHeight="1" x14ac:dyDescent="0.25"/>
    <row r="40" spans="2:24" ht="18" customHeight="1" x14ac:dyDescent="0.3">
      <c r="R40" s="164" t="s">
        <v>274</v>
      </c>
      <c r="S40" s="165">
        <v>0.76923076923076905</v>
      </c>
      <c r="T40" s="164" t="s">
        <v>275</v>
      </c>
      <c r="U40" s="166">
        <v>0.230769230769231</v>
      </c>
      <c r="V40" s="167">
        <f>S40+U40</f>
        <v>1</v>
      </c>
    </row>
    <row r="41" spans="2:24" ht="12.75" customHeight="1" x14ac:dyDescent="0.25">
      <c r="U41" s="168"/>
    </row>
    <row r="42" spans="2:24" ht="14.25" customHeight="1" x14ac:dyDescent="0.3">
      <c r="B42" s="99"/>
      <c r="C42" s="207"/>
      <c r="D42" s="208"/>
      <c r="E42" s="99"/>
      <c r="F42" s="99"/>
    </row>
    <row r="43" spans="2:24" ht="12.75" customHeight="1" x14ac:dyDescent="0.3">
      <c r="B43" s="99"/>
      <c r="E43" s="99"/>
      <c r="F43" s="99"/>
      <c r="Q43" s="169" t="s">
        <v>276</v>
      </c>
      <c r="R43" s="169" t="s">
        <v>277</v>
      </c>
      <c r="S43" s="169" t="s">
        <v>278</v>
      </c>
      <c r="T43" s="169" t="s">
        <v>279</v>
      </c>
      <c r="U43" s="169" t="s">
        <v>280</v>
      </c>
      <c r="V43" s="169" t="s">
        <v>281</v>
      </c>
      <c r="W43" s="257" t="s">
        <v>282</v>
      </c>
    </row>
    <row r="44" spans="2:24" ht="14.25" customHeight="1" x14ac:dyDescent="0.3">
      <c r="B44" s="99"/>
      <c r="C44" s="99"/>
      <c r="D44" s="345"/>
      <c r="E44" s="99"/>
      <c r="F44" s="99"/>
      <c r="G44" s="99"/>
      <c r="H44" s="99"/>
      <c r="I44" s="99"/>
      <c r="J44" s="99"/>
      <c r="Q44" s="171">
        <v>43334</v>
      </c>
      <c r="R44" s="172">
        <f>D51</f>
        <v>10000</v>
      </c>
      <c r="S44" s="173">
        <v>1</v>
      </c>
      <c r="T44" s="173">
        <v>0</v>
      </c>
      <c r="U44" s="241">
        <f>R44*S44</f>
        <v>10000</v>
      </c>
      <c r="V44" s="175">
        <f>R44*T44</f>
        <v>0</v>
      </c>
      <c r="W44" s="259">
        <f>Q44-U44</f>
        <v>33334</v>
      </c>
    </row>
    <row r="45" spans="2:24" ht="12.75" customHeight="1" x14ac:dyDescent="0.25">
      <c r="B45" s="99"/>
      <c r="C45" s="99"/>
      <c r="D45" s="99"/>
      <c r="E45" s="99"/>
      <c r="F45" s="99"/>
      <c r="G45" s="99"/>
      <c r="H45" s="99"/>
      <c r="I45" s="99"/>
      <c r="J45" s="99"/>
    </row>
    <row r="46" spans="2:24" ht="17.75" customHeight="1" x14ac:dyDescent="0.25">
      <c r="B46" s="1493"/>
      <c r="C46" s="1460"/>
      <c r="D46" s="1460"/>
      <c r="E46" s="1460"/>
      <c r="F46" s="1460"/>
      <c r="G46" s="1460"/>
      <c r="H46" s="1460"/>
      <c r="I46" s="1460"/>
      <c r="J46" s="1460"/>
    </row>
    <row r="47" spans="2:24" ht="17.75" customHeight="1" x14ac:dyDescent="0.25">
      <c r="B47" s="1465"/>
      <c r="C47" s="1460"/>
      <c r="D47" s="1460"/>
      <c r="E47" s="1460"/>
      <c r="F47" s="1460"/>
      <c r="G47" s="1460"/>
      <c r="H47" s="1460"/>
      <c r="I47" s="1460"/>
      <c r="J47" s="1460"/>
    </row>
    <row r="48" spans="2:24" ht="14.25" customHeight="1" x14ac:dyDescent="0.25"/>
    <row r="49" spans="1:21" ht="14.25" customHeight="1" x14ac:dyDescent="0.3">
      <c r="U49" s="498"/>
    </row>
    <row r="50" spans="1:21" ht="14.25" customHeight="1" x14ac:dyDescent="0.3">
      <c r="B50" s="225"/>
      <c r="C50" s="225" t="s">
        <v>237</v>
      </c>
      <c r="D50" s="225" t="s">
        <v>283</v>
      </c>
      <c r="E50" s="99"/>
      <c r="F50" s="99"/>
      <c r="G50" s="144" t="s">
        <v>284</v>
      </c>
      <c r="H50" s="144" t="s">
        <v>237</v>
      </c>
      <c r="I50" s="144" t="s">
        <v>285</v>
      </c>
      <c r="J50" s="144" t="s">
        <v>286</v>
      </c>
    </row>
    <row r="51" spans="1:21" ht="14.25" customHeight="1" x14ac:dyDescent="0.3">
      <c r="B51" s="179" t="s">
        <v>287</v>
      </c>
      <c r="C51" s="180">
        <f>10/$K$1</f>
        <v>10</v>
      </c>
      <c r="D51" s="181">
        <f>$C$1*10</f>
        <v>10000</v>
      </c>
      <c r="E51" s="99"/>
      <c r="F51" s="99"/>
      <c r="G51" s="179" t="s">
        <v>287</v>
      </c>
      <c r="H51" s="276">
        <f>I51/$D$5</f>
        <v>10</v>
      </c>
      <c r="I51" s="180">
        <f>J51/$R$1</f>
        <v>56498.305084745763</v>
      </c>
      <c r="J51" s="180">
        <f>$W$44</f>
        <v>33334</v>
      </c>
    </row>
    <row r="52" spans="1:21" ht="14.25" customHeight="1" x14ac:dyDescent="0.3">
      <c r="B52" s="230" t="s">
        <v>266</v>
      </c>
      <c r="C52" s="231">
        <f>$I$1</f>
        <v>4.864615384615389</v>
      </c>
      <c r="D52" s="232">
        <f>$E$1</f>
        <v>4864.6153846153893</v>
      </c>
      <c r="E52" s="99"/>
      <c r="F52" s="99"/>
      <c r="G52" s="147" t="s">
        <v>266</v>
      </c>
      <c r="H52" s="209">
        <f>I52/$D$5</f>
        <v>4.8645180942534987</v>
      </c>
      <c r="I52" s="175">
        <f>J52/$R$1</f>
        <v>27483.702737940021</v>
      </c>
      <c r="J52" s="183">
        <f>$S$32</f>
        <v>16215.384615384612</v>
      </c>
    </row>
    <row r="53" spans="1:21" ht="14.25" customHeight="1" x14ac:dyDescent="0.3">
      <c r="B53" s="230" t="s">
        <v>288</v>
      </c>
      <c r="C53" s="233">
        <f>MIN(C52, C51)</f>
        <v>4.864615384615389</v>
      </c>
      <c r="D53" s="232">
        <f>(C53*$K$1)*$C$1</f>
        <v>4864.6153846153893</v>
      </c>
      <c r="E53" s="99"/>
      <c r="F53" s="99"/>
      <c r="G53" s="147" t="s">
        <v>288</v>
      </c>
      <c r="H53" s="186">
        <f>MIN(H52,H51)</f>
        <v>4.8645180942534987</v>
      </c>
      <c r="I53" s="175">
        <f>J53/$R$1</f>
        <v>27483.702737940021</v>
      </c>
      <c r="J53" s="175">
        <f>MIN(J52,J51)</f>
        <v>16215.384615384612</v>
      </c>
    </row>
    <row r="54" spans="1:21" ht="14" x14ac:dyDescent="0.3">
      <c r="B54" s="230" t="s">
        <v>289</v>
      </c>
      <c r="C54" s="233">
        <f>MIN(MAX(C52-C53,0),C51)</f>
        <v>0</v>
      </c>
      <c r="D54" s="232">
        <f>(C54*$K$1)*$C$1</f>
        <v>0</v>
      </c>
      <c r="E54" s="99"/>
      <c r="F54" s="99"/>
      <c r="G54" s="147" t="s">
        <v>289</v>
      </c>
      <c r="H54" s="186">
        <f>MIN(MAX(H52-H53),H51)</f>
        <v>0</v>
      </c>
      <c r="I54" s="175">
        <f>J54/$R$1</f>
        <v>0</v>
      </c>
      <c r="J54" s="175">
        <f>MIN(MAX(J52-J53),J51)</f>
        <v>0</v>
      </c>
    </row>
    <row r="55" spans="1:21" ht="14" x14ac:dyDescent="0.3">
      <c r="B55" s="230" t="s">
        <v>290</v>
      </c>
      <c r="C55" s="233">
        <f>MIN(MAX(C52-C53-C54,0),C51)</f>
        <v>0</v>
      </c>
      <c r="D55" s="232">
        <f>(C55*$K$1)*$C$1</f>
        <v>0</v>
      </c>
      <c r="E55" s="99"/>
      <c r="F55" s="99"/>
      <c r="G55" s="144" t="s">
        <v>290</v>
      </c>
      <c r="H55" s="186">
        <f>MIN(MAX(H52-H53-H54),H51)</f>
        <v>0</v>
      </c>
      <c r="I55" s="175">
        <f>J55/$R$1</f>
        <v>0</v>
      </c>
      <c r="J55" s="175">
        <f>MIN(MAX(J52-J53-J54),J51)</f>
        <v>0</v>
      </c>
    </row>
    <row r="61" spans="1:21" ht="17.75" customHeight="1" x14ac:dyDescent="0.25">
      <c r="B61" s="1493"/>
      <c r="C61" s="1460"/>
      <c r="D61" s="1460"/>
      <c r="E61" s="1460"/>
      <c r="F61" s="1460"/>
      <c r="G61" s="1460"/>
      <c r="H61" s="1460"/>
      <c r="I61" s="1460"/>
      <c r="J61" s="1460"/>
    </row>
    <row r="62" spans="1:21" ht="17.75" customHeight="1" x14ac:dyDescent="0.25">
      <c r="A62" s="927"/>
      <c r="B62" s="1481" t="str">
        <f>" ساندوتش تشيكن باربيكيو 1 / " &amp; COUNTIF($C$53:$C$55, "&gt;0")</f>
        <v xml:space="preserve"> ساندوتش تشيكن باربيكيو 1 / 1</v>
      </c>
      <c r="C62" s="1461"/>
      <c r="D62" s="1461"/>
      <c r="E62" s="1461"/>
      <c r="F62" s="1461"/>
      <c r="G62" s="1461"/>
      <c r="H62" s="1461"/>
    </row>
    <row r="63" spans="1:21" ht="18" customHeight="1" x14ac:dyDescent="0.25">
      <c r="A63" s="927"/>
      <c r="B63" s="1481" t="str">
        <f>" BBQ Chicken Sandwitch 1 / " &amp; COUNTIF($C$53:$C$55, "&gt;0")</f>
        <v xml:space="preserve"> BBQ Chicken Sandwitch 1 / 1</v>
      </c>
      <c r="C63" s="1461"/>
      <c r="D63" s="1461"/>
      <c r="E63" s="1461"/>
      <c r="F63" s="1461"/>
      <c r="G63" s="1461"/>
      <c r="H63" s="1461"/>
    </row>
    <row r="64" spans="1:21" ht="25.5" customHeight="1" x14ac:dyDescent="0.25">
      <c r="A64" s="90"/>
      <c r="B64" s="242" t="s">
        <v>245</v>
      </c>
      <c r="C64" s="243" t="s">
        <v>246</v>
      </c>
      <c r="D64" s="244" t="s">
        <v>235</v>
      </c>
      <c r="E64" s="217" t="s">
        <v>238</v>
      </c>
      <c r="F64" s="217" t="s">
        <v>247</v>
      </c>
      <c r="G64" s="244" t="s">
        <v>248</v>
      </c>
      <c r="H64" s="217" t="s">
        <v>249</v>
      </c>
    </row>
    <row r="65" spans="1:10" ht="14.25" customHeight="1" x14ac:dyDescent="0.25">
      <c r="A65" s="14" t="s">
        <v>225</v>
      </c>
      <c r="B65" s="322" t="str">
        <f t="shared" ref="B65:D69" si="11">B5</f>
        <v>Chicken - دجاج</v>
      </c>
      <c r="C65" s="123" t="str">
        <f t="shared" si="11"/>
        <v>gm</v>
      </c>
      <c r="D65" s="115">
        <f t="shared" si="11"/>
        <v>5649.8305084745762</v>
      </c>
      <c r="E65" s="350">
        <f>H53</f>
        <v>4.8645180942534987</v>
      </c>
      <c r="F65" s="126">
        <f t="shared" ref="F65:F71" si="12">F5</f>
        <v>1</v>
      </c>
      <c r="G65" s="118">
        <f t="shared" ref="G65:G69" si="13">D65*E65</f>
        <v>27483.702737940021</v>
      </c>
      <c r="H65" s="119">
        <f t="shared" ref="H65:H69" si="14">G65*F65</f>
        <v>27483.702737940021</v>
      </c>
    </row>
    <row r="66" spans="1:10" ht="14.25" customHeight="1" x14ac:dyDescent="0.25">
      <c r="A66" s="14" t="s">
        <v>192</v>
      </c>
      <c r="B66" s="322" t="str">
        <f t="shared" si="11"/>
        <v>BBQ Sauce - صوص باربيكيو</v>
      </c>
      <c r="C66" s="123" t="str">
        <f t="shared" si="11"/>
        <v>ml</v>
      </c>
      <c r="D66" s="115">
        <f t="shared" si="11"/>
        <v>500</v>
      </c>
      <c r="E66" s="350">
        <f>$C$53</f>
        <v>4.864615384615389</v>
      </c>
      <c r="F66" s="126">
        <f t="shared" si="12"/>
        <v>1</v>
      </c>
      <c r="G66" s="118">
        <f t="shared" si="13"/>
        <v>2432.3076923076947</v>
      </c>
      <c r="H66" s="119">
        <f t="shared" si="14"/>
        <v>2432.3076923076947</v>
      </c>
    </row>
    <row r="67" spans="1:10" ht="14.25" customHeight="1" x14ac:dyDescent="0.25">
      <c r="A67" s="294" t="s">
        <v>95</v>
      </c>
      <c r="B67" s="322" t="str">
        <f t="shared" si="11"/>
        <v>Garlic Powder - ثوم بودرة</v>
      </c>
      <c r="C67" s="123" t="str">
        <f t="shared" si="11"/>
        <v>gm</v>
      </c>
      <c r="D67" s="115">
        <f t="shared" si="11"/>
        <v>50</v>
      </c>
      <c r="E67" s="350">
        <f>$C$53</f>
        <v>4.864615384615389</v>
      </c>
      <c r="F67" s="126">
        <f t="shared" si="12"/>
        <v>1</v>
      </c>
      <c r="G67" s="118">
        <f t="shared" si="13"/>
        <v>243.23076923076945</v>
      </c>
      <c r="H67" s="119">
        <f t="shared" si="14"/>
        <v>243.23076923076945</v>
      </c>
    </row>
    <row r="68" spans="1:10" ht="14.25" customHeight="1" x14ac:dyDescent="0.25">
      <c r="A68" s="294" t="s">
        <v>95</v>
      </c>
      <c r="B68" s="322" t="str">
        <f t="shared" si="11"/>
        <v>Onion Powder - بصل بودرة</v>
      </c>
      <c r="C68" s="123" t="str">
        <f t="shared" si="11"/>
        <v>gm</v>
      </c>
      <c r="D68" s="115">
        <f t="shared" si="11"/>
        <v>50</v>
      </c>
      <c r="E68" s="350">
        <f>$C$53</f>
        <v>4.864615384615389</v>
      </c>
      <c r="F68" s="126">
        <f t="shared" si="12"/>
        <v>1</v>
      </c>
      <c r="G68" s="118">
        <f t="shared" si="13"/>
        <v>243.23076923076945</v>
      </c>
      <c r="H68" s="119">
        <f t="shared" si="14"/>
        <v>243.23076923076945</v>
      </c>
    </row>
    <row r="69" spans="1:10" ht="14.25" customHeight="1" x14ac:dyDescent="0.25">
      <c r="A69" s="294" t="s">
        <v>192</v>
      </c>
      <c r="B69" s="322" t="str">
        <f t="shared" si="11"/>
        <v>Tomato Ketchup - كاتشب طماطم</v>
      </c>
      <c r="C69" s="123" t="str">
        <f t="shared" si="11"/>
        <v>ml</v>
      </c>
      <c r="D69" s="115">
        <f t="shared" si="11"/>
        <v>300</v>
      </c>
      <c r="E69" s="350">
        <f>$C$53</f>
        <v>4.864615384615389</v>
      </c>
      <c r="F69" s="126">
        <f t="shared" si="12"/>
        <v>1</v>
      </c>
      <c r="G69" s="118">
        <f t="shared" si="13"/>
        <v>1459.3846153846166</v>
      </c>
      <c r="H69" s="119">
        <f t="shared" si="14"/>
        <v>1459.3846153846166</v>
      </c>
    </row>
    <row r="70" spans="1:10" ht="14.25" customHeight="1" x14ac:dyDescent="0.25">
      <c r="A70" s="294" t="s">
        <v>192</v>
      </c>
      <c r="B70" s="322" t="str">
        <f t="shared" ref="B70:D70" si="15">B10</f>
        <v>Sriracha Sauce - صوص سريراتشا</v>
      </c>
      <c r="C70" s="123" t="str">
        <f t="shared" si="15"/>
        <v>ml</v>
      </c>
      <c r="D70" s="115">
        <f t="shared" si="15"/>
        <v>100</v>
      </c>
      <c r="E70" s="350">
        <f t="shared" ref="E70" si="16">$C$53</f>
        <v>4.864615384615389</v>
      </c>
      <c r="F70" s="126">
        <f t="shared" si="12"/>
        <v>1</v>
      </c>
      <c r="G70" s="118">
        <f t="shared" ref="G70:G71" si="17">D70*E70</f>
        <v>486.46153846153891</v>
      </c>
      <c r="H70" s="119">
        <f t="shared" ref="H70:H71" si="18">G70*F70</f>
        <v>486.46153846153891</v>
      </c>
    </row>
    <row r="71" spans="1:10" ht="20.25" customHeight="1" x14ac:dyDescent="0.4">
      <c r="A71" s="294" t="s">
        <v>192</v>
      </c>
      <c r="B71" s="322" t="str">
        <f t="shared" ref="B71:C71" si="19">B11</f>
        <v>Whole Wheat Oat Ciabatta - شيباتا اسمر شوفان</v>
      </c>
      <c r="C71" s="123" t="str">
        <f t="shared" si="19"/>
        <v>Piece</v>
      </c>
      <c r="D71" s="115">
        <f>D11</f>
        <v>1</v>
      </c>
      <c r="E71" s="350">
        <f>E11</f>
        <v>152</v>
      </c>
      <c r="F71" s="126">
        <f t="shared" si="12"/>
        <v>1</v>
      </c>
      <c r="G71" s="118">
        <f t="shared" si="17"/>
        <v>152</v>
      </c>
      <c r="H71" s="119">
        <f t="shared" si="18"/>
        <v>152</v>
      </c>
      <c r="I71" s="203"/>
      <c r="J71" s="202"/>
    </row>
    <row r="72" spans="1:10" ht="18" x14ac:dyDescent="0.3">
      <c r="A72" s="210"/>
      <c r="B72" s="197" t="s">
        <v>291</v>
      </c>
      <c r="C72" s="199" t="s">
        <v>277</v>
      </c>
      <c r="E72" s="199" t="s">
        <v>292</v>
      </c>
      <c r="G72" s="878" t="s">
        <v>268</v>
      </c>
      <c r="H72" s="878" t="s">
        <v>703</v>
      </c>
    </row>
    <row r="73" spans="1:10" ht="20" x14ac:dyDescent="0.4">
      <c r="A73" s="210"/>
      <c r="B73" s="198">
        <f>$J$53</f>
        <v>16215.384615384612</v>
      </c>
      <c r="C73" s="198">
        <f>E73+G73</f>
        <v>4864.6153846153893</v>
      </c>
      <c r="D73" s="915"/>
      <c r="E73" s="198">
        <f>$D$53*$S$44</f>
        <v>4864.6153846153893</v>
      </c>
      <c r="F73" s="919"/>
      <c r="G73" s="198">
        <f>$D$53*$T$44</f>
        <v>0</v>
      </c>
      <c r="H73" s="198">
        <f>B73+E73</f>
        <v>21080</v>
      </c>
    </row>
  </sheetData>
  <mergeCells count="11">
    <mergeCell ref="B63:H63"/>
    <mergeCell ref="AE2:AG3"/>
    <mergeCell ref="B61:J61"/>
    <mergeCell ref="B46:J46"/>
    <mergeCell ref="R26:U26"/>
    <mergeCell ref="AN2:AN3"/>
    <mergeCell ref="R25:U25"/>
    <mergeCell ref="B62:H62"/>
    <mergeCell ref="B2:K3"/>
    <mergeCell ref="B47:J47"/>
    <mergeCell ref="AK2:AM2"/>
  </mergeCells>
  <printOptions horizontalCentered="1"/>
  <pageMargins left="0.5" right="0.5" top="1" bottom="0.5" header="0.3" footer="0.511811023622047"/>
  <pageSetup paperSize="9" scale="30" orientation="portrait" r:id="rId1"/>
  <legacy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tabColor rgb="FFFFFF00"/>
    <pageSetUpPr fitToPage="1"/>
  </sheetPr>
  <dimension ref="A1:AG128"/>
  <sheetViews>
    <sheetView zoomScale="70" zoomScaleNormal="70" workbookViewId="0">
      <selection activeCell="T95" sqref="T95"/>
    </sheetView>
  </sheetViews>
  <sheetFormatPr defaultColWidth="12.5" defaultRowHeight="12.5" x14ac:dyDescent="0.25"/>
  <cols>
    <col min="1" max="1" width="12.5" style="14" customWidth="1"/>
    <col min="2" max="2" width="31.414062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9" width="6.1640625" style="14" customWidth="1"/>
    <col min="10" max="10" width="9.5" style="14" customWidth="1"/>
    <col min="11" max="11" width="6.1640625" style="14" customWidth="1"/>
    <col min="12" max="12" width="8.33203125" style="14" customWidth="1"/>
    <col min="13" max="13" width="6.1640625" style="14" customWidth="1"/>
    <col min="14" max="14" width="8.75" style="14" customWidth="1"/>
    <col min="15" max="17" width="6.1640625" style="14" customWidth="1"/>
    <col min="18" max="16384" width="12.5" style="14"/>
  </cols>
  <sheetData>
    <row r="1" spans="1:33" ht="28.5" customHeight="1" x14ac:dyDescent="0.25">
      <c r="B1" s="79" t="s">
        <v>235</v>
      </c>
      <c r="C1" s="80">
        <v>1000</v>
      </c>
      <c r="D1" s="81" t="s">
        <v>236</v>
      </c>
      <c r="E1" s="116">
        <f>S30</f>
        <v>28200</v>
      </c>
      <c r="F1" s="79" t="s">
        <v>237</v>
      </c>
      <c r="G1" s="365">
        <f>E1/C1</f>
        <v>28.2</v>
      </c>
      <c r="H1" s="79" t="s">
        <v>238</v>
      </c>
      <c r="I1" s="116">
        <f>G1/K1</f>
        <v>27.920792079207921</v>
      </c>
      <c r="J1" s="325" t="s">
        <v>239</v>
      </c>
      <c r="K1" s="326">
        <v>1.01</v>
      </c>
      <c r="L1" s="325" t="s">
        <v>849</v>
      </c>
      <c r="M1" s="99" t="s">
        <v>303</v>
      </c>
      <c r="N1" s="325" t="s">
        <v>850</v>
      </c>
      <c r="O1" s="99">
        <v>0.91089108910891092</v>
      </c>
      <c r="P1" s="99"/>
      <c r="Q1" s="99"/>
      <c r="R1" s="99"/>
      <c r="S1" s="99"/>
      <c r="T1" s="99"/>
      <c r="U1" s="99"/>
      <c r="V1" s="99"/>
      <c r="Y1" s="90" t="s">
        <v>463</v>
      </c>
      <c r="Z1" s="835">
        <v>28200</v>
      </c>
      <c r="AA1" s="90" t="s">
        <v>578</v>
      </c>
      <c r="AB1" s="835">
        <v>0</v>
      </c>
      <c r="AC1" s="90" t="s">
        <v>567</v>
      </c>
      <c r="AD1" s="835">
        <v>194</v>
      </c>
    </row>
    <row r="2" spans="1:33" ht="12.75" customHeight="1" x14ac:dyDescent="0.25">
      <c r="A2" s="329"/>
      <c r="B2" s="1443" t="s">
        <v>347</v>
      </c>
      <c r="C2" s="1466"/>
      <c r="D2" s="1466"/>
      <c r="E2" s="1466"/>
      <c r="F2" s="1466"/>
      <c r="G2" s="1466"/>
      <c r="H2" s="1466"/>
      <c r="I2" s="99"/>
      <c r="J2" s="99"/>
      <c r="K2" s="99"/>
      <c r="L2" s="99"/>
      <c r="M2" s="99"/>
      <c r="N2" s="99"/>
      <c r="O2" s="99"/>
      <c r="P2" s="99"/>
      <c r="Q2" s="99"/>
      <c r="R2" s="99"/>
      <c r="S2" s="99"/>
      <c r="T2" s="99"/>
      <c r="U2" s="99"/>
      <c r="AE2" s="1452"/>
      <c r="AF2" s="1460"/>
      <c r="AG2" s="1460"/>
    </row>
    <row r="3" spans="1:33" ht="12.75" customHeight="1" x14ac:dyDescent="0.25">
      <c r="A3" s="329"/>
      <c r="B3" s="1444"/>
      <c r="C3" s="1444"/>
      <c r="D3" s="1444"/>
      <c r="E3" s="1444"/>
      <c r="F3" s="1444"/>
      <c r="G3" s="1444"/>
      <c r="H3" s="1444"/>
      <c r="I3" s="99"/>
      <c r="J3" s="99"/>
      <c r="K3" s="99"/>
      <c r="L3" s="99"/>
      <c r="M3" s="99"/>
      <c r="N3" s="99"/>
      <c r="O3" s="99"/>
      <c r="P3" s="99"/>
      <c r="Q3" s="99"/>
      <c r="R3" s="99"/>
      <c r="S3" s="99"/>
      <c r="T3" s="99"/>
      <c r="U3" s="99"/>
      <c r="AE3" s="1460"/>
      <c r="AF3" s="1460"/>
      <c r="AG3" s="1460"/>
    </row>
    <row r="4" spans="1:33" ht="68.75" customHeight="1" x14ac:dyDescent="0.25">
      <c r="A4" s="90" t="s">
        <v>1</v>
      </c>
      <c r="B4" s="90" t="s">
        <v>245</v>
      </c>
      <c r="C4" s="106" t="s">
        <v>246</v>
      </c>
      <c r="D4" s="90" t="s">
        <v>235</v>
      </c>
      <c r="E4" s="217" t="s">
        <v>238</v>
      </c>
      <c r="F4" s="107" t="s">
        <v>247</v>
      </c>
      <c r="G4" s="90" t="s">
        <v>248</v>
      </c>
      <c r="H4" s="106" t="s">
        <v>339</v>
      </c>
      <c r="I4" s="90" t="s">
        <v>250</v>
      </c>
      <c r="J4" s="90" t="s">
        <v>251</v>
      </c>
      <c r="K4" s="90" t="s">
        <v>252</v>
      </c>
      <c r="L4" s="90" t="s">
        <v>253</v>
      </c>
      <c r="M4" s="99"/>
      <c r="N4" s="99"/>
      <c r="O4" s="99"/>
      <c r="P4" s="99"/>
      <c r="Q4" s="99"/>
      <c r="R4" s="99"/>
      <c r="S4" s="99"/>
      <c r="T4" s="99"/>
      <c r="U4" s="99"/>
    </row>
    <row r="5" spans="1:33" ht="14.25" customHeight="1" x14ac:dyDescent="0.25">
      <c r="A5" s="218"/>
      <c r="B5" s="649"/>
      <c r="C5" s="650"/>
      <c r="D5" s="218"/>
      <c r="E5" s="651"/>
      <c r="F5" s="218"/>
      <c r="G5" s="218"/>
      <c r="H5" s="650"/>
      <c r="I5" s="80"/>
      <c r="J5" s="118"/>
      <c r="K5" s="121"/>
      <c r="L5" s="121"/>
    </row>
    <row r="6" spans="1:33" ht="14.25" customHeight="1" x14ac:dyDescent="0.25">
      <c r="A6" s="294" t="s">
        <v>13</v>
      </c>
      <c r="B6" s="22" t="s">
        <v>21</v>
      </c>
      <c r="C6" s="123" t="s">
        <v>14</v>
      </c>
      <c r="D6" s="115">
        <f>1175/O1</f>
        <v>1289.945652173913</v>
      </c>
      <c r="E6" s="115">
        <f t="shared" ref="E6:E12" si="0">$I$1</f>
        <v>27.920792079207921</v>
      </c>
      <c r="F6" s="126">
        <v>1</v>
      </c>
      <c r="G6" s="118">
        <f t="shared" ref="G6:G12" si="1">D6*E6</f>
        <v>36016.304347826088</v>
      </c>
      <c r="H6" s="119">
        <f t="shared" ref="H6:H12" si="2">G6*F6</f>
        <v>36016.304347826088</v>
      </c>
      <c r="I6" s="80">
        <f>VLOOKUP(B6,All_Ingredients!$A$1:$F$149,6,FALSE())</f>
        <v>0.9</v>
      </c>
      <c r="J6" s="118">
        <f>VLOOKUP(B6,All_Ingredients!$A$1:$J$149,10,FALSE())</f>
        <v>2.2999999999999998</v>
      </c>
      <c r="K6" s="121">
        <f t="shared" ref="K6" si="3">(H6/I6)/1000</f>
        <v>40.018115942028984</v>
      </c>
      <c r="L6" s="121">
        <f t="shared" ref="L6" si="4">K6*J6</f>
        <v>92.041666666666657</v>
      </c>
    </row>
    <row r="7" spans="1:33" ht="14.25" customHeight="1" x14ac:dyDescent="0.25">
      <c r="A7" s="294" t="s">
        <v>56</v>
      </c>
      <c r="B7" s="22" t="s">
        <v>55</v>
      </c>
      <c r="C7" s="123" t="s">
        <v>14</v>
      </c>
      <c r="D7" s="115">
        <v>10</v>
      </c>
      <c r="E7" s="115">
        <f t="shared" si="0"/>
        <v>27.920792079207921</v>
      </c>
      <c r="F7" s="126">
        <v>1</v>
      </c>
      <c r="G7" s="118">
        <f t="shared" si="1"/>
        <v>279.20792079207922</v>
      </c>
      <c r="H7" s="119">
        <f t="shared" si="2"/>
        <v>279.20792079207922</v>
      </c>
      <c r="I7" s="80">
        <f>VLOOKUP(B7,All_Ingredients!$A$1:$F$149,6,FALSE())</f>
        <v>0.87</v>
      </c>
      <c r="J7" s="118">
        <f>VLOOKUP(B7,All_Ingredients!$A$1:$J$149,10,FALSE())</f>
        <v>7</v>
      </c>
      <c r="K7" s="121">
        <f t="shared" ref="K7:K12" si="5">(H7/I7)/1000</f>
        <v>0.32092864458859682</v>
      </c>
      <c r="L7" s="121">
        <f t="shared" ref="L7:L12" si="6">K7*J7</f>
        <v>2.2465005121201775</v>
      </c>
      <c r="R7" s="14">
        <v>39000</v>
      </c>
      <c r="S7" s="14">
        <v>21600</v>
      </c>
    </row>
    <row r="8" spans="1:33" ht="14.25" customHeight="1" x14ac:dyDescent="0.25">
      <c r="A8" s="294" t="s">
        <v>62</v>
      </c>
      <c r="B8" s="22" t="s">
        <v>61</v>
      </c>
      <c r="C8" s="123" t="s">
        <v>14</v>
      </c>
      <c r="D8" s="115">
        <v>5</v>
      </c>
      <c r="E8" s="115">
        <f t="shared" si="0"/>
        <v>27.920792079207921</v>
      </c>
      <c r="F8" s="126">
        <v>1</v>
      </c>
      <c r="G8" s="118">
        <f t="shared" si="1"/>
        <v>139.60396039603961</v>
      </c>
      <c r="H8" s="119">
        <f t="shared" si="2"/>
        <v>139.60396039603961</v>
      </c>
      <c r="I8" s="80">
        <f>VLOOKUP(B8,All_Ingredients!$A$1:$F$149,6,FALSE())</f>
        <v>0.94</v>
      </c>
      <c r="J8" s="118">
        <f>VLOOKUP(B8,All_Ingredients!$A$1:$J$149,10,FALSE())</f>
        <v>3.6363636363636367</v>
      </c>
      <c r="K8" s="121">
        <f t="shared" si="5"/>
        <v>0.14851485148514854</v>
      </c>
      <c r="L8" s="121">
        <f t="shared" si="6"/>
        <v>0.54005400540054016</v>
      </c>
      <c r="S8" s="14">
        <v>13600</v>
      </c>
    </row>
    <row r="9" spans="1:33" ht="14.25" customHeight="1" x14ac:dyDescent="0.25">
      <c r="A9" s="294" t="s">
        <v>154</v>
      </c>
      <c r="B9" s="22" t="s">
        <v>153</v>
      </c>
      <c r="C9" s="123" t="s">
        <v>14</v>
      </c>
      <c r="D9" s="115">
        <v>10</v>
      </c>
      <c r="E9" s="115">
        <f t="shared" si="0"/>
        <v>27.920792079207921</v>
      </c>
      <c r="F9" s="126">
        <v>1</v>
      </c>
      <c r="G9" s="118">
        <f t="shared" si="1"/>
        <v>279.20792079207922</v>
      </c>
      <c r="H9" s="119">
        <f t="shared" si="2"/>
        <v>279.20792079207922</v>
      </c>
      <c r="I9" s="80">
        <f>VLOOKUP(B9,All_Ingredients!$A$1:$F$149,6,FALSE())</f>
        <v>1</v>
      </c>
      <c r="J9" s="118">
        <f>VLOOKUP(B9,All_Ingredients!$A$1:$J$149,10,FALSE())</f>
        <v>30</v>
      </c>
      <c r="K9" s="121">
        <f t="shared" si="5"/>
        <v>0.27920792079207923</v>
      </c>
      <c r="L9" s="121">
        <f t="shared" si="6"/>
        <v>8.3762376237623766</v>
      </c>
      <c r="S9" s="14">
        <f>S8+S7</f>
        <v>35200</v>
      </c>
    </row>
    <row r="10" spans="1:33" ht="14.25" customHeight="1" x14ac:dyDescent="0.25">
      <c r="A10" s="294" t="s">
        <v>95</v>
      </c>
      <c r="B10" s="22" t="s">
        <v>102</v>
      </c>
      <c r="C10" s="123" t="s">
        <v>14</v>
      </c>
      <c r="D10" s="115">
        <v>2</v>
      </c>
      <c r="E10" s="115">
        <f t="shared" si="0"/>
        <v>27.920792079207921</v>
      </c>
      <c r="F10" s="126">
        <v>0.75</v>
      </c>
      <c r="G10" s="118">
        <f t="shared" si="1"/>
        <v>55.841584158415841</v>
      </c>
      <c r="H10" s="119">
        <f t="shared" si="2"/>
        <v>41.881188118811878</v>
      </c>
      <c r="I10" s="80">
        <f>VLOOKUP(B10,All_Ingredients!$A$1:$F$149,6,FALSE())</f>
        <v>1</v>
      </c>
      <c r="J10" s="118">
        <f>VLOOKUP(B10,All_Ingredients!$A$1:$J$149,10,FALSE())</f>
        <v>47</v>
      </c>
      <c r="K10" s="121">
        <f t="shared" si="5"/>
        <v>4.1881188118811877E-2</v>
      </c>
      <c r="L10" s="121">
        <f t="shared" si="6"/>
        <v>1.9684158415841582</v>
      </c>
    </row>
    <row r="11" spans="1:33" ht="14.25" customHeight="1" x14ac:dyDescent="0.25">
      <c r="A11" s="294" t="s">
        <v>95</v>
      </c>
      <c r="B11" s="22" t="s">
        <v>94</v>
      </c>
      <c r="C11" s="123" t="s">
        <v>14</v>
      </c>
      <c r="D11" s="115">
        <v>5</v>
      </c>
      <c r="E11" s="115">
        <f t="shared" si="0"/>
        <v>27.920792079207921</v>
      </c>
      <c r="F11" s="126">
        <v>0.75</v>
      </c>
      <c r="G11" s="118">
        <f t="shared" si="1"/>
        <v>139.60396039603961</v>
      </c>
      <c r="H11" s="119">
        <f t="shared" si="2"/>
        <v>104.70297029702971</v>
      </c>
      <c r="I11" s="80">
        <f>VLOOKUP(B11,All_Ingredients!$A$1:$F$149,6,FALSE())</f>
        <v>1</v>
      </c>
      <c r="J11" s="118">
        <f>VLOOKUP(B11,All_Ingredients!$A$1:$J$149,10,FALSE())</f>
        <v>0.74</v>
      </c>
      <c r="K11" s="121">
        <f t="shared" si="5"/>
        <v>0.10470297029702971</v>
      </c>
      <c r="L11" s="121">
        <f t="shared" si="6"/>
        <v>7.748019801980198E-2</v>
      </c>
    </row>
    <row r="12" spans="1:33" ht="14.25" customHeight="1" x14ac:dyDescent="0.25">
      <c r="A12" s="294" t="s">
        <v>95</v>
      </c>
      <c r="B12" s="22" t="s">
        <v>106</v>
      </c>
      <c r="C12" s="123" t="s">
        <v>14</v>
      </c>
      <c r="D12" s="115">
        <v>1</v>
      </c>
      <c r="E12" s="115">
        <f t="shared" si="0"/>
        <v>27.920792079207921</v>
      </c>
      <c r="F12" s="126">
        <v>0.75</v>
      </c>
      <c r="G12" s="118">
        <f t="shared" si="1"/>
        <v>27.920792079207921</v>
      </c>
      <c r="H12" s="119">
        <f t="shared" si="2"/>
        <v>20.940594059405939</v>
      </c>
      <c r="I12" s="80">
        <f>VLOOKUP(B12,All_Ingredients!$A$1:$F$149,6,FALSE())</f>
        <v>1</v>
      </c>
      <c r="J12" s="118">
        <f>VLOOKUP(B12,All_Ingredients!$A$1:$J$149,10,FALSE())</f>
        <v>15</v>
      </c>
      <c r="K12" s="121">
        <f t="shared" si="5"/>
        <v>2.0940594059405938E-2</v>
      </c>
      <c r="L12" s="121">
        <f t="shared" si="6"/>
        <v>0.31410891089108905</v>
      </c>
    </row>
    <row r="13" spans="1:33" ht="14.25" customHeight="1" x14ac:dyDescent="0.25">
      <c r="B13" s="348"/>
      <c r="C13" s="132"/>
      <c r="D13" s="253"/>
      <c r="E13" s="224"/>
      <c r="F13" s="135"/>
      <c r="G13" s="139"/>
      <c r="H13" s="137"/>
    </row>
    <row r="14" spans="1:33" ht="14.25" customHeight="1" x14ac:dyDescent="0.25">
      <c r="E14" s="99"/>
      <c r="F14" s="99"/>
    </row>
    <row r="15" spans="1:33" ht="14.25" customHeight="1" x14ac:dyDescent="0.25">
      <c r="E15" s="99"/>
      <c r="F15" s="99"/>
    </row>
    <row r="16" spans="1:33" ht="14.25" customHeight="1" x14ac:dyDescent="0.25">
      <c r="E16" s="99"/>
      <c r="F16" s="99"/>
    </row>
    <row r="17" spans="2:29" ht="14.25" customHeight="1" x14ac:dyDescent="0.25">
      <c r="E17" s="99"/>
      <c r="F17" s="99"/>
    </row>
    <row r="18" spans="2:29" ht="14.25" customHeight="1" x14ac:dyDescent="0.25">
      <c r="E18" s="99"/>
      <c r="F18" s="99"/>
    </row>
    <row r="19" spans="2:29" ht="14.25" customHeight="1" x14ac:dyDescent="0.3">
      <c r="E19" s="99"/>
      <c r="F19" s="99"/>
      <c r="M19" s="1"/>
      <c r="N19"/>
      <c r="O19"/>
    </row>
    <row r="20" spans="2:29" ht="14.25" customHeight="1" x14ac:dyDescent="0.3">
      <c r="E20" s="99"/>
      <c r="F20" s="99"/>
      <c r="M20" s="178"/>
      <c r="N20" s="489"/>
      <c r="O20"/>
    </row>
    <row r="21" spans="2:29" ht="14.25" customHeight="1" x14ac:dyDescent="0.25">
      <c r="E21" s="99"/>
      <c r="F21" s="99"/>
    </row>
    <row r="22" spans="2:29" ht="14.25" customHeight="1" x14ac:dyDescent="0.3">
      <c r="B22" s="11"/>
      <c r="C22" s="335"/>
      <c r="D22" s="336"/>
      <c r="E22" s="99"/>
      <c r="F22" s="99"/>
    </row>
    <row r="23" spans="2:29" ht="14.25" customHeight="1" x14ac:dyDescent="0.3">
      <c r="B23" s="11"/>
      <c r="C23" s="335"/>
      <c r="D23" s="336"/>
      <c r="E23" s="99"/>
      <c r="F23" s="99"/>
    </row>
    <row r="24" spans="2:29" ht="14.25" customHeight="1" x14ac:dyDescent="0.3">
      <c r="B24" s="11"/>
      <c r="C24" s="335"/>
      <c r="D24" s="336"/>
      <c r="E24" s="99"/>
      <c r="F24" s="99"/>
      <c r="Z24" s="1208"/>
    </row>
    <row r="25" spans="2:29" ht="14.25" customHeight="1" x14ac:dyDescent="0.3">
      <c r="B25" s="11"/>
      <c r="C25" s="335"/>
      <c r="D25" s="336"/>
      <c r="E25" s="99"/>
      <c r="F25" s="99"/>
      <c r="R25" s="1467" t="s">
        <v>349</v>
      </c>
      <c r="S25" s="1444"/>
      <c r="T25" s="1444"/>
      <c r="Z25" s="140" t="s">
        <v>14</v>
      </c>
      <c r="AA25" s="141">
        <v>1</v>
      </c>
      <c r="AB25" s="140" t="s">
        <v>253</v>
      </c>
      <c r="AC25" s="142">
        <f>(S34/S30)*AA25</f>
        <v>3.7434207006540711E-3</v>
      </c>
    </row>
    <row r="26" spans="2:29" ht="14.25" customHeight="1" x14ac:dyDescent="0.3">
      <c r="B26" s="11"/>
      <c r="C26" s="335"/>
      <c r="D26" s="336"/>
      <c r="E26" s="99"/>
      <c r="F26" s="99"/>
      <c r="R26" s="364" t="s">
        <v>342</v>
      </c>
      <c r="S26" s="364"/>
      <c r="T26" s="364"/>
    </row>
    <row r="27" spans="2:29" ht="14.25" customHeight="1" x14ac:dyDescent="0.3">
      <c r="B27" s="11"/>
      <c r="C27" s="335"/>
      <c r="D27" s="336"/>
      <c r="E27" s="99"/>
      <c r="F27" s="99"/>
      <c r="R27" s="144" t="s">
        <v>258</v>
      </c>
      <c r="S27" s="144" t="s">
        <v>343</v>
      </c>
      <c r="T27" s="144" t="s">
        <v>261</v>
      </c>
    </row>
    <row r="28" spans="2:29" ht="14.25" customHeight="1" x14ac:dyDescent="0.3">
      <c r="B28" s="11"/>
      <c r="C28" s="335"/>
      <c r="D28" s="336"/>
      <c r="E28" s="99"/>
      <c r="F28" s="99"/>
      <c r="R28" s="144" t="s">
        <v>267</v>
      </c>
      <c r="S28" s="785">
        <f>T28</f>
        <v>28200</v>
      </c>
      <c r="T28" s="1362">
        <f>Z1</f>
        <v>28200</v>
      </c>
    </row>
    <row r="29" spans="2:29" ht="14.25" customHeight="1" x14ac:dyDescent="0.3">
      <c r="B29" s="11"/>
      <c r="C29" s="335"/>
      <c r="D29" s="336"/>
      <c r="E29" s="99"/>
      <c r="F29" s="99"/>
      <c r="R29" s="144" t="s">
        <v>269</v>
      </c>
      <c r="S29" s="1405">
        <f>AB1</f>
        <v>0</v>
      </c>
      <c r="T29" s="787">
        <f>S29</f>
        <v>0</v>
      </c>
    </row>
    <row r="30" spans="2:29" ht="14.25" customHeight="1" x14ac:dyDescent="0.3">
      <c r="B30" s="11"/>
      <c r="C30" s="335"/>
      <c r="D30" s="336"/>
      <c r="E30" s="99"/>
      <c r="F30" s="99"/>
      <c r="R30" s="144" t="s">
        <v>261</v>
      </c>
      <c r="S30" s="338">
        <f>SUM(S28:S29)</f>
        <v>28200</v>
      </c>
      <c r="T30" s="338">
        <f>S30</f>
        <v>28200</v>
      </c>
    </row>
    <row r="31" spans="2:29" ht="14.25" customHeight="1" x14ac:dyDescent="0.3">
      <c r="B31" s="11"/>
      <c r="C31" s="335"/>
      <c r="D31" s="336"/>
      <c r="E31" s="99"/>
      <c r="F31" s="99"/>
    </row>
    <row r="32" spans="2:29" ht="14.25" customHeight="1" x14ac:dyDescent="0.25">
      <c r="B32" s="99"/>
      <c r="E32" s="99"/>
      <c r="F32" s="99"/>
      <c r="S32" s="170"/>
      <c r="T32" s="170"/>
    </row>
    <row r="33" spans="18:20" ht="13" thickBot="1" x14ac:dyDescent="0.3"/>
    <row r="34" spans="18:20" ht="14.5" thickBot="1" x14ac:dyDescent="0.35">
      <c r="R34" s="162" t="s">
        <v>253</v>
      </c>
      <c r="S34" s="1125">
        <f>SUM(L6:L12)</f>
        <v>105.5644637584448</v>
      </c>
      <c r="T34" s="1196">
        <f>S34</f>
        <v>105.5644637584448</v>
      </c>
    </row>
    <row r="41" spans="18:20" ht="14" customHeight="1" x14ac:dyDescent="0.25"/>
    <row r="42" spans="18:20" ht="14" customHeight="1" x14ac:dyDescent="0.25"/>
    <row r="50" spans="1:8" ht="14" x14ac:dyDescent="0.3">
      <c r="B50" s="225"/>
      <c r="C50" s="225" t="s">
        <v>237</v>
      </c>
      <c r="D50" s="225" t="s">
        <v>283</v>
      </c>
    </row>
    <row r="51" spans="1:8" ht="14" x14ac:dyDescent="0.3">
      <c r="B51" s="179" t="s">
        <v>287</v>
      </c>
      <c r="C51" s="180">
        <f>10/$K$1</f>
        <v>9.9009900990099009</v>
      </c>
      <c r="D51" s="181">
        <f>$C$1*10</f>
        <v>10000</v>
      </c>
    </row>
    <row r="52" spans="1:8" ht="14" x14ac:dyDescent="0.3">
      <c r="B52" s="230" t="s">
        <v>261</v>
      </c>
      <c r="C52" s="231">
        <f>G1</f>
        <v>28.2</v>
      </c>
      <c r="D52" s="232">
        <f>E1</f>
        <v>28200</v>
      </c>
    </row>
    <row r="53" spans="1:8" ht="14" x14ac:dyDescent="0.3">
      <c r="B53" s="230" t="s">
        <v>288</v>
      </c>
      <c r="C53" s="233">
        <f>MIN($C$52, $C$51)</f>
        <v>9.9009900990099009</v>
      </c>
      <c r="D53" s="232">
        <f>(C53*$K$1)*$C$1</f>
        <v>10000</v>
      </c>
    </row>
    <row r="54" spans="1:8" ht="14" x14ac:dyDescent="0.3">
      <c r="B54" s="230" t="s">
        <v>289</v>
      </c>
      <c r="C54" s="233">
        <f>MIN($C$52-C53, $C$51)</f>
        <v>9.9009900990099009</v>
      </c>
      <c r="D54" s="232">
        <f>(C54*$K$1)*$C$1</f>
        <v>10000</v>
      </c>
    </row>
    <row r="55" spans="1:8" ht="14" x14ac:dyDescent="0.3">
      <c r="B55" s="230" t="s">
        <v>290</v>
      </c>
      <c r="C55" s="233">
        <f>MIN($C$52-C53-C54, $C$51)</f>
        <v>8.3980198019801993</v>
      </c>
      <c r="D55" s="232">
        <f>(C55*$K$1)*$C$1</f>
        <v>8482.0000000000018</v>
      </c>
    </row>
    <row r="56" spans="1:8" ht="14" x14ac:dyDescent="0.3">
      <c r="B56" s="230" t="s">
        <v>297</v>
      </c>
      <c r="C56" s="233">
        <f>MIN($C$52-C53-C54-C55, $C$51)</f>
        <v>0</v>
      </c>
      <c r="D56" s="232">
        <f>(C56*$K$1)*$C$1</f>
        <v>0</v>
      </c>
    </row>
    <row r="57" spans="1:8" ht="14" x14ac:dyDescent="0.3">
      <c r="B57" s="230" t="s">
        <v>348</v>
      </c>
      <c r="C57" s="233">
        <f>MIN($C$52-C53-C54-C55-C56, $C$51)</f>
        <v>0</v>
      </c>
      <c r="D57" s="232">
        <f>(C57*$K$1)*$C$1</f>
        <v>0</v>
      </c>
    </row>
    <row r="62" spans="1:8" ht="17.75" customHeight="1" x14ac:dyDescent="0.3">
      <c r="A62" s="927"/>
      <c r="B62" s="1438" t="s">
        <v>612</v>
      </c>
      <c r="C62" s="1439"/>
      <c r="D62" s="1439"/>
      <c r="E62" s="1439"/>
      <c r="F62" s="1439"/>
      <c r="G62" s="1439"/>
      <c r="H62" s="1439"/>
    </row>
    <row r="63" spans="1:8" ht="14" customHeight="1" x14ac:dyDescent="0.3">
      <c r="A63" s="927"/>
      <c r="B63" s="1436" t="s">
        <v>347</v>
      </c>
      <c r="C63" s="1437"/>
      <c r="D63" s="1437"/>
      <c r="E63" s="1437"/>
      <c r="F63" s="1437"/>
      <c r="G63" s="1437"/>
      <c r="H63" s="1437"/>
    </row>
    <row r="64" spans="1:8" ht="50.75" customHeight="1" x14ac:dyDescent="0.25">
      <c r="A64" s="90"/>
      <c r="B64" s="242" t="s">
        <v>245</v>
      </c>
      <c r="C64" s="243" t="s">
        <v>246</v>
      </c>
      <c r="D64" s="244" t="s">
        <v>235</v>
      </c>
      <c r="E64" s="217" t="s">
        <v>238</v>
      </c>
      <c r="F64" s="217" t="s">
        <v>247</v>
      </c>
      <c r="G64" s="244" t="s">
        <v>248</v>
      </c>
      <c r="H64" s="217" t="s">
        <v>249</v>
      </c>
    </row>
    <row r="65" spans="1:8" ht="14" x14ac:dyDescent="0.25">
      <c r="A65" s="294" t="s">
        <v>13</v>
      </c>
      <c r="B65" s="322" t="str">
        <f t="shared" ref="B65:D71" si="7">B6</f>
        <v>Potato - بطاطس</v>
      </c>
      <c r="C65" s="123" t="str">
        <f t="shared" si="7"/>
        <v>gm</v>
      </c>
      <c r="D65" s="115">
        <f t="shared" si="7"/>
        <v>1289.945652173913</v>
      </c>
      <c r="E65" s="115">
        <f>$C$52</f>
        <v>28.2</v>
      </c>
      <c r="F65" s="126">
        <f t="shared" ref="F65:F71" si="8">F6</f>
        <v>1</v>
      </c>
      <c r="G65" s="118">
        <f t="shared" ref="G65:G71" si="9">D65*E65</f>
        <v>36376.467391304344</v>
      </c>
      <c r="H65" s="119">
        <f t="shared" ref="H65:H71" si="10">G65*F65</f>
        <v>36376.467391304344</v>
      </c>
    </row>
    <row r="66" spans="1:8" ht="14.25" customHeight="1" x14ac:dyDescent="0.25">
      <c r="A66" s="294" t="s">
        <v>56</v>
      </c>
      <c r="B66" s="322" t="str">
        <f t="shared" si="7"/>
        <v>Ginger - زنجبيل</v>
      </c>
      <c r="C66" s="123" t="str">
        <f t="shared" si="7"/>
        <v>gm</v>
      </c>
      <c r="D66" s="124">
        <f t="shared" si="7"/>
        <v>10</v>
      </c>
      <c r="E66" s="115">
        <f t="shared" ref="E66:E71" si="11">$C$52</f>
        <v>28.2</v>
      </c>
      <c r="F66" s="126">
        <f t="shared" si="8"/>
        <v>1</v>
      </c>
      <c r="G66" s="118">
        <f t="shared" si="9"/>
        <v>282</v>
      </c>
      <c r="H66" s="119">
        <f t="shared" si="10"/>
        <v>282</v>
      </c>
    </row>
    <row r="67" spans="1:8" ht="14.25" customHeight="1" x14ac:dyDescent="0.25">
      <c r="A67" s="294" t="s">
        <v>62</v>
      </c>
      <c r="B67" s="322" t="str">
        <f t="shared" si="7"/>
        <v>Coriander Leaves - كزبرة خضراء</v>
      </c>
      <c r="C67" s="123" t="str">
        <f t="shared" si="7"/>
        <v>gm</v>
      </c>
      <c r="D67" s="124">
        <f t="shared" si="7"/>
        <v>5</v>
      </c>
      <c r="E67" s="115">
        <f t="shared" si="11"/>
        <v>28.2</v>
      </c>
      <c r="F67" s="126">
        <f t="shared" si="8"/>
        <v>1</v>
      </c>
      <c r="G67" s="118">
        <f t="shared" si="9"/>
        <v>141</v>
      </c>
      <c r="H67" s="119">
        <f t="shared" si="10"/>
        <v>141</v>
      </c>
    </row>
    <row r="68" spans="1:8" ht="14.25" customHeight="1" x14ac:dyDescent="0.25">
      <c r="A68" s="294" t="s">
        <v>154</v>
      </c>
      <c r="B68" s="322" t="str">
        <f t="shared" si="7"/>
        <v>Butter - زبدة</v>
      </c>
      <c r="C68" s="123" t="str">
        <f t="shared" si="7"/>
        <v>gm</v>
      </c>
      <c r="D68" s="124">
        <f t="shared" si="7"/>
        <v>10</v>
      </c>
      <c r="E68" s="115">
        <f t="shared" si="11"/>
        <v>28.2</v>
      </c>
      <c r="F68" s="126">
        <f t="shared" si="8"/>
        <v>1</v>
      </c>
      <c r="G68" s="118">
        <f t="shared" si="9"/>
        <v>282</v>
      </c>
      <c r="H68" s="119">
        <f t="shared" si="10"/>
        <v>282</v>
      </c>
    </row>
    <row r="69" spans="1:8" ht="14.25" customHeight="1" x14ac:dyDescent="0.25">
      <c r="A69" s="294" t="s">
        <v>95</v>
      </c>
      <c r="B69" s="322" t="str">
        <f t="shared" si="7"/>
        <v>White Pepper - فلفل أبيض</v>
      </c>
      <c r="C69" s="123" t="str">
        <f t="shared" si="7"/>
        <v>gm</v>
      </c>
      <c r="D69" s="124">
        <f t="shared" si="7"/>
        <v>2</v>
      </c>
      <c r="E69" s="115">
        <f t="shared" si="11"/>
        <v>28.2</v>
      </c>
      <c r="F69" s="126">
        <f t="shared" si="8"/>
        <v>0.75</v>
      </c>
      <c r="G69" s="118">
        <f t="shared" si="9"/>
        <v>56.4</v>
      </c>
      <c r="H69" s="119">
        <f t="shared" si="10"/>
        <v>42.3</v>
      </c>
    </row>
    <row r="70" spans="1:8" ht="14.25" customHeight="1" x14ac:dyDescent="0.25">
      <c r="A70" s="294" t="s">
        <v>95</v>
      </c>
      <c r="B70" s="322" t="str">
        <f t="shared" si="7"/>
        <v>Salt - ملح</v>
      </c>
      <c r="C70" s="123" t="str">
        <f t="shared" si="7"/>
        <v>gm</v>
      </c>
      <c r="D70" s="124">
        <f t="shared" si="7"/>
        <v>5</v>
      </c>
      <c r="E70" s="115">
        <f t="shared" si="11"/>
        <v>28.2</v>
      </c>
      <c r="F70" s="126">
        <f t="shared" si="8"/>
        <v>0.75</v>
      </c>
      <c r="G70" s="118">
        <f t="shared" si="9"/>
        <v>141</v>
      </c>
      <c r="H70" s="119">
        <f t="shared" si="10"/>
        <v>105.75</v>
      </c>
    </row>
    <row r="71" spans="1:8" ht="14.25" customHeight="1" x14ac:dyDescent="0.25">
      <c r="A71" s="294" t="s">
        <v>95</v>
      </c>
      <c r="B71" s="322" t="str">
        <f t="shared" si="7"/>
        <v>Cumin Powder - كمون مطحون</v>
      </c>
      <c r="C71" s="123" t="str">
        <f t="shared" si="7"/>
        <v>gm</v>
      </c>
      <c r="D71" s="124">
        <f t="shared" si="7"/>
        <v>1</v>
      </c>
      <c r="E71" s="115">
        <f t="shared" si="11"/>
        <v>28.2</v>
      </c>
      <c r="F71" s="126">
        <f t="shared" si="8"/>
        <v>0.75</v>
      </c>
      <c r="G71" s="118">
        <f t="shared" si="9"/>
        <v>28.2</v>
      </c>
      <c r="H71" s="119">
        <f t="shared" si="10"/>
        <v>21.15</v>
      </c>
    </row>
    <row r="72" spans="1:8" ht="23" customHeight="1" x14ac:dyDescent="0.25">
      <c r="B72" s="197" t="s">
        <v>739</v>
      </c>
      <c r="E72" s="99"/>
      <c r="F72" s="99"/>
    </row>
    <row r="73" spans="1:8" ht="25.5" customHeight="1" x14ac:dyDescent="0.4">
      <c r="B73" s="198">
        <f>D52</f>
        <v>28200</v>
      </c>
      <c r="C73" s="207"/>
      <c r="D73" s="4"/>
      <c r="E73" s="99"/>
      <c r="F73" s="182"/>
    </row>
    <row r="74" spans="1:8" ht="12.75" customHeight="1" x14ac:dyDescent="0.25">
      <c r="B74" s="99"/>
      <c r="E74" s="99"/>
      <c r="F74" s="99"/>
    </row>
    <row r="75" spans="1:8" ht="12.75" customHeight="1" x14ac:dyDescent="0.25">
      <c r="B75" s="99"/>
      <c r="C75" s="99"/>
      <c r="D75" s="99"/>
      <c r="E75" s="99"/>
      <c r="F75" s="99"/>
      <c r="G75" s="99"/>
      <c r="H75" s="99"/>
    </row>
    <row r="76" spans="1:8" ht="17.75" customHeight="1" x14ac:dyDescent="0.25">
      <c r="A76" s="1226"/>
      <c r="B76" s="1475"/>
      <c r="C76" s="1475"/>
      <c r="D76" s="1475"/>
      <c r="E76" s="1475"/>
      <c r="F76" s="1475"/>
      <c r="G76" s="1475"/>
      <c r="H76" s="1475"/>
    </row>
    <row r="77" spans="1:8" ht="17.75" customHeight="1" x14ac:dyDescent="0.25">
      <c r="A77" s="1226"/>
      <c r="B77" s="1475"/>
      <c r="C77" s="1475"/>
      <c r="D77" s="1475"/>
      <c r="E77" s="1475"/>
      <c r="F77" s="1475"/>
      <c r="G77" s="1475"/>
      <c r="H77" s="1475"/>
    </row>
    <row r="78" spans="1:8" ht="25.5" customHeight="1" x14ac:dyDescent="0.25">
      <c r="A78" s="1231"/>
      <c r="B78" s="1241"/>
      <c r="C78" s="1242"/>
      <c r="D78" s="1241"/>
      <c r="E78" s="1243"/>
      <c r="F78" s="1243"/>
      <c r="G78" s="1241"/>
      <c r="H78" s="1243"/>
    </row>
    <row r="79" spans="1:8" ht="31.5" customHeight="1" x14ac:dyDescent="0.25">
      <c r="A79" s="869"/>
      <c r="B79" s="1244"/>
      <c r="C79" s="1244"/>
      <c r="D79" s="1244"/>
      <c r="E79" s="1245"/>
      <c r="F79" s="1246"/>
      <c r="G79" s="1247"/>
      <c r="H79" s="1248"/>
    </row>
    <row r="80" spans="1:8" ht="14.25" customHeight="1" x14ac:dyDescent="0.25">
      <c r="A80" s="869"/>
      <c r="B80" s="1244"/>
      <c r="C80" s="1244"/>
      <c r="D80" s="1244"/>
      <c r="E80" s="1245"/>
      <c r="F80" s="1246"/>
      <c r="G80" s="1247"/>
      <c r="H80" s="1248"/>
    </row>
    <row r="81" spans="1:8" ht="14.25" customHeight="1" x14ac:dyDescent="0.25">
      <c r="A81" s="869"/>
      <c r="B81" s="1244"/>
      <c r="C81" s="1244"/>
      <c r="D81" s="1244"/>
      <c r="E81" s="1245"/>
      <c r="F81" s="1246"/>
      <c r="G81" s="1247"/>
      <c r="H81" s="1248"/>
    </row>
    <row r="82" spans="1:8" ht="14.25" customHeight="1" x14ac:dyDescent="0.25">
      <c r="A82" s="869"/>
      <c r="B82" s="1244"/>
      <c r="C82" s="1244"/>
      <c r="D82" s="1244"/>
      <c r="E82" s="1245"/>
      <c r="F82" s="1246"/>
      <c r="G82" s="1247"/>
      <c r="H82" s="1248"/>
    </row>
    <row r="83" spans="1:8" ht="14.25" customHeight="1" x14ac:dyDescent="0.25">
      <c r="A83" s="869"/>
      <c r="B83" s="1244"/>
      <c r="C83" s="1244"/>
      <c r="D83" s="1244"/>
      <c r="E83" s="1245"/>
      <c r="F83" s="1246"/>
      <c r="G83" s="1247"/>
      <c r="H83" s="1248"/>
    </row>
    <row r="84" spans="1:8" ht="14.25" customHeight="1" x14ac:dyDescent="0.25">
      <c r="A84" s="869"/>
      <c r="B84" s="1244"/>
      <c r="C84" s="1244"/>
      <c r="D84" s="1244"/>
      <c r="E84" s="1245"/>
      <c r="F84" s="1246"/>
      <c r="G84" s="1247"/>
      <c r="H84" s="1248"/>
    </row>
    <row r="85" spans="1:8" ht="14.25" customHeight="1" x14ac:dyDescent="0.25">
      <c r="A85" s="869"/>
      <c r="B85" s="1244"/>
      <c r="C85" s="1244"/>
      <c r="D85" s="1244"/>
      <c r="E85" s="1245"/>
      <c r="F85" s="1246"/>
      <c r="G85" s="1247"/>
      <c r="H85" s="1248"/>
    </row>
    <row r="86" spans="1:8" ht="12.75" customHeight="1" x14ac:dyDescent="0.25">
      <c r="A86" s="869"/>
      <c r="B86" s="888"/>
      <c r="C86" s="869"/>
      <c r="D86" s="869"/>
      <c r="E86" s="863"/>
      <c r="F86" s="863"/>
      <c r="G86" s="869"/>
      <c r="H86" s="869"/>
    </row>
    <row r="87" spans="1:8" ht="21.5" customHeight="1" x14ac:dyDescent="0.4">
      <c r="A87" s="869"/>
      <c r="B87" s="889"/>
      <c r="C87" s="893"/>
      <c r="D87" s="1252"/>
      <c r="E87" s="863"/>
      <c r="F87" s="1253"/>
      <c r="G87" s="869"/>
      <c r="H87" s="869"/>
    </row>
    <row r="88" spans="1:8" ht="12.75" customHeight="1" x14ac:dyDescent="0.25">
      <c r="A88" s="869"/>
      <c r="B88" s="863"/>
      <c r="C88" s="863"/>
      <c r="D88" s="863"/>
      <c r="E88" s="863"/>
      <c r="F88" s="863"/>
      <c r="G88" s="863"/>
      <c r="H88" s="863"/>
    </row>
    <row r="89" spans="1:8" ht="12.75" customHeight="1" x14ac:dyDescent="0.25">
      <c r="A89" s="869"/>
      <c r="B89" s="863"/>
      <c r="C89" s="863"/>
      <c r="D89" s="863"/>
      <c r="E89" s="863"/>
      <c r="F89" s="863"/>
      <c r="G89" s="863"/>
      <c r="H89" s="863"/>
    </row>
    <row r="90" spans="1:8" ht="17.75" customHeight="1" x14ac:dyDescent="0.3">
      <c r="A90" s="1226"/>
      <c r="B90" s="1475"/>
      <c r="C90" s="1476"/>
      <c r="D90" s="1476"/>
      <c r="E90" s="1476"/>
      <c r="F90" s="1476"/>
      <c r="G90" s="1476"/>
      <c r="H90" s="1476"/>
    </row>
    <row r="91" spans="1:8" ht="17.75" customHeight="1" x14ac:dyDescent="0.3">
      <c r="A91" s="1226"/>
      <c r="B91" s="1475"/>
      <c r="C91" s="1476"/>
      <c r="D91" s="1476"/>
      <c r="E91" s="1476"/>
      <c r="F91" s="1476"/>
      <c r="G91" s="1476"/>
      <c r="H91" s="1476"/>
    </row>
    <row r="92" spans="1:8" ht="25.5" customHeight="1" x14ac:dyDescent="0.25">
      <c r="A92" s="1231"/>
      <c r="B92" s="1241"/>
      <c r="C92" s="1242"/>
      <c r="D92" s="1241"/>
      <c r="E92" s="1243"/>
      <c r="F92" s="1243"/>
      <c r="G92" s="1241"/>
      <c r="H92" s="1243"/>
    </row>
    <row r="93" spans="1:8" ht="55.25" customHeight="1" x14ac:dyDescent="0.25">
      <c r="A93" s="869"/>
      <c r="B93" s="1244"/>
      <c r="C93" s="1244"/>
      <c r="D93" s="1244"/>
      <c r="E93" s="1245"/>
      <c r="F93" s="1246"/>
      <c r="G93" s="1247"/>
      <c r="H93" s="1248"/>
    </row>
    <row r="94" spans="1:8" ht="14.25" customHeight="1" x14ac:dyDescent="0.25">
      <c r="A94" s="869"/>
      <c r="B94" s="1244"/>
      <c r="C94" s="1244"/>
      <c r="D94" s="1244"/>
      <c r="E94" s="1245"/>
      <c r="F94" s="1246"/>
      <c r="G94" s="1247"/>
      <c r="H94" s="1248"/>
    </row>
    <row r="95" spans="1:8" ht="14.25" customHeight="1" x14ac:dyDescent="0.25">
      <c r="A95" s="869"/>
      <c r="B95" s="1244"/>
      <c r="C95" s="1244"/>
      <c r="D95" s="1244"/>
      <c r="E95" s="1245"/>
      <c r="F95" s="1246"/>
      <c r="G95" s="1247"/>
      <c r="H95" s="1248"/>
    </row>
    <row r="96" spans="1:8" ht="14.25" customHeight="1" x14ac:dyDescent="0.25">
      <c r="A96" s="869"/>
      <c r="B96" s="1244"/>
      <c r="C96" s="1244"/>
      <c r="D96" s="1244"/>
      <c r="E96" s="1245"/>
      <c r="F96" s="1246"/>
      <c r="G96" s="1247"/>
      <c r="H96" s="1248"/>
    </row>
    <row r="97" spans="1:8" ht="14.25" customHeight="1" x14ac:dyDescent="0.25">
      <c r="A97" s="869"/>
      <c r="B97" s="1244"/>
      <c r="C97" s="1244"/>
      <c r="D97" s="1244"/>
      <c r="E97" s="1245"/>
      <c r="F97" s="1246"/>
      <c r="G97" s="1247"/>
      <c r="H97" s="1248"/>
    </row>
    <row r="98" spans="1:8" ht="14.25" customHeight="1" x14ac:dyDescent="0.25">
      <c r="A98" s="869"/>
      <c r="B98" s="1244"/>
      <c r="C98" s="1244"/>
      <c r="D98" s="1244"/>
      <c r="E98" s="1245"/>
      <c r="F98" s="1246"/>
      <c r="G98" s="1247"/>
      <c r="H98" s="1248"/>
    </row>
    <row r="99" spans="1:8" ht="14.25" customHeight="1" x14ac:dyDescent="0.25">
      <c r="A99" s="869"/>
      <c r="B99" s="1244"/>
      <c r="C99" s="1244"/>
      <c r="D99" s="1244"/>
      <c r="E99" s="1245"/>
      <c r="F99" s="1246"/>
      <c r="G99" s="1247"/>
      <c r="H99" s="1248"/>
    </row>
    <row r="100" spans="1:8" ht="12.75" customHeight="1" x14ac:dyDescent="0.25">
      <c r="A100" s="869"/>
      <c r="B100" s="888"/>
      <c r="C100" s="869"/>
      <c r="D100" s="869"/>
      <c r="E100" s="863"/>
      <c r="F100" s="863"/>
      <c r="G100" s="869"/>
      <c r="H100" s="869"/>
    </row>
    <row r="101" spans="1:8" ht="22.25" customHeight="1" x14ac:dyDescent="0.4">
      <c r="A101" s="869"/>
      <c r="B101" s="889"/>
      <c r="C101" s="893"/>
      <c r="D101" s="1252"/>
      <c r="E101" s="863"/>
      <c r="F101" s="1253"/>
      <c r="G101" s="869"/>
      <c r="H101" s="869"/>
    </row>
    <row r="102" spans="1:8" ht="19.25" customHeight="1" x14ac:dyDescent="0.25">
      <c r="A102" s="869"/>
      <c r="B102" s="869"/>
      <c r="C102" s="869"/>
      <c r="D102" s="869"/>
      <c r="E102" s="869"/>
      <c r="F102" s="869"/>
      <c r="G102" s="869"/>
      <c r="H102" s="869"/>
    </row>
    <row r="103" spans="1:8" x14ac:dyDescent="0.25">
      <c r="A103" s="869"/>
      <c r="B103" s="869"/>
      <c r="C103" s="869"/>
      <c r="D103" s="869"/>
      <c r="E103" s="869"/>
      <c r="F103" s="869"/>
      <c r="G103" s="869"/>
      <c r="H103" s="869"/>
    </row>
    <row r="104" spans="1:8" ht="17.75" customHeight="1" x14ac:dyDescent="0.3">
      <c r="A104" s="1226"/>
      <c r="B104" s="1475"/>
      <c r="C104" s="1476"/>
      <c r="D104" s="1476"/>
      <c r="E104" s="1476"/>
      <c r="F104" s="1476"/>
      <c r="G104" s="1476"/>
      <c r="H104" s="1476"/>
    </row>
    <row r="105" spans="1:8" ht="17.75" customHeight="1" x14ac:dyDescent="0.3">
      <c r="A105" s="1226"/>
      <c r="B105" s="1475"/>
      <c r="C105" s="1476"/>
      <c r="D105" s="1476"/>
      <c r="E105" s="1476"/>
      <c r="F105" s="1476"/>
      <c r="G105" s="1476"/>
      <c r="H105" s="1476"/>
    </row>
    <row r="106" spans="1:8" ht="25.5" customHeight="1" x14ac:dyDescent="0.25">
      <c r="A106" s="1231"/>
      <c r="B106" s="1241"/>
      <c r="C106" s="1242"/>
      <c r="D106" s="1241"/>
      <c r="E106" s="1243"/>
      <c r="F106" s="1243"/>
      <c r="G106" s="1241"/>
      <c r="H106" s="1243"/>
    </row>
    <row r="107" spans="1:8" ht="35" customHeight="1" x14ac:dyDescent="0.25">
      <c r="A107" s="869"/>
      <c r="B107" s="1244"/>
      <c r="C107" s="1244"/>
      <c r="D107" s="1244"/>
      <c r="E107" s="1245"/>
      <c r="F107" s="1246"/>
      <c r="G107" s="1247"/>
      <c r="H107" s="1248"/>
    </row>
    <row r="108" spans="1:8" ht="14.25" customHeight="1" x14ac:dyDescent="0.25">
      <c r="A108" s="869"/>
      <c r="B108" s="1244"/>
      <c r="C108" s="1244"/>
      <c r="D108" s="1244"/>
      <c r="E108" s="1245"/>
      <c r="F108" s="1246"/>
      <c r="G108" s="1247"/>
      <c r="H108" s="1248"/>
    </row>
    <row r="109" spans="1:8" ht="14.25" customHeight="1" x14ac:dyDescent="0.25">
      <c r="A109" s="869"/>
      <c r="B109" s="1244"/>
      <c r="C109" s="1244"/>
      <c r="D109" s="1244"/>
      <c r="E109" s="1245"/>
      <c r="F109" s="1246"/>
      <c r="G109" s="1247"/>
      <c r="H109" s="1248"/>
    </row>
    <row r="110" spans="1:8" ht="14.25" customHeight="1" x14ac:dyDescent="0.25">
      <c r="A110" s="869"/>
      <c r="B110" s="1244"/>
      <c r="C110" s="1244"/>
      <c r="D110" s="1244"/>
      <c r="E110" s="1245"/>
      <c r="F110" s="1246"/>
      <c r="G110" s="1247"/>
      <c r="H110" s="1248"/>
    </row>
    <row r="111" spans="1:8" ht="14.25" customHeight="1" x14ac:dyDescent="0.25">
      <c r="A111" s="869"/>
      <c r="B111" s="1244"/>
      <c r="C111" s="1244"/>
      <c r="D111" s="1244"/>
      <c r="E111" s="1245"/>
      <c r="F111" s="1246"/>
      <c r="G111" s="1247"/>
      <c r="H111" s="1248"/>
    </row>
    <row r="112" spans="1:8" ht="14.25" customHeight="1" x14ac:dyDescent="0.25">
      <c r="A112" s="869"/>
      <c r="B112" s="1244"/>
      <c r="C112" s="1244"/>
      <c r="D112" s="1244"/>
      <c r="E112" s="1245"/>
      <c r="F112" s="1246"/>
      <c r="G112" s="1247"/>
      <c r="H112" s="1248"/>
    </row>
    <row r="113" spans="1:8" ht="14.25" customHeight="1" x14ac:dyDescent="0.25">
      <c r="A113" s="869"/>
      <c r="B113" s="1244"/>
      <c r="C113" s="1244"/>
      <c r="D113" s="1244"/>
      <c r="E113" s="1245"/>
      <c r="F113" s="1246"/>
      <c r="G113" s="1247"/>
      <c r="H113" s="1248"/>
    </row>
    <row r="114" spans="1:8" ht="12.75" customHeight="1" x14ac:dyDescent="0.25">
      <c r="A114" s="869"/>
      <c r="B114" s="888"/>
      <c r="C114" s="869"/>
      <c r="D114" s="869"/>
      <c r="E114" s="863"/>
      <c r="F114" s="863"/>
      <c r="G114" s="869"/>
      <c r="H114" s="869"/>
    </row>
    <row r="115" spans="1:8" ht="19.25" customHeight="1" x14ac:dyDescent="0.4">
      <c r="A115" s="869"/>
      <c r="B115" s="889"/>
      <c r="C115" s="893"/>
      <c r="D115" s="1252"/>
      <c r="E115" s="863"/>
      <c r="F115" s="1253"/>
      <c r="G115" s="869"/>
      <c r="H115" s="869"/>
    </row>
    <row r="116" spans="1:8" x14ac:dyDescent="0.25">
      <c r="A116" s="869"/>
      <c r="B116" s="869"/>
      <c r="C116" s="869"/>
      <c r="D116" s="869"/>
      <c r="E116" s="869"/>
      <c r="F116" s="869"/>
      <c r="G116" s="869"/>
      <c r="H116" s="869"/>
    </row>
    <row r="117" spans="1:8" ht="17.75" customHeight="1" x14ac:dyDescent="0.3">
      <c r="A117" s="1226"/>
      <c r="B117" s="1475"/>
      <c r="C117" s="1476"/>
      <c r="D117" s="1476"/>
      <c r="E117" s="1476"/>
      <c r="F117" s="1476"/>
      <c r="G117" s="1476"/>
      <c r="H117" s="1476"/>
    </row>
    <row r="118" spans="1:8" ht="17.75" customHeight="1" x14ac:dyDescent="0.3">
      <c r="A118" s="1226"/>
      <c r="B118" s="1475"/>
      <c r="C118" s="1476"/>
      <c r="D118" s="1476"/>
      <c r="E118" s="1476"/>
      <c r="F118" s="1476"/>
      <c r="G118" s="1476"/>
      <c r="H118" s="1476"/>
    </row>
    <row r="119" spans="1:8" ht="25.5" customHeight="1" x14ac:dyDescent="0.25">
      <c r="A119" s="1231"/>
      <c r="B119" s="1241"/>
      <c r="C119" s="1242"/>
      <c r="D119" s="1241"/>
      <c r="E119" s="1243"/>
      <c r="F119" s="1243"/>
      <c r="G119" s="1241"/>
      <c r="H119" s="1243"/>
    </row>
    <row r="120" spans="1:8" ht="43.25" customHeight="1" x14ac:dyDescent="0.25">
      <c r="A120" s="869"/>
      <c r="B120" s="1244"/>
      <c r="C120" s="1244"/>
      <c r="D120" s="1244"/>
      <c r="E120" s="1245"/>
      <c r="F120" s="1246"/>
      <c r="G120" s="1247"/>
      <c r="H120" s="1248"/>
    </row>
    <row r="121" spans="1:8" ht="14.25" customHeight="1" x14ac:dyDescent="0.25">
      <c r="A121" s="869"/>
      <c r="B121" s="1244"/>
      <c r="C121" s="1244"/>
      <c r="D121" s="1244"/>
      <c r="E121" s="1245"/>
      <c r="F121" s="1246"/>
      <c r="G121" s="1247"/>
      <c r="H121" s="1248"/>
    </row>
    <row r="122" spans="1:8" ht="14.25" customHeight="1" x14ac:dyDescent="0.25">
      <c r="A122" s="869"/>
      <c r="B122" s="1244"/>
      <c r="C122" s="1244"/>
      <c r="D122" s="1244"/>
      <c r="E122" s="1245"/>
      <c r="F122" s="1246"/>
      <c r="G122" s="1247"/>
      <c r="H122" s="1248"/>
    </row>
    <row r="123" spans="1:8" ht="14.25" customHeight="1" x14ac:dyDescent="0.25">
      <c r="A123" s="869"/>
      <c r="B123" s="1244"/>
      <c r="C123" s="1244"/>
      <c r="D123" s="1244"/>
      <c r="E123" s="1245"/>
      <c r="F123" s="1246"/>
      <c r="G123" s="1247"/>
      <c r="H123" s="1248"/>
    </row>
    <row r="124" spans="1:8" ht="14.25" customHeight="1" x14ac:dyDescent="0.25">
      <c r="A124" s="869"/>
      <c r="B124" s="1244"/>
      <c r="C124" s="1244"/>
      <c r="D124" s="1244"/>
      <c r="E124" s="1245"/>
      <c r="F124" s="1246"/>
      <c r="G124" s="1247"/>
      <c r="H124" s="1248"/>
    </row>
    <row r="125" spans="1:8" ht="14.25" customHeight="1" x14ac:dyDescent="0.25">
      <c r="A125" s="869"/>
      <c r="B125" s="1244"/>
      <c r="C125" s="1244"/>
      <c r="D125" s="1244"/>
      <c r="E125" s="1245"/>
      <c r="F125" s="1246"/>
      <c r="G125" s="1247"/>
      <c r="H125" s="1248"/>
    </row>
    <row r="126" spans="1:8" ht="14.25" customHeight="1" x14ac:dyDescent="0.25">
      <c r="A126" s="869"/>
      <c r="B126" s="1244"/>
      <c r="C126" s="1244"/>
      <c r="D126" s="1244"/>
      <c r="E126" s="1245"/>
      <c r="F126" s="1246"/>
      <c r="G126" s="1247"/>
      <c r="H126" s="1248"/>
    </row>
    <row r="127" spans="1:8" ht="15.5" x14ac:dyDescent="0.25">
      <c r="A127" s="869"/>
      <c r="B127" s="888"/>
      <c r="C127" s="869"/>
      <c r="D127" s="869"/>
      <c r="E127" s="869"/>
      <c r="F127" s="869"/>
      <c r="G127" s="869"/>
      <c r="H127" s="869"/>
    </row>
    <row r="128" spans="1:8" ht="20" x14ac:dyDescent="0.4">
      <c r="A128" s="869"/>
      <c r="B128" s="889"/>
      <c r="C128" s="869"/>
      <c r="D128" s="869"/>
      <c r="E128" s="869"/>
      <c r="F128" s="869"/>
      <c r="G128" s="869"/>
      <c r="H128" s="869"/>
    </row>
  </sheetData>
  <mergeCells count="13">
    <mergeCell ref="AE2:AG3"/>
    <mergeCell ref="B118:H118"/>
    <mergeCell ref="B90:H90"/>
    <mergeCell ref="B105:H105"/>
    <mergeCell ref="B77:H77"/>
    <mergeCell ref="B91:H91"/>
    <mergeCell ref="B62:H62"/>
    <mergeCell ref="B117:H117"/>
    <mergeCell ref="B2:H3"/>
    <mergeCell ref="B104:H104"/>
    <mergeCell ref="R25:T25"/>
    <mergeCell ref="B76:H76"/>
    <mergeCell ref="B63:H63"/>
  </mergeCells>
  <printOptions horizontalCentered="1"/>
  <pageMargins left="0.5" right="0.5" top="1" bottom="0.5" header="0.3" footer="0.511811023622047"/>
  <pageSetup paperSize="9" scale="34"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tabColor rgb="FFFFFF00"/>
    <pageSetUpPr fitToPage="1"/>
  </sheetPr>
  <dimension ref="A1:AG108"/>
  <sheetViews>
    <sheetView topLeftCell="I1" zoomScale="55" zoomScaleNormal="55" workbookViewId="0">
      <selection activeCell="T95" sqref="T95"/>
    </sheetView>
  </sheetViews>
  <sheetFormatPr defaultColWidth="12.5" defaultRowHeight="12.5" x14ac:dyDescent="0.25"/>
  <cols>
    <col min="1" max="1" width="12.5" style="14" customWidth="1"/>
    <col min="2" max="2" width="31.414062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9" width="12.5" style="14" customWidth="1"/>
    <col min="10" max="10" width="9.6640625" style="14" customWidth="1"/>
    <col min="11" max="11" width="9" style="14" customWidth="1"/>
    <col min="12" max="12" width="8.33203125" style="14" customWidth="1"/>
    <col min="13" max="17" width="6.9140625" style="14" customWidth="1"/>
    <col min="18" max="16384" width="12.5" style="14"/>
  </cols>
  <sheetData>
    <row r="1" spans="1:33" ht="28.5" customHeight="1" x14ac:dyDescent="0.25">
      <c r="B1" s="79" t="s">
        <v>235</v>
      </c>
      <c r="C1" s="80">
        <v>1000</v>
      </c>
      <c r="D1" s="81" t="s">
        <v>236</v>
      </c>
      <c r="E1" s="116">
        <f>S30</f>
        <v>18150</v>
      </c>
      <c r="F1" s="79" t="s">
        <v>237</v>
      </c>
      <c r="G1" s="116">
        <f>E1/C1</f>
        <v>18.149999999999999</v>
      </c>
      <c r="H1" s="79" t="s">
        <v>238</v>
      </c>
      <c r="I1" s="116">
        <f>G1/K1</f>
        <v>18.149999999999999</v>
      </c>
      <c r="J1" s="325" t="s">
        <v>239</v>
      </c>
      <c r="K1" s="326">
        <v>1</v>
      </c>
      <c r="L1" s="99"/>
      <c r="M1" s="99" t="s">
        <v>344</v>
      </c>
      <c r="N1" s="99"/>
      <c r="O1" s="99"/>
      <c r="P1" s="99"/>
      <c r="Q1" s="99"/>
      <c r="R1" s="99"/>
      <c r="S1" s="99"/>
      <c r="T1" s="99"/>
      <c r="U1" s="99"/>
      <c r="V1" s="99"/>
      <c r="Y1" s="90" t="s">
        <v>463</v>
      </c>
      <c r="Z1" s="835">
        <v>18150</v>
      </c>
      <c r="AA1" s="90" t="s">
        <v>578</v>
      </c>
      <c r="AB1" s="835">
        <v>0</v>
      </c>
      <c r="AC1" s="90" t="s">
        <v>567</v>
      </c>
      <c r="AD1" s="835">
        <v>121</v>
      </c>
    </row>
    <row r="2" spans="1:33" ht="12.75" customHeight="1" x14ac:dyDescent="0.25">
      <c r="A2" s="329"/>
      <c r="B2" s="1443" t="s">
        <v>345</v>
      </c>
      <c r="C2" s="1466"/>
      <c r="D2" s="1466"/>
      <c r="E2" s="1466"/>
      <c r="F2" s="1466"/>
      <c r="G2" s="1466"/>
      <c r="H2" s="1466"/>
      <c r="I2" s="99"/>
      <c r="J2" s="99"/>
      <c r="K2" s="99"/>
      <c r="L2" s="99"/>
      <c r="M2" s="99"/>
      <c r="N2" s="99"/>
      <c r="O2" s="99"/>
      <c r="P2" s="99"/>
      <c r="Q2" s="99"/>
      <c r="R2" s="99"/>
      <c r="S2" s="99"/>
      <c r="T2" s="99"/>
      <c r="U2" s="99"/>
      <c r="AE2" s="1452"/>
      <c r="AF2" s="1460"/>
      <c r="AG2" s="1460"/>
    </row>
    <row r="3" spans="1:33" ht="12.75" customHeight="1" x14ac:dyDescent="0.25">
      <c r="A3" s="329"/>
      <c r="B3" s="1444"/>
      <c r="C3" s="1444"/>
      <c r="D3" s="1444"/>
      <c r="E3" s="1444"/>
      <c r="F3" s="1444"/>
      <c r="G3" s="1444"/>
      <c r="H3" s="1444"/>
      <c r="I3" s="99"/>
      <c r="J3" s="99"/>
      <c r="K3" s="99"/>
      <c r="L3" s="99"/>
      <c r="M3" s="99"/>
      <c r="N3" s="99"/>
      <c r="O3" s="99"/>
      <c r="P3" s="99"/>
      <c r="Q3" s="99"/>
      <c r="R3" s="99"/>
      <c r="S3" s="99"/>
      <c r="T3" s="99"/>
      <c r="U3" s="99"/>
      <c r="AE3" s="1460"/>
      <c r="AF3" s="1460"/>
      <c r="AG3" s="1460"/>
    </row>
    <row r="4" spans="1:33" ht="68.75" customHeight="1" x14ac:dyDescent="0.25">
      <c r="A4" s="90" t="s">
        <v>1</v>
      </c>
      <c r="B4" s="90" t="s">
        <v>245</v>
      </c>
      <c r="C4" s="106" t="s">
        <v>246</v>
      </c>
      <c r="D4" s="90" t="s">
        <v>235</v>
      </c>
      <c r="E4" s="217" t="s">
        <v>238</v>
      </c>
      <c r="F4" s="107" t="s">
        <v>247</v>
      </c>
      <c r="G4" s="90" t="s">
        <v>248</v>
      </c>
      <c r="H4" s="106" t="s">
        <v>339</v>
      </c>
      <c r="I4" s="90" t="s">
        <v>250</v>
      </c>
      <c r="J4" s="90" t="s">
        <v>251</v>
      </c>
      <c r="K4" s="90" t="s">
        <v>252</v>
      </c>
      <c r="L4" s="90" t="s">
        <v>253</v>
      </c>
      <c r="N4" s="99"/>
      <c r="O4" s="99"/>
      <c r="P4" s="99"/>
      <c r="Q4" s="99"/>
      <c r="R4" s="99"/>
      <c r="S4" s="99"/>
      <c r="T4" s="99"/>
      <c r="U4" s="99"/>
    </row>
    <row r="5" spans="1:33" ht="14.25" customHeight="1" x14ac:dyDescent="0.25">
      <c r="A5" s="218"/>
      <c r="B5" s="649"/>
      <c r="C5" s="650"/>
      <c r="D5" s="218"/>
      <c r="E5" s="651"/>
      <c r="F5" s="218"/>
      <c r="G5" s="218"/>
      <c r="H5" s="650"/>
      <c r="I5" s="80"/>
      <c r="J5" s="118"/>
      <c r="K5" s="121"/>
      <c r="L5" s="121"/>
    </row>
    <row r="6" spans="1:33" ht="14.25" customHeight="1" x14ac:dyDescent="0.25">
      <c r="A6" s="294" t="s">
        <v>13</v>
      </c>
      <c r="B6" s="22" t="s">
        <v>19</v>
      </c>
      <c r="C6" s="123" t="s">
        <v>14</v>
      </c>
      <c r="D6" s="1123">
        <v>450</v>
      </c>
      <c r="E6" s="115">
        <f t="shared" ref="E6:E14" si="0">$I$1</f>
        <v>18.149999999999999</v>
      </c>
      <c r="F6" s="126">
        <v>1</v>
      </c>
      <c r="G6" s="118">
        <f t="shared" ref="G6:G14" si="1">D6*E6</f>
        <v>8167.4999999999991</v>
      </c>
      <c r="H6" s="119">
        <f t="shared" ref="H6:H14" si="2">G6*F6</f>
        <v>8167.4999999999991</v>
      </c>
      <c r="I6" s="80">
        <f>VLOOKUP(B6,All_Ingredients!$A$1:$F$149,6,FALSE())</f>
        <v>0.84</v>
      </c>
      <c r="J6" s="118">
        <f>VLOOKUP(B6,All_Ingredients!$A$1:$J$149,10,FALSE())</f>
        <v>2.6</v>
      </c>
      <c r="K6" s="121">
        <f t="shared" ref="K6:K14" si="3">(H6/I6)/1000</f>
        <v>9.7232142857142847</v>
      </c>
      <c r="L6" s="121">
        <f t="shared" ref="L6:L14" si="4">K6*J6</f>
        <v>25.280357142857142</v>
      </c>
    </row>
    <row r="7" spans="1:33" ht="14.25" customHeight="1" x14ac:dyDescent="0.25">
      <c r="A7" s="294" t="s">
        <v>13</v>
      </c>
      <c r="B7" s="22" t="s">
        <v>47</v>
      </c>
      <c r="C7" s="123" t="s">
        <v>14</v>
      </c>
      <c r="D7" s="1123">
        <v>450</v>
      </c>
      <c r="E7" s="115">
        <f t="shared" si="0"/>
        <v>18.149999999999999</v>
      </c>
      <c r="F7" s="126">
        <v>1</v>
      </c>
      <c r="G7" s="118">
        <f t="shared" si="1"/>
        <v>8167.4999999999991</v>
      </c>
      <c r="H7" s="119">
        <f t="shared" si="2"/>
        <v>8167.4999999999991</v>
      </c>
      <c r="I7" s="80">
        <f>VLOOKUP(B7,All_Ingredients!$A$1:$F$149,6,FALSE())</f>
        <v>0.78</v>
      </c>
      <c r="J7" s="118">
        <f>VLOOKUP(B7,All_Ingredients!$A$1:$J$149,10,FALSE())</f>
        <v>3.7</v>
      </c>
      <c r="K7" s="121">
        <f t="shared" si="3"/>
        <v>10.471153846153843</v>
      </c>
      <c r="L7" s="121">
        <f t="shared" si="4"/>
        <v>38.743269230769222</v>
      </c>
    </row>
    <row r="8" spans="1:33" ht="14.25" customHeight="1" x14ac:dyDescent="0.25">
      <c r="A8" s="294" t="s">
        <v>13</v>
      </c>
      <c r="B8" s="22" t="s">
        <v>28</v>
      </c>
      <c r="C8" s="123" t="s">
        <v>14</v>
      </c>
      <c r="D8" s="1123">
        <v>80</v>
      </c>
      <c r="E8" s="115">
        <f t="shared" si="0"/>
        <v>18.149999999999999</v>
      </c>
      <c r="F8" s="126">
        <v>1</v>
      </c>
      <c r="G8" s="118">
        <f t="shared" si="1"/>
        <v>1452</v>
      </c>
      <c r="H8" s="119">
        <f t="shared" si="2"/>
        <v>1452</v>
      </c>
      <c r="I8" s="80">
        <f>VLOOKUP(B8,All_Ingredients!$A$1:$F$149,6,FALSE())</f>
        <v>0.73</v>
      </c>
      <c r="J8" s="118">
        <f>VLOOKUP(B8,All_Ingredients!$A$1:$J$149,10,FALSE())</f>
        <v>8.5</v>
      </c>
      <c r="K8" s="121">
        <f t="shared" si="3"/>
        <v>1.989041095890411</v>
      </c>
      <c r="L8" s="121">
        <f t="shared" si="4"/>
        <v>16.906849315068495</v>
      </c>
    </row>
    <row r="9" spans="1:33" ht="14.25" customHeight="1" x14ac:dyDescent="0.25">
      <c r="A9" s="294" t="s">
        <v>13</v>
      </c>
      <c r="B9" s="22" t="s">
        <v>30</v>
      </c>
      <c r="C9" s="123" t="s">
        <v>14</v>
      </c>
      <c r="D9" s="1123">
        <v>80</v>
      </c>
      <c r="E9" s="115">
        <f t="shared" si="0"/>
        <v>18.149999999999999</v>
      </c>
      <c r="F9" s="126">
        <v>1</v>
      </c>
      <c r="G9" s="118">
        <f t="shared" si="1"/>
        <v>1452</v>
      </c>
      <c r="H9" s="119">
        <f t="shared" si="2"/>
        <v>1452</v>
      </c>
      <c r="I9" s="80">
        <f>VLOOKUP(B9,All_Ingredients!$A$1:$F$149,6,FALSE())</f>
        <v>0.71</v>
      </c>
      <c r="J9" s="118">
        <f>VLOOKUP(B9,All_Ingredients!$A$1:$J$149,10,FALSE())</f>
        <v>8.5</v>
      </c>
      <c r="K9" s="121">
        <f t="shared" si="3"/>
        <v>2.0450704225352112</v>
      </c>
      <c r="L9" s="121">
        <f t="shared" si="4"/>
        <v>17.383098591549295</v>
      </c>
    </row>
    <row r="10" spans="1:33" ht="14.25" customHeight="1" x14ac:dyDescent="0.25">
      <c r="A10" s="294" t="s">
        <v>13</v>
      </c>
      <c r="B10" s="22" t="s">
        <v>32</v>
      </c>
      <c r="C10" s="123" t="s">
        <v>14</v>
      </c>
      <c r="D10" s="1123">
        <v>80</v>
      </c>
      <c r="E10" s="115">
        <f t="shared" si="0"/>
        <v>18.149999999999999</v>
      </c>
      <c r="F10" s="126">
        <v>1</v>
      </c>
      <c r="G10" s="118">
        <f t="shared" si="1"/>
        <v>1452</v>
      </c>
      <c r="H10" s="119">
        <f t="shared" si="2"/>
        <v>1452</v>
      </c>
      <c r="I10" s="80">
        <f>VLOOKUP(B10,All_Ingredients!$A$1:$F$149,6,FALSE())</f>
        <v>0.69</v>
      </c>
      <c r="J10" s="118">
        <f>VLOOKUP(B10,All_Ingredients!$A$1:$J$149,10,FALSE())</f>
        <v>4</v>
      </c>
      <c r="K10" s="121">
        <f t="shared" si="3"/>
        <v>2.1043478260869564</v>
      </c>
      <c r="L10" s="121">
        <f t="shared" si="4"/>
        <v>8.4173913043478255</v>
      </c>
      <c r="O10" s="14" t="s">
        <v>805</v>
      </c>
      <c r="P10" s="14" t="s">
        <v>803</v>
      </c>
      <c r="Q10" s="14" t="s">
        <v>804</v>
      </c>
      <c r="R10" s="14" t="s">
        <v>832</v>
      </c>
      <c r="S10" s="14" t="s">
        <v>833</v>
      </c>
    </row>
    <row r="11" spans="1:33" ht="14.25" customHeight="1" x14ac:dyDescent="0.25">
      <c r="A11" s="294" t="s">
        <v>13</v>
      </c>
      <c r="B11" s="22" t="s">
        <v>50</v>
      </c>
      <c r="C11" s="123" t="s">
        <v>14</v>
      </c>
      <c r="D11" s="1123">
        <v>80</v>
      </c>
      <c r="E11" s="115">
        <f t="shared" si="0"/>
        <v>18.149999999999999</v>
      </c>
      <c r="F11" s="126">
        <v>1</v>
      </c>
      <c r="G11" s="118">
        <f t="shared" si="1"/>
        <v>1452</v>
      </c>
      <c r="H11" s="119">
        <f t="shared" si="2"/>
        <v>1452</v>
      </c>
      <c r="I11" s="80">
        <f>VLOOKUP(B11,All_Ingredients!$A$1:$F$149,6,FALSE())</f>
        <v>0.75</v>
      </c>
      <c r="J11" s="118">
        <f>VLOOKUP(B11,All_Ingredients!$A$1:$J$149,10,FALSE())</f>
        <v>20</v>
      </c>
      <c r="K11" s="121">
        <f t="shared" si="3"/>
        <v>1.9359999999999999</v>
      </c>
      <c r="L11" s="121">
        <f t="shared" si="4"/>
        <v>38.72</v>
      </c>
      <c r="O11" s="14">
        <v>1100</v>
      </c>
      <c r="P11" s="14">
        <v>4800</v>
      </c>
      <c r="Q11" s="14">
        <v>4500</v>
      </c>
      <c r="R11" s="14">
        <v>2700</v>
      </c>
      <c r="S11" s="14">
        <v>1000</v>
      </c>
    </row>
    <row r="12" spans="1:33" ht="14.25" customHeight="1" x14ac:dyDescent="0.25">
      <c r="A12" s="294" t="s">
        <v>220</v>
      </c>
      <c r="B12" s="22" t="s">
        <v>545</v>
      </c>
      <c r="C12" s="123" t="s">
        <v>14</v>
      </c>
      <c r="D12" s="1123">
        <v>80</v>
      </c>
      <c r="E12" s="115">
        <f t="shared" si="0"/>
        <v>18.149999999999999</v>
      </c>
      <c r="F12" s="126">
        <v>1</v>
      </c>
      <c r="G12" s="118">
        <f t="shared" si="1"/>
        <v>1452</v>
      </c>
      <c r="H12" s="119">
        <f t="shared" si="2"/>
        <v>1452</v>
      </c>
      <c r="I12" s="80">
        <f>VLOOKUP(B12,All_Ingredients!$A$1:$F$149,6,FALSE())</f>
        <v>1</v>
      </c>
      <c r="J12" s="118">
        <f>VLOOKUP(B12,All_Ingredients!$A$1:$J$149,10,FALSE())</f>
        <v>10.196078431372548</v>
      </c>
      <c r="K12" s="121">
        <f t="shared" si="3"/>
        <v>1.452</v>
      </c>
      <c r="L12" s="121">
        <f t="shared" si="4"/>
        <v>14.804705882352939</v>
      </c>
      <c r="O12" s="14">
        <v>800</v>
      </c>
      <c r="P12" s="14">
        <v>4200</v>
      </c>
      <c r="Q12" s="14">
        <v>4500</v>
      </c>
      <c r="R12" s="14">
        <v>2600</v>
      </c>
      <c r="S12" s="14">
        <v>700</v>
      </c>
    </row>
    <row r="13" spans="1:33" ht="14.25" customHeight="1" x14ac:dyDescent="0.25">
      <c r="A13" s="294" t="s">
        <v>95</v>
      </c>
      <c r="B13" s="322" t="s">
        <v>94</v>
      </c>
      <c r="C13" s="123" t="s">
        <v>14</v>
      </c>
      <c r="D13" s="115">
        <v>4</v>
      </c>
      <c r="E13" s="115">
        <f t="shared" si="0"/>
        <v>18.149999999999999</v>
      </c>
      <c r="F13" s="126">
        <v>0.75</v>
      </c>
      <c r="G13" s="118">
        <f t="shared" si="1"/>
        <v>72.599999999999994</v>
      </c>
      <c r="H13" s="119">
        <f t="shared" si="2"/>
        <v>54.449999999999996</v>
      </c>
      <c r="I13" s="80">
        <f>VLOOKUP(B13,All_Ingredients!$A$1:$F$149,6,FALSE())</f>
        <v>1</v>
      </c>
      <c r="J13" s="118">
        <f>VLOOKUP(B13,All_Ingredients!$A$1:$J$149,10,FALSE())</f>
        <v>0.74</v>
      </c>
      <c r="K13" s="121">
        <f t="shared" si="3"/>
        <v>5.4449999999999998E-2</v>
      </c>
      <c r="L13" s="121">
        <f t="shared" si="4"/>
        <v>4.0292999999999995E-2</v>
      </c>
      <c r="O13" s="14">
        <f>O11+O12</f>
        <v>1900</v>
      </c>
      <c r="P13" s="14">
        <f t="shared" ref="P13:S13" si="5">P11+P12</f>
        <v>9000</v>
      </c>
      <c r="Q13" s="14">
        <f t="shared" si="5"/>
        <v>9000</v>
      </c>
      <c r="R13" s="14">
        <f t="shared" si="5"/>
        <v>5300</v>
      </c>
      <c r="S13" s="14">
        <f t="shared" si="5"/>
        <v>1700</v>
      </c>
      <c r="T13" s="14">
        <f>SUM(O13:S13)</f>
        <v>26900</v>
      </c>
    </row>
    <row r="14" spans="1:33" ht="14.25" customHeight="1" x14ac:dyDescent="0.25">
      <c r="A14" s="294" t="s">
        <v>95</v>
      </c>
      <c r="B14" s="322" t="s">
        <v>100</v>
      </c>
      <c r="C14" s="123" t="s">
        <v>14</v>
      </c>
      <c r="D14" s="196">
        <v>0.5</v>
      </c>
      <c r="E14" s="115">
        <f t="shared" si="0"/>
        <v>18.149999999999999</v>
      </c>
      <c r="F14" s="126">
        <v>1</v>
      </c>
      <c r="G14" s="118">
        <f t="shared" si="1"/>
        <v>9.0749999999999993</v>
      </c>
      <c r="H14" s="119">
        <f t="shared" si="2"/>
        <v>9.0749999999999993</v>
      </c>
      <c r="I14" s="80">
        <f>VLOOKUP(B14,All_Ingredients!$A$1:$F$149,6,FALSE())</f>
        <v>1</v>
      </c>
      <c r="J14" s="118">
        <f>VLOOKUP(B14,All_Ingredients!$A$1:$J$149,10,FALSE())</f>
        <v>31</v>
      </c>
      <c r="K14" s="121">
        <f t="shared" si="3"/>
        <v>9.0749999999999997E-3</v>
      </c>
      <c r="L14" s="121">
        <f t="shared" si="4"/>
        <v>0.28132499999999999</v>
      </c>
    </row>
    <row r="15" spans="1:33" ht="14.25" customHeight="1" x14ac:dyDescent="0.25">
      <c r="B15" s="355"/>
      <c r="C15" s="356"/>
      <c r="D15" s="358"/>
      <c r="E15" s="358"/>
      <c r="F15" s="359"/>
      <c r="G15" s="360"/>
      <c r="H15" s="361"/>
    </row>
    <row r="16" spans="1:33" ht="14.25" customHeight="1" x14ac:dyDescent="0.25">
      <c r="E16" s="224"/>
      <c r="F16" s="135"/>
      <c r="G16" s="139"/>
      <c r="H16" s="137"/>
      <c r="P16" s="14">
        <v>12000</v>
      </c>
      <c r="R16" s="14">
        <v>22300</v>
      </c>
      <c r="S16" s="14">
        <f>R16/T13</f>
        <v>0.82899628252788105</v>
      </c>
    </row>
    <row r="17" spans="2:29" ht="14.25" customHeight="1" x14ac:dyDescent="0.25">
      <c r="E17" s="99"/>
      <c r="F17" s="99"/>
      <c r="P17" s="14">
        <v>10300</v>
      </c>
    </row>
    <row r="18" spans="2:29" ht="14.25" customHeight="1" x14ac:dyDescent="0.25">
      <c r="E18" s="99"/>
      <c r="F18" s="99"/>
    </row>
    <row r="19" spans="2:29" ht="14.25" customHeight="1" x14ac:dyDescent="0.25">
      <c r="E19" s="99"/>
      <c r="F19" s="99"/>
    </row>
    <row r="20" spans="2:29" ht="14.25" customHeight="1" x14ac:dyDescent="0.25">
      <c r="E20" s="99"/>
      <c r="F20" s="99"/>
    </row>
    <row r="21" spans="2:29" ht="14.25" customHeight="1" x14ac:dyDescent="0.25">
      <c r="E21" s="99"/>
      <c r="F21" s="99"/>
    </row>
    <row r="22" spans="2:29" ht="14.25" customHeight="1" x14ac:dyDescent="0.3">
      <c r="B22" s="11"/>
      <c r="C22" s="335"/>
      <c r="D22" s="336"/>
      <c r="E22" s="99"/>
      <c r="F22" s="99"/>
      <c r="M22" s="1"/>
      <c r="N22"/>
      <c r="O22"/>
    </row>
    <row r="23" spans="2:29" ht="14.25" customHeight="1" x14ac:dyDescent="0.3">
      <c r="B23" s="11"/>
      <c r="C23" s="335"/>
      <c r="D23" s="336"/>
      <c r="E23" s="99"/>
      <c r="F23" s="99"/>
      <c r="M23" s="178"/>
      <c r="N23" s="489"/>
      <c r="O23"/>
    </row>
    <row r="24" spans="2:29" ht="14.25" customHeight="1" x14ac:dyDescent="0.3">
      <c r="B24" s="11"/>
      <c r="C24" s="335"/>
      <c r="D24" s="336"/>
      <c r="E24" s="99"/>
      <c r="F24" s="99"/>
      <c r="Z24" s="1208"/>
    </row>
    <row r="25" spans="2:29" ht="14.25" customHeight="1" x14ac:dyDescent="0.3">
      <c r="B25" s="11"/>
      <c r="C25" s="335"/>
      <c r="D25" s="336"/>
      <c r="E25" s="99"/>
      <c r="F25" s="99"/>
      <c r="R25" s="1467" t="s">
        <v>346</v>
      </c>
      <c r="S25" s="1444"/>
      <c r="T25" s="1444"/>
      <c r="Z25" s="140" t="s">
        <v>14</v>
      </c>
      <c r="AA25" s="141">
        <v>1</v>
      </c>
      <c r="AB25" s="140" t="s">
        <v>253</v>
      </c>
      <c r="AC25" s="142">
        <f>(S34/S30)*AA25</f>
        <v>8.8472335794460011E-3</v>
      </c>
    </row>
    <row r="26" spans="2:29" ht="14.25" customHeight="1" x14ac:dyDescent="0.3">
      <c r="B26" s="11"/>
      <c r="C26" s="335"/>
      <c r="D26" s="336"/>
      <c r="E26" s="99"/>
      <c r="F26" s="99"/>
      <c r="R26" s="1477" t="s">
        <v>342</v>
      </c>
      <c r="S26" s="1446"/>
      <c r="T26" s="1446"/>
    </row>
    <row r="27" spans="2:29" ht="14.25" customHeight="1" x14ac:dyDescent="0.3">
      <c r="B27" s="11"/>
      <c r="C27" s="335"/>
      <c r="D27" s="336"/>
      <c r="E27" s="99"/>
      <c r="F27" s="99"/>
      <c r="R27" s="144" t="s">
        <v>258</v>
      </c>
      <c r="S27" s="144" t="s">
        <v>343</v>
      </c>
      <c r="T27" s="144" t="s">
        <v>261</v>
      </c>
    </row>
    <row r="28" spans="2:29" ht="14.25" customHeight="1" x14ac:dyDescent="0.3">
      <c r="B28" s="11"/>
      <c r="C28" s="335"/>
      <c r="D28" s="336"/>
      <c r="E28" s="99"/>
      <c r="F28" s="99"/>
      <c r="R28" s="144" t="s">
        <v>267</v>
      </c>
      <c r="S28" s="786">
        <f>T28</f>
        <v>18150</v>
      </c>
      <c r="T28" s="784">
        <f>Z1</f>
        <v>18150</v>
      </c>
    </row>
    <row r="29" spans="2:29" ht="14.25" customHeight="1" x14ac:dyDescent="0.3">
      <c r="B29" s="11"/>
      <c r="C29" s="335"/>
      <c r="D29" s="336"/>
      <c r="E29" s="99"/>
      <c r="F29" s="99"/>
      <c r="N29" s="337"/>
      <c r="R29" s="144" t="s">
        <v>269</v>
      </c>
      <c r="S29" s="784">
        <f>AB1</f>
        <v>0</v>
      </c>
      <c r="T29" s="787">
        <f>S29</f>
        <v>0</v>
      </c>
    </row>
    <row r="30" spans="2:29" ht="14.25" customHeight="1" x14ac:dyDescent="0.3">
      <c r="B30" s="99"/>
      <c r="E30" s="99"/>
      <c r="F30" s="99"/>
      <c r="R30" s="144" t="s">
        <v>261</v>
      </c>
      <c r="S30" s="338">
        <f>SUM(S28:S29)</f>
        <v>18150</v>
      </c>
      <c r="T30" s="338">
        <f>S30</f>
        <v>18150</v>
      </c>
    </row>
    <row r="31" spans="2:29" ht="14.25" customHeight="1" x14ac:dyDescent="0.25">
      <c r="B31" s="99"/>
      <c r="E31" s="99"/>
      <c r="F31" s="99"/>
    </row>
    <row r="32" spans="2:29" ht="14.25" customHeight="1" x14ac:dyDescent="0.25">
      <c r="B32" s="99"/>
      <c r="E32" s="99"/>
      <c r="F32" s="99"/>
    </row>
    <row r="33" spans="18:20" ht="13" thickBot="1" x14ac:dyDescent="0.3"/>
    <row r="34" spans="18:20" ht="14.5" thickBot="1" x14ac:dyDescent="0.35">
      <c r="R34" s="162" t="s">
        <v>253</v>
      </c>
      <c r="S34" s="1125">
        <f>SUM(L6:L14)</f>
        <v>160.57728946694493</v>
      </c>
      <c r="T34" s="1196">
        <f>S34</f>
        <v>160.57728946694493</v>
      </c>
    </row>
    <row r="43" spans="18:20" ht="14" customHeight="1" x14ac:dyDescent="0.25"/>
    <row r="44" spans="18:20" ht="14" customHeight="1" x14ac:dyDescent="0.25"/>
    <row r="50" spans="1:8" ht="14" x14ac:dyDescent="0.3">
      <c r="B50" s="225"/>
      <c r="C50" s="225" t="s">
        <v>237</v>
      </c>
      <c r="D50" s="225" t="s">
        <v>283</v>
      </c>
    </row>
    <row r="51" spans="1:8" ht="14" x14ac:dyDescent="0.3">
      <c r="B51" s="179" t="s">
        <v>287</v>
      </c>
      <c r="C51" s="180">
        <f>10/$K$1</f>
        <v>10</v>
      </c>
      <c r="D51" s="181">
        <f>$C$1*10</f>
        <v>10000</v>
      </c>
    </row>
    <row r="52" spans="1:8" ht="14" x14ac:dyDescent="0.3">
      <c r="B52" s="230" t="s">
        <v>261</v>
      </c>
      <c r="C52" s="232">
        <f>G1</f>
        <v>18.149999999999999</v>
      </c>
      <c r="D52" s="232">
        <f>E1</f>
        <v>18150</v>
      </c>
    </row>
    <row r="53" spans="1:8" ht="14" x14ac:dyDescent="0.3">
      <c r="B53" s="230" t="s">
        <v>288</v>
      </c>
      <c r="C53" s="233">
        <f>MIN($C$52, $C$51)</f>
        <v>10</v>
      </c>
      <c r="D53" s="232">
        <f>(C53*$K$1)*$C$1</f>
        <v>10000</v>
      </c>
    </row>
    <row r="54" spans="1:8" ht="14" x14ac:dyDescent="0.3">
      <c r="B54" s="230" t="s">
        <v>289</v>
      </c>
      <c r="C54" s="233">
        <f>MIN(MAX($C$52-C53,0),$C$51)</f>
        <v>8.1499999999999986</v>
      </c>
      <c r="D54" s="232">
        <f>(C54*$K$1)*$C$1</f>
        <v>8149.9999999999982</v>
      </c>
    </row>
    <row r="55" spans="1:8" ht="14" x14ac:dyDescent="0.3">
      <c r="B55" s="230" t="s">
        <v>290</v>
      </c>
      <c r="C55" s="233">
        <f>MIN(MAX($C$52-C53-C54,0),$C$51)</f>
        <v>0</v>
      </c>
      <c r="D55" s="232">
        <f>(C55*$K$1)*$C$1</f>
        <v>0</v>
      </c>
    </row>
    <row r="62" spans="1:8" ht="17.75" customHeight="1" x14ac:dyDescent="0.25"/>
    <row r="63" spans="1:8" ht="17.75" customHeight="1" x14ac:dyDescent="0.3">
      <c r="A63" s="927"/>
      <c r="B63" s="1438" t="s">
        <v>825</v>
      </c>
      <c r="C63" s="1439"/>
      <c r="D63" s="1439"/>
      <c r="E63" s="1439"/>
      <c r="F63" s="1439"/>
      <c r="G63" s="1439"/>
      <c r="H63" s="1439"/>
    </row>
    <row r="64" spans="1:8" ht="14" x14ac:dyDescent="0.3">
      <c r="A64" s="927"/>
      <c r="B64" s="1436" t="s">
        <v>345</v>
      </c>
      <c r="C64" s="1437"/>
      <c r="D64" s="1437"/>
      <c r="E64" s="1437"/>
      <c r="F64" s="1437"/>
      <c r="G64" s="1437"/>
      <c r="H64" s="1437"/>
    </row>
    <row r="65" spans="1:8" ht="39.5" customHeight="1" x14ac:dyDescent="0.25">
      <c r="A65" s="90"/>
      <c r="B65" s="242" t="s">
        <v>245</v>
      </c>
      <c r="C65" s="243" t="s">
        <v>246</v>
      </c>
      <c r="D65" s="244" t="s">
        <v>235</v>
      </c>
      <c r="E65" s="217" t="s">
        <v>238</v>
      </c>
      <c r="F65" s="217" t="s">
        <v>247</v>
      </c>
      <c r="G65" s="244" t="s">
        <v>248</v>
      </c>
      <c r="H65" s="217" t="s">
        <v>249</v>
      </c>
    </row>
    <row r="66" spans="1:8" ht="14.25" customHeight="1" x14ac:dyDescent="0.25">
      <c r="A66" s="294" t="s">
        <v>13</v>
      </c>
      <c r="B66" s="322" t="str">
        <f t="shared" ref="B66:D74" si="6">B6</f>
        <v>Carrot - جزر</v>
      </c>
      <c r="C66" s="123" t="str">
        <f t="shared" si="6"/>
        <v>gm</v>
      </c>
      <c r="D66" s="115">
        <f t="shared" si="6"/>
        <v>450</v>
      </c>
      <c r="E66" s="115">
        <f>$C$52</f>
        <v>18.149999999999999</v>
      </c>
      <c r="F66" s="126">
        <f t="shared" ref="F66:F74" si="7">F6</f>
        <v>1</v>
      </c>
      <c r="G66" s="118">
        <f t="shared" ref="G66:G74" si="8">D66*E66</f>
        <v>8167.4999999999991</v>
      </c>
      <c r="H66" s="119">
        <f t="shared" ref="H66:H74" si="9">G66*F66</f>
        <v>8167.4999999999991</v>
      </c>
    </row>
    <row r="67" spans="1:8" ht="14.25" customHeight="1" x14ac:dyDescent="0.25">
      <c r="A67" s="294" t="s">
        <v>13</v>
      </c>
      <c r="B67" s="322" t="str">
        <f t="shared" si="6"/>
        <v>Zucchini - كوسة</v>
      </c>
      <c r="C67" s="123" t="str">
        <f t="shared" si="6"/>
        <v>gm</v>
      </c>
      <c r="D67" s="115">
        <f t="shared" si="6"/>
        <v>450</v>
      </c>
      <c r="E67" s="115">
        <f t="shared" ref="E67:E74" si="10">$C$52</f>
        <v>18.149999999999999</v>
      </c>
      <c r="F67" s="126">
        <f t="shared" si="7"/>
        <v>1</v>
      </c>
      <c r="G67" s="118">
        <f t="shared" si="8"/>
        <v>8167.4999999999991</v>
      </c>
      <c r="H67" s="119">
        <f t="shared" si="9"/>
        <v>8167.4999999999991</v>
      </c>
    </row>
    <row r="68" spans="1:8" ht="14.25" customHeight="1" x14ac:dyDescent="0.25">
      <c r="A68" s="294" t="s">
        <v>13</v>
      </c>
      <c r="B68" s="322" t="str">
        <f t="shared" si="6"/>
        <v xml:space="preserve">Red Bell Pepper - فلفل أحمر </v>
      </c>
      <c r="C68" s="123" t="str">
        <f t="shared" si="6"/>
        <v>gm</v>
      </c>
      <c r="D68" s="115">
        <f t="shared" si="6"/>
        <v>80</v>
      </c>
      <c r="E68" s="115">
        <f t="shared" si="10"/>
        <v>18.149999999999999</v>
      </c>
      <c r="F68" s="126">
        <f t="shared" si="7"/>
        <v>1</v>
      </c>
      <c r="G68" s="118">
        <f t="shared" si="8"/>
        <v>1452</v>
      </c>
      <c r="H68" s="119">
        <f t="shared" si="9"/>
        <v>1452</v>
      </c>
    </row>
    <row r="69" spans="1:8" ht="14.25" customHeight="1" x14ac:dyDescent="0.25">
      <c r="A69" s="294" t="s">
        <v>13</v>
      </c>
      <c r="B69" s="322" t="str">
        <f t="shared" si="6"/>
        <v xml:space="preserve">Yellow Bell Pepper - فلفل أصفر </v>
      </c>
      <c r="C69" s="123" t="str">
        <f t="shared" si="6"/>
        <v>gm</v>
      </c>
      <c r="D69" s="115">
        <f t="shared" si="6"/>
        <v>80</v>
      </c>
      <c r="E69" s="115">
        <f t="shared" si="10"/>
        <v>18.149999999999999</v>
      </c>
      <c r="F69" s="126">
        <f t="shared" si="7"/>
        <v>1</v>
      </c>
      <c r="G69" s="118">
        <f t="shared" si="8"/>
        <v>1452</v>
      </c>
      <c r="H69" s="119">
        <f t="shared" si="9"/>
        <v>1452</v>
      </c>
    </row>
    <row r="70" spans="1:8" ht="14.25" customHeight="1" x14ac:dyDescent="0.25">
      <c r="A70" s="294" t="s">
        <v>13</v>
      </c>
      <c r="B70" s="322" t="str">
        <f t="shared" si="6"/>
        <v>Green Bell Pepper - فلفل أخضر رومى</v>
      </c>
      <c r="C70" s="123" t="str">
        <f t="shared" si="6"/>
        <v>gm</v>
      </c>
      <c r="D70" s="115">
        <f t="shared" si="6"/>
        <v>80</v>
      </c>
      <c r="E70" s="115">
        <f t="shared" si="10"/>
        <v>18.149999999999999</v>
      </c>
      <c r="F70" s="126">
        <f t="shared" si="7"/>
        <v>1</v>
      </c>
      <c r="G70" s="118">
        <f t="shared" si="8"/>
        <v>1452</v>
      </c>
      <c r="H70" s="119">
        <f t="shared" si="9"/>
        <v>1452</v>
      </c>
    </row>
    <row r="71" spans="1:8" ht="14.25" customHeight="1" x14ac:dyDescent="0.25">
      <c r="A71" s="294" t="s">
        <v>13</v>
      </c>
      <c r="B71" s="322" t="str">
        <f t="shared" si="6"/>
        <v>Chinese Cabbage - ملفوف صيني</v>
      </c>
      <c r="C71" s="123" t="str">
        <f t="shared" si="6"/>
        <v>gm</v>
      </c>
      <c r="D71" s="115">
        <f t="shared" si="6"/>
        <v>80</v>
      </c>
      <c r="E71" s="115">
        <f t="shared" si="10"/>
        <v>18.149999999999999</v>
      </c>
      <c r="F71" s="126">
        <f t="shared" si="7"/>
        <v>1</v>
      </c>
      <c r="G71" s="118">
        <f t="shared" si="8"/>
        <v>1452</v>
      </c>
      <c r="H71" s="119">
        <f t="shared" si="9"/>
        <v>1452</v>
      </c>
    </row>
    <row r="72" spans="1:8" ht="14.25" customHeight="1" x14ac:dyDescent="0.25">
      <c r="A72" s="294" t="s">
        <v>220</v>
      </c>
      <c r="B72" s="322" t="str">
        <f t="shared" si="6"/>
        <v>Sweet Corn - ذرة حلوة</v>
      </c>
      <c r="C72" s="123" t="str">
        <f t="shared" si="6"/>
        <v>gm</v>
      </c>
      <c r="D72" s="115">
        <f t="shared" si="6"/>
        <v>80</v>
      </c>
      <c r="E72" s="115">
        <f t="shared" si="10"/>
        <v>18.149999999999999</v>
      </c>
      <c r="F72" s="126">
        <f t="shared" si="7"/>
        <v>1</v>
      </c>
      <c r="G72" s="118">
        <f t="shared" si="8"/>
        <v>1452</v>
      </c>
      <c r="H72" s="119">
        <f t="shared" si="9"/>
        <v>1452</v>
      </c>
    </row>
    <row r="73" spans="1:8" ht="14.25" customHeight="1" x14ac:dyDescent="0.25">
      <c r="A73" s="294" t="s">
        <v>95</v>
      </c>
      <c r="B73" s="322" t="str">
        <f t="shared" si="6"/>
        <v>Salt - ملح</v>
      </c>
      <c r="C73" s="123" t="str">
        <f t="shared" si="6"/>
        <v>gm</v>
      </c>
      <c r="D73" s="115">
        <f t="shared" si="6"/>
        <v>4</v>
      </c>
      <c r="E73" s="115">
        <f t="shared" si="10"/>
        <v>18.149999999999999</v>
      </c>
      <c r="F73" s="126">
        <f t="shared" si="7"/>
        <v>0.75</v>
      </c>
      <c r="G73" s="118">
        <f t="shared" si="8"/>
        <v>72.599999999999994</v>
      </c>
      <c r="H73" s="119">
        <f t="shared" si="9"/>
        <v>54.449999999999996</v>
      </c>
    </row>
    <row r="74" spans="1:8" ht="12.75" customHeight="1" x14ac:dyDescent="0.25">
      <c r="A74" s="294" t="s">
        <v>95</v>
      </c>
      <c r="B74" s="322" t="str">
        <f t="shared" si="6"/>
        <v>Black Pepper Powder - فلفل أسود مطحون</v>
      </c>
      <c r="C74" s="123" t="str">
        <f t="shared" si="6"/>
        <v>gm</v>
      </c>
      <c r="D74" s="196">
        <f t="shared" si="6"/>
        <v>0.5</v>
      </c>
      <c r="E74" s="115">
        <f t="shared" si="10"/>
        <v>18.149999999999999</v>
      </c>
      <c r="F74" s="126">
        <f t="shared" si="7"/>
        <v>1</v>
      </c>
      <c r="G74" s="118">
        <f t="shared" si="8"/>
        <v>9.0749999999999993</v>
      </c>
      <c r="H74" s="119">
        <f t="shared" si="9"/>
        <v>9.0749999999999993</v>
      </c>
    </row>
    <row r="75" spans="1:8" ht="14.25" customHeight="1" x14ac:dyDescent="0.25">
      <c r="B75" s="197" t="s">
        <v>740</v>
      </c>
      <c r="E75" s="99"/>
      <c r="F75" s="99"/>
    </row>
    <row r="76" spans="1:8" ht="22.5" customHeight="1" x14ac:dyDescent="0.4">
      <c r="B76" s="198">
        <f>D52</f>
        <v>18150</v>
      </c>
      <c r="C76" s="207"/>
      <c r="D76" s="4"/>
      <c r="E76" s="99"/>
      <c r="F76" s="182"/>
    </row>
    <row r="77" spans="1:8" ht="12.75" customHeight="1" x14ac:dyDescent="0.25">
      <c r="B77" s="99"/>
      <c r="E77" s="99"/>
      <c r="F77" s="99"/>
    </row>
    <row r="78" spans="1:8" x14ac:dyDescent="0.25">
      <c r="B78" s="99"/>
      <c r="C78" s="99"/>
      <c r="D78" s="345"/>
      <c r="E78" s="99"/>
      <c r="F78" s="99"/>
      <c r="G78" s="99"/>
      <c r="H78" s="99"/>
    </row>
    <row r="79" spans="1:8" ht="17.75" customHeight="1" x14ac:dyDescent="0.25"/>
    <row r="80" spans="1:8" ht="17.75" customHeight="1" x14ac:dyDescent="0.3">
      <c r="A80" s="1226"/>
      <c r="B80" s="1475"/>
      <c r="C80" s="1476"/>
      <c r="D80" s="1476"/>
      <c r="E80" s="1476"/>
      <c r="F80" s="1476"/>
      <c r="G80" s="1476"/>
      <c r="H80" s="1476"/>
    </row>
    <row r="81" spans="1:8" ht="25.5" customHeight="1" x14ac:dyDescent="0.3">
      <c r="A81" s="1226"/>
      <c r="B81" s="1475"/>
      <c r="C81" s="1476"/>
      <c r="D81" s="1476"/>
      <c r="E81" s="1476"/>
      <c r="F81" s="1476"/>
      <c r="G81" s="1476"/>
      <c r="H81" s="1476"/>
    </row>
    <row r="82" spans="1:8" ht="13" x14ac:dyDescent="0.25">
      <c r="A82" s="1231"/>
      <c r="B82" s="1241"/>
      <c r="C82" s="1242"/>
      <c r="D82" s="1241"/>
      <c r="E82" s="1243"/>
      <c r="F82" s="1243"/>
      <c r="G82" s="1241"/>
      <c r="H82" s="1243"/>
    </row>
    <row r="83" spans="1:8" ht="14.25" customHeight="1" x14ac:dyDescent="0.25">
      <c r="A83" s="869"/>
      <c r="B83" s="1244"/>
      <c r="C83" s="1244"/>
      <c r="D83" s="1249"/>
      <c r="E83" s="1250"/>
      <c r="F83" s="1246"/>
      <c r="G83" s="1247"/>
      <c r="H83" s="1248"/>
    </row>
    <row r="84" spans="1:8" ht="14.25" customHeight="1" x14ac:dyDescent="0.25">
      <c r="A84" s="869"/>
      <c r="B84" s="1244"/>
      <c r="C84" s="1244"/>
      <c r="D84" s="1249"/>
      <c r="E84" s="1250"/>
      <c r="F84" s="1246"/>
      <c r="G84" s="1247"/>
      <c r="H84" s="1248"/>
    </row>
    <row r="85" spans="1:8" ht="14.25" customHeight="1" x14ac:dyDescent="0.25">
      <c r="A85" s="869"/>
      <c r="B85" s="1244"/>
      <c r="C85" s="1244"/>
      <c r="D85" s="1249"/>
      <c r="E85" s="1250"/>
      <c r="F85" s="1246"/>
      <c r="G85" s="1247"/>
      <c r="H85" s="1248"/>
    </row>
    <row r="86" spans="1:8" ht="14.25" customHeight="1" x14ac:dyDescent="0.25">
      <c r="A86" s="869"/>
      <c r="B86" s="1244"/>
      <c r="C86" s="1244"/>
      <c r="D86" s="1249"/>
      <c r="E86" s="1250"/>
      <c r="F86" s="1246"/>
      <c r="G86" s="1247"/>
      <c r="H86" s="1248"/>
    </row>
    <row r="87" spans="1:8" ht="14.25" customHeight="1" x14ac:dyDescent="0.25">
      <c r="A87" s="869"/>
      <c r="B87" s="1244"/>
      <c r="C87" s="1244"/>
      <c r="D87" s="1249"/>
      <c r="E87" s="1250"/>
      <c r="F87" s="1246"/>
      <c r="G87" s="1247"/>
      <c r="H87" s="1248"/>
    </row>
    <row r="88" spans="1:8" ht="14.25" customHeight="1" x14ac:dyDescent="0.25">
      <c r="A88" s="869"/>
      <c r="B88" s="1244"/>
      <c r="C88" s="1244"/>
      <c r="D88" s="1249"/>
      <c r="E88" s="1250"/>
      <c r="F88" s="1246"/>
      <c r="G88" s="1247"/>
      <c r="H88" s="1248"/>
    </row>
    <row r="89" spans="1:8" ht="14.25" customHeight="1" x14ac:dyDescent="0.25">
      <c r="A89" s="869"/>
      <c r="B89" s="1244"/>
      <c r="C89" s="1244"/>
      <c r="D89" s="1249"/>
      <c r="E89" s="1250"/>
      <c r="F89" s="1246"/>
      <c r="G89" s="1247"/>
      <c r="H89" s="1248"/>
    </row>
    <row r="90" spans="1:8" ht="14.25" customHeight="1" x14ac:dyDescent="0.25">
      <c r="A90" s="869"/>
      <c r="B90" s="1244"/>
      <c r="C90" s="1244"/>
      <c r="D90" s="1249"/>
      <c r="E90" s="1250"/>
      <c r="F90" s="1246"/>
      <c r="G90" s="1247"/>
      <c r="H90" s="1248"/>
    </row>
    <row r="91" spans="1:8" ht="12.75" customHeight="1" x14ac:dyDescent="0.25">
      <c r="A91" s="869"/>
      <c r="B91" s="1244"/>
      <c r="C91" s="1244"/>
      <c r="D91" s="1251"/>
      <c r="E91" s="1250"/>
      <c r="F91" s="1246"/>
      <c r="G91" s="1247"/>
      <c r="H91" s="1248"/>
    </row>
    <row r="92" spans="1:8" ht="14.25" customHeight="1" x14ac:dyDescent="0.25">
      <c r="A92" s="869"/>
      <c r="B92" s="888"/>
      <c r="C92" s="869"/>
      <c r="D92" s="869"/>
      <c r="E92" s="863"/>
      <c r="F92" s="863"/>
      <c r="G92" s="869"/>
      <c r="H92" s="869"/>
    </row>
    <row r="93" spans="1:8" ht="21.5" customHeight="1" x14ac:dyDescent="0.4">
      <c r="A93" s="869"/>
      <c r="B93" s="889"/>
      <c r="C93" s="893"/>
      <c r="D93" s="1252"/>
      <c r="E93" s="863"/>
      <c r="F93" s="1253"/>
      <c r="G93" s="869"/>
      <c r="H93" s="869"/>
    </row>
    <row r="94" spans="1:8" ht="17.75" customHeight="1" x14ac:dyDescent="0.25">
      <c r="A94" s="869"/>
      <c r="B94" s="863"/>
      <c r="C94" s="863"/>
      <c r="D94" s="863"/>
      <c r="E94" s="863"/>
      <c r="F94" s="863"/>
      <c r="G94" s="863"/>
      <c r="H94" s="863"/>
    </row>
    <row r="95" spans="1:8" ht="17.75" customHeight="1" x14ac:dyDescent="0.3">
      <c r="A95" s="1226"/>
      <c r="B95" s="1475"/>
      <c r="C95" s="1476"/>
      <c r="D95" s="1476"/>
      <c r="E95" s="1476"/>
      <c r="F95" s="1476"/>
      <c r="G95" s="1476"/>
      <c r="H95" s="1476"/>
    </row>
    <row r="96" spans="1:8" ht="25.5" customHeight="1" x14ac:dyDescent="0.3">
      <c r="A96" s="1226"/>
      <c r="B96" s="1475"/>
      <c r="C96" s="1476"/>
      <c r="D96" s="1476"/>
      <c r="E96" s="1476"/>
      <c r="F96" s="1476"/>
      <c r="G96" s="1476"/>
      <c r="H96" s="1476"/>
    </row>
    <row r="97" spans="1:8" ht="13" x14ac:dyDescent="0.25">
      <c r="A97" s="1231"/>
      <c r="B97" s="1241"/>
      <c r="C97" s="1242"/>
      <c r="D97" s="1241"/>
      <c r="E97" s="1243"/>
      <c r="F97" s="1243"/>
      <c r="G97" s="1241"/>
      <c r="H97" s="1243"/>
    </row>
    <row r="98" spans="1:8" ht="14.25" customHeight="1" x14ac:dyDescent="0.25">
      <c r="A98" s="869"/>
      <c r="B98" s="1244"/>
      <c r="C98" s="1244"/>
      <c r="D98" s="1244"/>
      <c r="E98" s="1245"/>
      <c r="F98" s="1246"/>
      <c r="G98" s="1247"/>
      <c r="H98" s="1248"/>
    </row>
    <row r="99" spans="1:8" ht="14.25" customHeight="1" x14ac:dyDescent="0.25">
      <c r="A99" s="869"/>
      <c r="B99" s="1244"/>
      <c r="C99" s="1244"/>
      <c r="D99" s="1244"/>
      <c r="E99" s="1245"/>
      <c r="F99" s="1246"/>
      <c r="G99" s="1247"/>
      <c r="H99" s="1248"/>
    </row>
    <row r="100" spans="1:8" ht="14.25" customHeight="1" x14ac:dyDescent="0.25">
      <c r="A100" s="869"/>
      <c r="B100" s="1244"/>
      <c r="C100" s="1244"/>
      <c r="D100" s="1244"/>
      <c r="E100" s="1245"/>
      <c r="F100" s="1246"/>
      <c r="G100" s="1247"/>
      <c r="H100" s="1248"/>
    </row>
    <row r="101" spans="1:8" ht="14.25" customHeight="1" x14ac:dyDescent="0.25">
      <c r="A101" s="869"/>
      <c r="B101" s="1244"/>
      <c r="C101" s="1244"/>
      <c r="D101" s="1244"/>
      <c r="E101" s="1245"/>
      <c r="F101" s="1246"/>
      <c r="G101" s="1247"/>
      <c r="H101" s="1248"/>
    </row>
    <row r="102" spans="1:8" ht="14.25" customHeight="1" x14ac:dyDescent="0.25">
      <c r="A102" s="869"/>
      <c r="B102" s="1244"/>
      <c r="C102" s="1244"/>
      <c r="D102" s="1244"/>
      <c r="E102" s="1245"/>
      <c r="F102" s="1246"/>
      <c r="G102" s="1247"/>
      <c r="H102" s="1248"/>
    </row>
    <row r="103" spans="1:8" ht="14.25" customHeight="1" x14ac:dyDescent="0.25">
      <c r="A103" s="869"/>
      <c r="B103" s="1244"/>
      <c r="C103" s="1244"/>
      <c r="D103" s="1244"/>
      <c r="E103" s="1245"/>
      <c r="F103" s="1246"/>
      <c r="G103" s="1247"/>
      <c r="H103" s="1248"/>
    </row>
    <row r="104" spans="1:8" ht="14.25" customHeight="1" x14ac:dyDescent="0.25">
      <c r="A104" s="869"/>
      <c r="B104" s="1244"/>
      <c r="C104" s="1244"/>
      <c r="D104" s="1244"/>
      <c r="E104" s="1245"/>
      <c r="F104" s="1246"/>
      <c r="G104" s="1247"/>
      <c r="H104" s="1248"/>
    </row>
    <row r="105" spans="1:8" ht="14.25" customHeight="1" x14ac:dyDescent="0.25">
      <c r="A105" s="869"/>
      <c r="B105" s="1244"/>
      <c r="C105" s="1244"/>
      <c r="D105" s="1244"/>
      <c r="E105" s="1245"/>
      <c r="F105" s="1246"/>
      <c r="G105" s="1247"/>
      <c r="H105" s="1248"/>
    </row>
    <row r="106" spans="1:8" ht="14" x14ac:dyDescent="0.25">
      <c r="A106" s="869"/>
      <c r="B106" s="1244"/>
      <c r="C106" s="1244"/>
      <c r="D106" s="1244"/>
      <c r="E106" s="1245"/>
      <c r="F106" s="1246"/>
      <c r="G106" s="1258"/>
      <c r="H106" s="1259"/>
    </row>
    <row r="107" spans="1:8" ht="15.5" x14ac:dyDescent="0.25">
      <c r="A107" s="869"/>
      <c r="B107" s="888"/>
      <c r="C107" s="869"/>
      <c r="D107" s="869"/>
      <c r="E107" s="869"/>
      <c r="F107" s="869"/>
      <c r="G107" s="869"/>
      <c r="H107" s="869"/>
    </row>
    <row r="108" spans="1:8" ht="20" x14ac:dyDescent="0.4">
      <c r="A108" s="869"/>
      <c r="B108" s="889"/>
      <c r="C108" s="869"/>
      <c r="D108" s="869"/>
      <c r="E108" s="869"/>
      <c r="F108" s="869"/>
      <c r="G108" s="869"/>
      <c r="H108" s="869"/>
    </row>
  </sheetData>
  <mergeCells count="10">
    <mergeCell ref="B96:H96"/>
    <mergeCell ref="B2:H3"/>
    <mergeCell ref="R25:T25"/>
    <mergeCell ref="B64:H64"/>
    <mergeCell ref="AE2:AG3"/>
    <mergeCell ref="B95:H95"/>
    <mergeCell ref="B80:H80"/>
    <mergeCell ref="B81:H81"/>
    <mergeCell ref="B63:H63"/>
    <mergeCell ref="R26:T26"/>
  </mergeCells>
  <printOptions horizontalCentered="1"/>
  <pageMargins left="0.5" right="0.5" top="1" bottom="0.5" header="0.3" footer="0.511811023622047"/>
  <pageSetup paperSize="9" scale="33" orientation="portrait" r:id="rId1"/>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tabColor rgb="FFFF0000"/>
    <pageSetUpPr fitToPage="1"/>
  </sheetPr>
  <dimension ref="A1:AT99"/>
  <sheetViews>
    <sheetView topLeftCell="B21" zoomScale="64" zoomScaleNormal="64" workbookViewId="0">
      <selection activeCell="Q43" sqref="Q43:T44"/>
    </sheetView>
  </sheetViews>
  <sheetFormatPr defaultColWidth="12.5" defaultRowHeight="14" x14ac:dyDescent="0.3"/>
  <cols>
    <col min="1" max="1" width="12.5" style="78" customWidth="1"/>
    <col min="2" max="2" width="28.414062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4.58203125" style="14" customWidth="1"/>
    <col min="15" max="17" width="12.5" style="14" customWidth="1"/>
    <col min="18" max="18" width="35.08203125" style="14" customWidth="1"/>
    <col min="19" max="19" width="12.5" style="14" customWidth="1"/>
    <col min="20" max="23" width="12.5" style="14"/>
    <col min="24" max="24" width="21.6640625" style="14" bestFit="1" customWidth="1"/>
    <col min="25" max="26" width="12.5" style="14"/>
    <col min="27" max="28" width="11" style="14" bestFit="1" customWidth="1"/>
    <col min="29" max="29" width="11.75" style="14" bestFit="1" customWidth="1"/>
    <col min="30" max="30" width="13.25" style="14" bestFit="1" customWidth="1"/>
    <col min="31" max="31" width="11.33203125" style="14" bestFit="1" customWidth="1"/>
    <col min="32" max="34" width="5.4140625" style="14" customWidth="1"/>
    <col min="35" max="35" width="12.5" style="14"/>
    <col min="36" max="36" width="40" style="14" customWidth="1"/>
    <col min="37" max="16384" width="12.5" style="14"/>
  </cols>
  <sheetData>
    <row r="1" spans="1:46" ht="35.25" customHeight="1" x14ac:dyDescent="0.3">
      <c r="B1" s="79" t="s">
        <v>235</v>
      </c>
      <c r="C1" s="80">
        <v>1000</v>
      </c>
      <c r="D1" s="81" t="s">
        <v>236</v>
      </c>
      <c r="E1" s="116">
        <f>T32</f>
        <v>7091.7000000000007</v>
      </c>
      <c r="F1" s="79" t="s">
        <v>237</v>
      </c>
      <c r="G1" s="80">
        <f>E1/C1</f>
        <v>7.0917000000000003</v>
      </c>
      <c r="H1" s="79" t="s">
        <v>238</v>
      </c>
      <c r="I1" s="248">
        <f>(G1/K1)</f>
        <v>7.4649473684210532</v>
      </c>
      <c r="J1" s="85" t="s">
        <v>239</v>
      </c>
      <c r="K1" s="80">
        <v>0.95</v>
      </c>
      <c r="L1" s="99"/>
      <c r="M1" s="88"/>
      <c r="N1" s="89"/>
      <c r="O1" s="90" t="s">
        <v>240</v>
      </c>
      <c r="P1" s="91" t="s">
        <v>241</v>
      </c>
      <c r="Q1" s="92" t="s">
        <v>242</v>
      </c>
      <c r="R1" s="91">
        <v>0.59</v>
      </c>
      <c r="Y1" s="90" t="s">
        <v>463</v>
      </c>
      <c r="Z1" s="835">
        <v>20490</v>
      </c>
      <c r="AA1" s="90" t="s">
        <v>578</v>
      </c>
      <c r="AB1" s="835">
        <v>1000</v>
      </c>
      <c r="AC1" s="90" t="s">
        <v>567</v>
      </c>
      <c r="AD1" s="835">
        <v>139</v>
      </c>
      <c r="AE1" s="249"/>
      <c r="AF1" s="251"/>
      <c r="AG1" s="91"/>
      <c r="AI1" s="78"/>
      <c r="AJ1" s="93" t="s">
        <v>254</v>
      </c>
      <c r="AK1" s="93">
        <v>10000</v>
      </c>
      <c r="AL1" s="623" t="s">
        <v>503</v>
      </c>
      <c r="AM1" s="624">
        <f>$S$32</f>
        <v>16547.300000000003</v>
      </c>
      <c r="AN1" s="93" t="s">
        <v>243</v>
      </c>
      <c r="AO1" s="328">
        <f>((S32)/$R$1)/$AK$1</f>
        <v>2.8046271186440683</v>
      </c>
      <c r="AP1" s="94"/>
    </row>
    <row r="2" spans="1:46" ht="15.75" customHeight="1" x14ac:dyDescent="0.3">
      <c r="A2" s="96"/>
      <c r="B2" s="97"/>
      <c r="C2" s="97"/>
      <c r="D2" s="97"/>
      <c r="E2" s="97"/>
      <c r="F2" s="1491" t="s">
        <v>124</v>
      </c>
      <c r="G2" s="97"/>
      <c r="H2" s="97"/>
      <c r="I2" s="97"/>
      <c r="J2" s="97"/>
      <c r="K2" s="97"/>
      <c r="L2" s="292"/>
      <c r="M2" s="99"/>
      <c r="N2" s="99"/>
      <c r="O2" s="99"/>
      <c r="P2" s="99"/>
      <c r="Q2" s="99"/>
      <c r="R2" s="99"/>
      <c r="AC2" s="98"/>
      <c r="AD2" s="98"/>
      <c r="AE2" s="1457"/>
      <c r="AF2" s="1460"/>
      <c r="AG2" s="1460"/>
      <c r="AI2" s="78"/>
      <c r="AJ2" s="100"/>
      <c r="AK2" s="1442" t="s">
        <v>443</v>
      </c>
      <c r="AL2" s="1442"/>
      <c r="AM2" s="1442"/>
      <c r="AN2" s="1442"/>
      <c r="AO2" s="100"/>
      <c r="AP2" s="100"/>
    </row>
    <row r="3" spans="1:46" ht="15.75" customHeight="1" x14ac:dyDescent="0.3">
      <c r="A3" s="96"/>
      <c r="B3" s="102"/>
      <c r="C3" s="102"/>
      <c r="D3" s="102"/>
      <c r="E3" s="102"/>
      <c r="F3" s="1444"/>
      <c r="G3" s="102"/>
      <c r="H3" s="102"/>
      <c r="I3" s="102"/>
      <c r="J3" s="102"/>
      <c r="K3" s="102"/>
      <c r="L3" s="292"/>
      <c r="M3" s="99"/>
      <c r="N3" s="99"/>
      <c r="O3" s="99"/>
      <c r="P3" s="99"/>
      <c r="Q3" s="99"/>
      <c r="R3" s="99"/>
      <c r="AC3" s="98"/>
      <c r="AD3" s="98"/>
      <c r="AE3" s="1460"/>
      <c r="AF3" s="1460"/>
      <c r="AG3" s="1460"/>
      <c r="AI3" s="78"/>
      <c r="AJ3" s="100"/>
      <c r="AK3" s="100"/>
      <c r="AL3" s="100"/>
      <c r="AM3" s="100"/>
      <c r="AN3" s="1460"/>
      <c r="AO3" s="100"/>
      <c r="AP3" s="100"/>
    </row>
    <row r="4" spans="1:46" ht="46.5" customHeight="1" x14ac:dyDescent="0.3">
      <c r="A4" s="90" t="s">
        <v>1</v>
      </c>
      <c r="B4" s="90" t="s">
        <v>245</v>
      </c>
      <c r="C4" s="106" t="s">
        <v>246</v>
      </c>
      <c r="D4" s="90" t="s">
        <v>235</v>
      </c>
      <c r="E4" s="107" t="s">
        <v>238</v>
      </c>
      <c r="F4" s="107" t="s">
        <v>247</v>
      </c>
      <c r="G4" s="90" t="s">
        <v>248</v>
      </c>
      <c r="H4" s="330" t="s">
        <v>339</v>
      </c>
      <c r="I4" s="90" t="s">
        <v>250</v>
      </c>
      <c r="J4" s="90" t="s">
        <v>251</v>
      </c>
      <c r="K4" s="90" t="s">
        <v>252</v>
      </c>
      <c r="L4" s="90" t="s">
        <v>253</v>
      </c>
      <c r="M4" s="99"/>
      <c r="N4" s="99"/>
      <c r="O4" s="99"/>
      <c r="P4" s="99"/>
      <c r="AC4" s="250"/>
      <c r="AD4" s="252"/>
      <c r="AE4" s="250"/>
      <c r="AF4" s="250"/>
      <c r="AG4" s="250"/>
      <c r="AI4" s="78"/>
      <c r="AJ4" s="93" t="s">
        <v>245</v>
      </c>
      <c r="AK4" s="527" t="s">
        <v>246</v>
      </c>
      <c r="AL4" s="93" t="s">
        <v>254</v>
      </c>
      <c r="AM4" s="93" t="s">
        <v>238</v>
      </c>
      <c r="AN4" s="93" t="s">
        <v>247</v>
      </c>
      <c r="AO4" s="93" t="s">
        <v>248</v>
      </c>
      <c r="AP4" s="93" t="s">
        <v>339</v>
      </c>
      <c r="AQ4" s="90" t="s">
        <v>250</v>
      </c>
      <c r="AR4" s="90" t="s">
        <v>251</v>
      </c>
      <c r="AS4" s="90" t="s">
        <v>252</v>
      </c>
      <c r="AT4" s="90" t="s">
        <v>253</v>
      </c>
    </row>
    <row r="5" spans="1:46" ht="14.25" customHeight="1" x14ac:dyDescent="0.3">
      <c r="A5" s="265" t="s">
        <v>225</v>
      </c>
      <c r="B5" s="308" t="s">
        <v>224</v>
      </c>
      <c r="C5" s="114" t="s">
        <v>14</v>
      </c>
      <c r="D5" s="120">
        <f>I51/10</f>
        <v>5649.8305084745762</v>
      </c>
      <c r="E5" s="116">
        <f>H52</f>
        <v>4.9640907181856377</v>
      </c>
      <c r="F5" s="298">
        <v>1</v>
      </c>
      <c r="G5" s="118">
        <f t="shared" ref="G5:G16" si="0">D5*E5</f>
        <v>28046.271186440685</v>
      </c>
      <c r="H5" s="206">
        <f t="shared" ref="H5:H16" si="1">G5*F5</f>
        <v>28046.271186440685</v>
      </c>
      <c r="I5" s="80">
        <f>VLOOKUP(B5,All_Ingredients!$A$1:$F$149,6,FALSE())</f>
        <v>0.86</v>
      </c>
      <c r="J5" s="118">
        <f>VLOOKUP(B5,All_Ingredients!$A$1:$J$149,10,FALSE())</f>
        <v>17.100000000000001</v>
      </c>
      <c r="K5" s="121">
        <f t="shared" ref="K5" si="2">(H5/I5)/1000</f>
        <v>32.61194324004731</v>
      </c>
      <c r="L5" s="121">
        <f t="shared" ref="L5" si="3">K5*J5</f>
        <v>557.66422940480902</v>
      </c>
      <c r="M5" s="99"/>
      <c r="N5" s="99"/>
      <c r="O5" s="99"/>
      <c r="P5" s="99"/>
      <c r="AC5" s="91"/>
      <c r="AD5" s="132"/>
      <c r="AE5" s="253"/>
      <c r="AF5" s="134"/>
      <c r="AG5" s="135"/>
      <c r="AI5" s="78"/>
      <c r="AJ5" s="373" t="s">
        <v>224</v>
      </c>
      <c r="AK5" s="114" t="s">
        <v>231</v>
      </c>
      <c r="AL5" s="124">
        <v>10</v>
      </c>
      <c r="AM5" s="196">
        <f t="shared" ref="AM5:AM13" si="4">$AO$1</f>
        <v>2.8046271186440683</v>
      </c>
      <c r="AN5" s="298">
        <v>1</v>
      </c>
      <c r="AO5" s="118">
        <f t="shared" ref="AO5:AO13" si="5">AL5*AM5</f>
        <v>28.046271186440684</v>
      </c>
      <c r="AP5" s="206">
        <f t="shared" ref="AP5:AP13" si="6">AO5*AN5</f>
        <v>28.046271186440684</v>
      </c>
      <c r="AQ5" s="294"/>
      <c r="AR5" s="1152"/>
      <c r="AS5" s="174"/>
      <c r="AT5" s="1153"/>
    </row>
    <row r="6" spans="1:46" ht="14.25" customHeight="1" x14ac:dyDescent="0.35">
      <c r="A6" s="127" t="s">
        <v>192</v>
      </c>
      <c r="B6" s="255" t="s">
        <v>200</v>
      </c>
      <c r="C6" s="992" t="s">
        <v>161</v>
      </c>
      <c r="D6" s="124">
        <v>500</v>
      </c>
      <c r="E6" s="196">
        <f t="shared" ref="E6:E17" si="7">$I$1</f>
        <v>7.4649473684210532</v>
      </c>
      <c r="F6" s="298">
        <v>1</v>
      </c>
      <c r="G6" s="118">
        <f t="shared" si="0"/>
        <v>3732.4736842105267</v>
      </c>
      <c r="H6" s="206">
        <f t="shared" si="1"/>
        <v>3732.4736842105267</v>
      </c>
      <c r="I6" s="80">
        <f>VLOOKUP(B6,All_Ingredients!$A$1:$F$149,6,FALSE())</f>
        <v>1</v>
      </c>
      <c r="J6" s="118">
        <f>VLOOKUP(B6,All_Ingredients!$A$1:$J$149,10,FALSE())</f>
        <v>3.25</v>
      </c>
      <c r="K6" s="121">
        <f t="shared" ref="K6:K17" si="8">(H6/I6)/1000</f>
        <v>3.7324736842105266</v>
      </c>
      <c r="L6" s="121">
        <f t="shared" ref="L6:L17" si="9">K6*J6</f>
        <v>12.130539473684211</v>
      </c>
      <c r="AI6" s="78" t="s">
        <v>56</v>
      </c>
      <c r="AJ6" s="255" t="s">
        <v>55</v>
      </c>
      <c r="AK6" s="114" t="s">
        <v>14</v>
      </c>
      <c r="AL6" s="124">
        <v>100</v>
      </c>
      <c r="AM6" s="196">
        <f t="shared" si="4"/>
        <v>2.8046271186440683</v>
      </c>
      <c r="AN6" s="298">
        <v>1</v>
      </c>
      <c r="AO6" s="118">
        <f t="shared" si="5"/>
        <v>280.46271186440686</v>
      </c>
      <c r="AP6" s="206">
        <f t="shared" si="6"/>
        <v>280.46271186440686</v>
      </c>
      <c r="AQ6" s="1153">
        <f>VLOOKUP(AJ6,Marination_Ordering!$A:$J,6,FALSE)</f>
        <v>0.87</v>
      </c>
      <c r="AR6" s="1153">
        <f>VLOOKUP(AJ6,Marination_Ordering!$A:$J,10,FALSE)</f>
        <v>3.2</v>
      </c>
      <c r="AS6" s="174">
        <f>AP6/AQ6</f>
        <v>322.37093317747917</v>
      </c>
      <c r="AT6" s="1153">
        <f>AR6*(AS6/1000)</f>
        <v>1.0315869861679334</v>
      </c>
    </row>
    <row r="7" spans="1:46" ht="14.25" customHeight="1" x14ac:dyDescent="0.3">
      <c r="A7" s="127" t="s">
        <v>192</v>
      </c>
      <c r="B7" s="255" t="s">
        <v>194</v>
      </c>
      <c r="C7" s="114" t="s">
        <v>161</v>
      </c>
      <c r="D7" s="124">
        <v>40</v>
      </c>
      <c r="E7" s="196">
        <f t="shared" si="7"/>
        <v>7.4649473684210532</v>
      </c>
      <c r="F7" s="298">
        <v>0.75</v>
      </c>
      <c r="G7" s="118">
        <f t="shared" si="0"/>
        <v>298.59789473684214</v>
      </c>
      <c r="H7" s="206">
        <f t="shared" si="1"/>
        <v>223.9484210526316</v>
      </c>
      <c r="I7" s="80">
        <f>VLOOKUP(B7,All_Ingredients!$A$1:$F$149,6,FALSE())</f>
        <v>1</v>
      </c>
      <c r="J7" s="118">
        <f>VLOOKUP(B7,All_Ingredients!$A$1:$J$149,10,FALSE())</f>
        <v>58.685446009389672</v>
      </c>
      <c r="K7" s="121">
        <f t="shared" si="8"/>
        <v>0.2239484210526316</v>
      </c>
      <c r="L7" s="121">
        <f t="shared" si="9"/>
        <v>13.142512972572277</v>
      </c>
      <c r="AI7" s="78" t="s">
        <v>13</v>
      </c>
      <c r="AJ7" s="255" t="s">
        <v>762</v>
      </c>
      <c r="AK7" s="114" t="s">
        <v>14</v>
      </c>
      <c r="AL7" s="124">
        <v>100</v>
      </c>
      <c r="AM7" s="196">
        <f t="shared" si="4"/>
        <v>2.8046271186440683</v>
      </c>
      <c r="AN7" s="298">
        <v>1</v>
      </c>
      <c r="AO7" s="118">
        <f t="shared" si="5"/>
        <v>280.46271186440686</v>
      </c>
      <c r="AP7" s="206">
        <f t="shared" si="6"/>
        <v>280.46271186440686</v>
      </c>
      <c r="AQ7" s="1153">
        <f>VLOOKUP(AJ7,Marination_Ordering!$A:$J,6,FALSE)</f>
        <v>1</v>
      </c>
      <c r="AR7" s="1153">
        <f>VLOOKUP(AJ7,Marination_Ordering!$A:$J,10,FALSE)</f>
        <v>10.5</v>
      </c>
      <c r="AS7" s="174">
        <f t="shared" ref="AS7:AS8" si="10">AP7/AQ7</f>
        <v>280.46271186440686</v>
      </c>
      <c r="AT7" s="1153">
        <f t="shared" ref="AT7:AT8" si="11">AR7*(AS7/1000)</f>
        <v>2.944858474576272</v>
      </c>
    </row>
    <row r="8" spans="1:46" x14ac:dyDescent="0.3">
      <c r="A8" s="127" t="s">
        <v>192</v>
      </c>
      <c r="B8" s="255" t="s">
        <v>195</v>
      </c>
      <c r="C8" s="114" t="s">
        <v>161</v>
      </c>
      <c r="D8" s="124">
        <v>60</v>
      </c>
      <c r="E8" s="196">
        <f t="shared" si="7"/>
        <v>7.4649473684210532</v>
      </c>
      <c r="F8" s="298">
        <v>0.9</v>
      </c>
      <c r="G8" s="118">
        <f t="shared" si="0"/>
        <v>447.8968421052632</v>
      </c>
      <c r="H8" s="206">
        <f t="shared" si="1"/>
        <v>403.10715789473687</v>
      </c>
      <c r="I8" s="80">
        <f>VLOOKUP(B8,All_Ingredients!$A$1:$F$149,6,FALSE())</f>
        <v>1</v>
      </c>
      <c r="J8" s="118">
        <f>VLOOKUP(B8,All_Ingredients!$A$1:$J$149,10,FALSE())</f>
        <v>37.001287001286997</v>
      </c>
      <c r="K8" s="121">
        <f t="shared" si="8"/>
        <v>0.40310715789473689</v>
      </c>
      <c r="L8" s="121">
        <f t="shared" si="9"/>
        <v>14.915483641536273</v>
      </c>
      <c r="AI8" s="78" t="s">
        <v>206</v>
      </c>
      <c r="AJ8" s="530" t="s">
        <v>214</v>
      </c>
      <c r="AK8" s="114" t="s">
        <v>161</v>
      </c>
      <c r="AL8" s="124">
        <v>200</v>
      </c>
      <c r="AM8" s="196">
        <f t="shared" si="4"/>
        <v>2.8046271186440683</v>
      </c>
      <c r="AN8" s="298">
        <v>1</v>
      </c>
      <c r="AO8" s="118">
        <f t="shared" si="5"/>
        <v>560.92542372881371</v>
      </c>
      <c r="AP8" s="206">
        <f t="shared" si="6"/>
        <v>560.92542372881371</v>
      </c>
      <c r="AQ8" s="1153">
        <f>VLOOKUP(AJ8,Marination_Ordering!$A:$J,6,FALSE)</f>
        <v>1</v>
      </c>
      <c r="AR8" s="1153">
        <f>VLOOKUP(AJ8,Marination_Ordering!$A:$J,10,FALSE)</f>
        <v>5</v>
      </c>
      <c r="AS8" s="174">
        <f t="shared" si="10"/>
        <v>560.92542372881371</v>
      </c>
      <c r="AT8" s="1153">
        <f t="shared" si="11"/>
        <v>2.8046271186440688</v>
      </c>
    </row>
    <row r="9" spans="1:46" ht="14.25" customHeight="1" x14ac:dyDescent="0.3">
      <c r="A9" s="127" t="s">
        <v>192</v>
      </c>
      <c r="B9" s="255" t="s">
        <v>196</v>
      </c>
      <c r="C9" s="114" t="s">
        <v>161</v>
      </c>
      <c r="D9" s="124">
        <v>40</v>
      </c>
      <c r="E9" s="196">
        <f t="shared" si="7"/>
        <v>7.4649473684210532</v>
      </c>
      <c r="F9" s="298">
        <v>1</v>
      </c>
      <c r="G9" s="118">
        <f t="shared" si="0"/>
        <v>298.59789473684214</v>
      </c>
      <c r="H9" s="206">
        <f t="shared" si="1"/>
        <v>298.59789473684214</v>
      </c>
      <c r="I9" s="80">
        <f>VLOOKUP(B9,All_Ingredients!$A$1:$F$149,6,FALSE())</f>
        <v>1</v>
      </c>
      <c r="J9" s="118">
        <f>VLOOKUP(B9,All_Ingredients!$A$1:$J$149,10,FALSE())</f>
        <v>22.666666666666668</v>
      </c>
      <c r="K9" s="121">
        <f t="shared" si="8"/>
        <v>0.29859789473684212</v>
      </c>
      <c r="L9" s="121">
        <f t="shared" si="9"/>
        <v>6.768218947368422</v>
      </c>
      <c r="AI9" s="78" t="s">
        <v>206</v>
      </c>
      <c r="AJ9" s="530" t="s">
        <v>210</v>
      </c>
      <c r="AK9" s="123" t="s">
        <v>161</v>
      </c>
      <c r="AL9" s="124">
        <v>150</v>
      </c>
      <c r="AM9" s="196">
        <f t="shared" si="4"/>
        <v>2.8046271186440683</v>
      </c>
      <c r="AN9" s="298">
        <v>1</v>
      </c>
      <c r="AO9" s="118">
        <f t="shared" si="5"/>
        <v>420.69406779661023</v>
      </c>
      <c r="AP9" s="206">
        <f t="shared" si="6"/>
        <v>420.69406779661023</v>
      </c>
      <c r="AQ9" s="1153">
        <f>VLOOKUP(AJ9,Marination_Ordering!$A:$J,6,FALSE)</f>
        <v>1</v>
      </c>
      <c r="AR9" s="1153">
        <f>VLOOKUP(AJ9,Marination_Ordering!$A:$J,10,FALSE)</f>
        <v>2.1621621621621623</v>
      </c>
      <c r="AS9" s="174">
        <f t="shared" ref="AS9:AS13" si="12">AP9/AQ9</f>
        <v>420.69406779661023</v>
      </c>
      <c r="AT9" s="1153">
        <f t="shared" ref="AT9:AT13" si="13">AR9*(AS9/1000)</f>
        <v>0.90960879523591409</v>
      </c>
    </row>
    <row r="10" spans="1:46" ht="14.25" customHeight="1" x14ac:dyDescent="0.3">
      <c r="A10" s="127" t="s">
        <v>13</v>
      </c>
      <c r="B10" s="255" t="s">
        <v>762</v>
      </c>
      <c r="C10" s="114" t="s">
        <v>14</v>
      </c>
      <c r="D10" s="124">
        <v>40</v>
      </c>
      <c r="E10" s="196">
        <f t="shared" si="7"/>
        <v>7.4649473684210532</v>
      </c>
      <c r="F10" s="298">
        <v>1</v>
      </c>
      <c r="G10" s="118">
        <f t="shared" si="0"/>
        <v>298.59789473684214</v>
      </c>
      <c r="H10" s="206">
        <f t="shared" si="1"/>
        <v>298.59789473684214</v>
      </c>
      <c r="I10" s="80">
        <f>VLOOKUP(B10,All_Ingredients!$A$1:$F$149,6,FALSE())</f>
        <v>1</v>
      </c>
      <c r="J10" s="118">
        <f>VLOOKUP(B10,All_Ingredients!$A$1:$J$149,10,FALSE())</f>
        <v>10.5</v>
      </c>
      <c r="K10" s="121">
        <f t="shared" si="8"/>
        <v>0.29859789473684212</v>
      </c>
      <c r="L10" s="121">
        <f t="shared" si="9"/>
        <v>3.1352778947368423</v>
      </c>
      <c r="AI10" s="78" t="s">
        <v>95</v>
      </c>
      <c r="AJ10" s="530" t="s">
        <v>94</v>
      </c>
      <c r="AK10" s="114" t="s">
        <v>14</v>
      </c>
      <c r="AL10" s="124">
        <v>2</v>
      </c>
      <c r="AM10" s="196">
        <f t="shared" si="4"/>
        <v>2.8046271186440683</v>
      </c>
      <c r="AN10" s="298">
        <v>1</v>
      </c>
      <c r="AO10" s="118">
        <f t="shared" si="5"/>
        <v>5.6092542372881367</v>
      </c>
      <c r="AP10" s="206">
        <f t="shared" si="6"/>
        <v>5.6092542372881367</v>
      </c>
      <c r="AQ10" s="1153">
        <f>VLOOKUP(AJ10,Marination_Ordering!$A:$J,6,FALSE)</f>
        <v>1</v>
      </c>
      <c r="AR10" s="1153">
        <f>VLOOKUP(AJ10,Marination_Ordering!$A:$J,10,FALSE)</f>
        <v>0.74</v>
      </c>
      <c r="AS10" s="174">
        <f t="shared" si="12"/>
        <v>5.6092542372881367</v>
      </c>
      <c r="AT10" s="1153">
        <f t="shared" si="13"/>
        <v>4.1508481355932211E-3</v>
      </c>
    </row>
    <row r="11" spans="1:46" x14ac:dyDescent="0.3">
      <c r="A11" s="127" t="s">
        <v>188</v>
      </c>
      <c r="B11" s="531" t="s">
        <v>189</v>
      </c>
      <c r="C11" s="114" t="s">
        <v>14</v>
      </c>
      <c r="D11" s="124">
        <v>40</v>
      </c>
      <c r="E11" s="196">
        <f t="shared" si="7"/>
        <v>7.4649473684210532</v>
      </c>
      <c r="F11" s="298">
        <v>0.95</v>
      </c>
      <c r="G11" s="118">
        <f t="shared" si="0"/>
        <v>298.59789473684214</v>
      </c>
      <c r="H11" s="206">
        <f t="shared" si="1"/>
        <v>283.66800000000001</v>
      </c>
      <c r="I11" s="80">
        <f>VLOOKUP(B11,All_Ingredients!$A$1:$F$149,6,FALSE())</f>
        <v>0.9</v>
      </c>
      <c r="J11" s="118">
        <f>VLOOKUP(B11,All_Ingredients!$A$1:$J$149,10,FALSE())</f>
        <v>2.3199999999999998</v>
      </c>
      <c r="K11" s="121">
        <f t="shared" si="8"/>
        <v>0.31518666666666667</v>
      </c>
      <c r="L11" s="121">
        <f t="shared" si="9"/>
        <v>0.73123306666666665</v>
      </c>
      <c r="AI11" s="78" t="s">
        <v>95</v>
      </c>
      <c r="AJ11" s="530" t="s">
        <v>100</v>
      </c>
      <c r="AK11" s="114" t="s">
        <v>14</v>
      </c>
      <c r="AL11" s="124">
        <v>5</v>
      </c>
      <c r="AM11" s="196">
        <f t="shared" si="4"/>
        <v>2.8046271186440683</v>
      </c>
      <c r="AN11" s="298">
        <v>1</v>
      </c>
      <c r="AO11" s="118">
        <f t="shared" si="5"/>
        <v>14.023135593220342</v>
      </c>
      <c r="AP11" s="206">
        <f t="shared" si="6"/>
        <v>14.023135593220342</v>
      </c>
      <c r="AQ11" s="1153">
        <f>VLOOKUP(AJ11,Marination_Ordering!$A:$J,6,FALSE)</f>
        <v>1</v>
      </c>
      <c r="AR11" s="1153">
        <f>VLOOKUP(AJ11,Marination_Ordering!$A:$J,10,FALSE)</f>
        <v>31</v>
      </c>
      <c r="AS11" s="174">
        <f t="shared" si="12"/>
        <v>14.023135593220342</v>
      </c>
      <c r="AT11" s="1153">
        <f t="shared" si="13"/>
        <v>0.43471720338983061</v>
      </c>
    </row>
    <row r="12" spans="1:46" ht="15" customHeight="1" x14ac:dyDescent="0.3">
      <c r="A12" s="127" t="s">
        <v>95</v>
      </c>
      <c r="B12" s="255" t="s">
        <v>94</v>
      </c>
      <c r="C12" s="114" t="s">
        <v>14</v>
      </c>
      <c r="D12" s="124">
        <v>11</v>
      </c>
      <c r="E12" s="196">
        <f t="shared" si="7"/>
        <v>7.4649473684210532</v>
      </c>
      <c r="F12" s="298">
        <v>0.75</v>
      </c>
      <c r="G12" s="118">
        <f t="shared" si="0"/>
        <v>82.114421052631585</v>
      </c>
      <c r="H12" s="206">
        <f t="shared" si="1"/>
        <v>61.585815789473685</v>
      </c>
      <c r="I12" s="80">
        <f>VLOOKUP(B12,All_Ingredients!$A$1:$F$149,6,FALSE())</f>
        <v>1</v>
      </c>
      <c r="J12" s="118">
        <f>VLOOKUP(B12,All_Ingredients!$A$1:$J$149,10,FALSE())</f>
        <v>0.74</v>
      </c>
      <c r="K12" s="121">
        <f t="shared" si="8"/>
        <v>6.1585815789473683E-2</v>
      </c>
      <c r="L12" s="121">
        <f t="shared" si="9"/>
        <v>4.5573503684210523E-2</v>
      </c>
      <c r="AI12" s="78" t="s">
        <v>215</v>
      </c>
      <c r="AJ12" s="530" t="s">
        <v>216</v>
      </c>
      <c r="AK12" s="114" t="s">
        <v>14</v>
      </c>
      <c r="AL12" s="124">
        <v>25</v>
      </c>
      <c r="AM12" s="196">
        <f t="shared" si="4"/>
        <v>2.8046271186440683</v>
      </c>
      <c r="AN12" s="298">
        <v>1</v>
      </c>
      <c r="AO12" s="118">
        <f t="shared" si="5"/>
        <v>70.115677966101714</v>
      </c>
      <c r="AP12" s="206">
        <f t="shared" si="6"/>
        <v>70.115677966101714</v>
      </c>
      <c r="AQ12" s="1153">
        <f>VLOOKUP(AJ12,Marination_Ordering!$A:$J,6,FALSE)</f>
        <v>1</v>
      </c>
      <c r="AR12" s="1153">
        <f>VLOOKUP(AJ12,Marination_Ordering!$A:$J,10,FALSE)</f>
        <v>35</v>
      </c>
      <c r="AS12" s="174">
        <f t="shared" si="12"/>
        <v>70.115677966101714</v>
      </c>
      <c r="AT12" s="1153">
        <f t="shared" si="13"/>
        <v>2.45404872881356</v>
      </c>
    </row>
    <row r="13" spans="1:46" ht="17.75" customHeight="1" x14ac:dyDescent="0.3">
      <c r="A13" s="127" t="s">
        <v>56</v>
      </c>
      <c r="B13" s="255" t="s">
        <v>55</v>
      </c>
      <c r="C13" s="114" t="s">
        <v>14</v>
      </c>
      <c r="D13" s="124">
        <v>40</v>
      </c>
      <c r="E13" s="196">
        <f t="shared" si="7"/>
        <v>7.4649473684210532</v>
      </c>
      <c r="F13" s="298">
        <v>1</v>
      </c>
      <c r="G13" s="118">
        <f t="shared" si="0"/>
        <v>298.59789473684214</v>
      </c>
      <c r="H13" s="206">
        <f t="shared" si="1"/>
        <v>298.59789473684214</v>
      </c>
      <c r="I13" s="80">
        <f>VLOOKUP(B13,All_Ingredients!$A$1:$F$149,6,FALSE())</f>
        <v>0.87</v>
      </c>
      <c r="J13" s="118">
        <f>VLOOKUP(B13,All_Ingredients!$A$1:$J$149,10,FALSE())</f>
        <v>7</v>
      </c>
      <c r="K13" s="121">
        <f t="shared" si="8"/>
        <v>0.34321597096188755</v>
      </c>
      <c r="L13" s="121">
        <f t="shared" si="9"/>
        <v>2.4025117967332128</v>
      </c>
      <c r="AI13" s="78" t="s">
        <v>192</v>
      </c>
      <c r="AJ13" s="530" t="s">
        <v>194</v>
      </c>
      <c r="AK13" s="114" t="s">
        <v>14</v>
      </c>
      <c r="AL13" s="124">
        <v>20</v>
      </c>
      <c r="AM13" s="196">
        <f t="shared" si="4"/>
        <v>2.8046271186440683</v>
      </c>
      <c r="AN13" s="298">
        <v>1</v>
      </c>
      <c r="AO13" s="118">
        <f t="shared" si="5"/>
        <v>56.092542372881368</v>
      </c>
      <c r="AP13" s="206">
        <f t="shared" si="6"/>
        <v>56.092542372881368</v>
      </c>
      <c r="AQ13" s="1153">
        <f>VLOOKUP(AJ13,Marination_Ordering!$A:$J,6,FALSE)</f>
        <v>1</v>
      </c>
      <c r="AR13" s="1153">
        <f>VLOOKUP(AJ13,Marination_Ordering!$A:$J,10,FALSE)</f>
        <v>58.685446009389672</v>
      </c>
      <c r="AS13" s="174">
        <f t="shared" si="12"/>
        <v>56.092542372881368</v>
      </c>
      <c r="AT13" s="1153">
        <f t="shared" si="13"/>
        <v>3.2918158669531321</v>
      </c>
    </row>
    <row r="14" spans="1:46" ht="14.25" customHeight="1" x14ac:dyDescent="0.3">
      <c r="A14" s="127" t="s">
        <v>182</v>
      </c>
      <c r="B14" s="255" t="s">
        <v>185</v>
      </c>
      <c r="C14" s="114" t="s">
        <v>14</v>
      </c>
      <c r="D14" s="124">
        <v>40</v>
      </c>
      <c r="E14" s="196">
        <f t="shared" si="7"/>
        <v>7.4649473684210532</v>
      </c>
      <c r="F14" s="298">
        <v>1</v>
      </c>
      <c r="G14" s="118">
        <f t="shared" si="0"/>
        <v>298.59789473684214</v>
      </c>
      <c r="H14" s="206">
        <f t="shared" si="1"/>
        <v>298.59789473684214</v>
      </c>
      <c r="I14" s="80">
        <f>VLOOKUP(B14,All_Ingredients!$A$1:$F$149,6,FALSE())</f>
        <v>1</v>
      </c>
      <c r="J14" s="118">
        <f>VLOOKUP(B14,All_Ingredients!$A$1:$J$149,10,FALSE())</f>
        <v>17</v>
      </c>
      <c r="K14" s="121">
        <f t="shared" si="8"/>
        <v>0.29859789473684212</v>
      </c>
      <c r="L14" s="121">
        <f t="shared" si="9"/>
        <v>5.0761642105263158</v>
      </c>
    </row>
    <row r="15" spans="1:46" ht="14.25" customHeight="1" x14ac:dyDescent="0.3">
      <c r="A15" s="127" t="s">
        <v>192</v>
      </c>
      <c r="B15" s="22" t="s">
        <v>731</v>
      </c>
      <c r="C15" s="114" t="s">
        <v>14</v>
      </c>
      <c r="D15" s="124">
        <v>45</v>
      </c>
      <c r="E15" s="196">
        <f t="shared" si="7"/>
        <v>7.4649473684210532</v>
      </c>
      <c r="F15" s="298">
        <v>1</v>
      </c>
      <c r="G15" s="118">
        <f t="shared" si="0"/>
        <v>335.9226315789474</v>
      </c>
      <c r="H15" s="206">
        <f t="shared" si="1"/>
        <v>335.9226315789474</v>
      </c>
      <c r="I15" s="80">
        <f>VLOOKUP(B15,All_Ingredients!$A$1:$F$149,6,FALSE())</f>
        <v>1</v>
      </c>
      <c r="J15" s="118">
        <f>VLOOKUP(B15,All_Ingredients!$A$1:$J$149,10,FALSE())</f>
        <v>8.1520833333333336</v>
      </c>
      <c r="K15" s="121">
        <f t="shared" si="8"/>
        <v>0.33592263157894742</v>
      </c>
      <c r="L15" s="121">
        <f t="shared" si="9"/>
        <v>2.7384692861842108</v>
      </c>
    </row>
    <row r="16" spans="1:46" ht="14.25" customHeight="1" x14ac:dyDescent="0.3">
      <c r="A16" s="127" t="s">
        <v>154</v>
      </c>
      <c r="B16" s="221" t="s">
        <v>153</v>
      </c>
      <c r="C16" s="114" t="s">
        <v>14</v>
      </c>
      <c r="D16" s="124">
        <v>30</v>
      </c>
      <c r="E16" s="196">
        <f t="shared" si="7"/>
        <v>7.4649473684210532</v>
      </c>
      <c r="F16" s="298">
        <v>1</v>
      </c>
      <c r="G16" s="118">
        <f t="shared" si="0"/>
        <v>223.9484210526316</v>
      </c>
      <c r="H16" s="206">
        <f t="shared" si="1"/>
        <v>223.9484210526316</v>
      </c>
      <c r="I16" s="80">
        <f>VLOOKUP(B16,All_Ingredients!$A$1:$F$149,6,FALSE())</f>
        <v>1</v>
      </c>
      <c r="J16" s="118">
        <f>VLOOKUP(B16,All_Ingredients!$A$1:$J$149,10,FALSE())</f>
        <v>30</v>
      </c>
      <c r="K16" s="121">
        <f t="shared" si="8"/>
        <v>0.2239484210526316</v>
      </c>
      <c r="L16" s="121">
        <f t="shared" si="9"/>
        <v>6.7184526315789483</v>
      </c>
    </row>
    <row r="17" spans="2:31" ht="14.25" customHeight="1" x14ac:dyDescent="0.3">
      <c r="B17" s="221" t="s">
        <v>216</v>
      </c>
      <c r="C17" s="114" t="s">
        <v>14</v>
      </c>
      <c r="D17" s="124">
        <v>2</v>
      </c>
      <c r="E17" s="196">
        <f t="shared" si="7"/>
        <v>7.4649473684210532</v>
      </c>
      <c r="F17" s="298">
        <v>1</v>
      </c>
      <c r="G17" s="118">
        <f>D17*E17</f>
        <v>14.929894736842106</v>
      </c>
      <c r="H17" s="206">
        <f>G17*F17</f>
        <v>14.929894736842106</v>
      </c>
      <c r="I17" s="80">
        <f>VLOOKUP(B17,All_Ingredients!$A$1:$F$149,6,FALSE())</f>
        <v>1</v>
      </c>
      <c r="J17" s="118">
        <f>VLOOKUP(B17,All_Ingredients!$A$1:$J$149,10,FALSE())</f>
        <v>35</v>
      </c>
      <c r="K17" s="121">
        <f t="shared" si="8"/>
        <v>1.4929894736842107E-2</v>
      </c>
      <c r="L17" s="121">
        <f t="shared" si="9"/>
        <v>0.52254631578947375</v>
      </c>
      <c r="M17" s="130"/>
      <c r="N17" s="130"/>
    </row>
    <row r="18" spans="2:31" ht="14.25" customHeight="1" x14ac:dyDescent="0.3">
      <c r="B18"/>
      <c r="C18" s="249"/>
      <c r="D18" s="253" t="s">
        <v>574</v>
      </c>
      <c r="E18" s="295"/>
      <c r="F18" s="532"/>
      <c r="G18" s="136"/>
      <c r="H18" s="533"/>
      <c r="I18" s="91"/>
      <c r="J18" s="138"/>
      <c r="K18" s="91"/>
      <c r="L18" s="136"/>
      <c r="M18" s="130"/>
      <c r="N18" s="130"/>
    </row>
    <row r="19" spans="2:31" ht="14.25" customHeight="1" x14ac:dyDescent="0.3">
      <c r="I19" s="91"/>
      <c r="J19" s="138"/>
      <c r="K19" s="91"/>
      <c r="L19" s="136"/>
      <c r="M19" s="130"/>
      <c r="N19" s="130"/>
    </row>
    <row r="20" spans="2:31" ht="14.25" customHeight="1" x14ac:dyDescent="0.3">
      <c r="I20" s="91"/>
      <c r="J20" s="138"/>
      <c r="K20" s="91"/>
      <c r="L20" s="136"/>
      <c r="M20" s="130"/>
      <c r="N20" s="130"/>
      <c r="S20" s="128" t="s">
        <v>394</v>
      </c>
    </row>
    <row r="21" spans="2:31" ht="14.25" customHeight="1" x14ac:dyDescent="0.3">
      <c r="I21" s="91"/>
      <c r="J21" s="138"/>
      <c r="K21" s="91"/>
      <c r="L21" s="136"/>
      <c r="M21" s="130"/>
      <c r="N21" s="130"/>
    </row>
    <row r="22" spans="2:31" ht="14.25" customHeight="1" x14ac:dyDescent="0.3">
      <c r="I22" s="91"/>
      <c r="J22" s="138"/>
      <c r="K22" s="91"/>
      <c r="L22" s="136"/>
      <c r="M22" s="130"/>
      <c r="N22" s="130"/>
    </row>
    <row r="23" spans="2:31" ht="14.25" customHeight="1" x14ac:dyDescent="0.3">
      <c r="I23" s="91"/>
      <c r="J23" s="138"/>
      <c r="K23" s="91"/>
      <c r="L23" s="136"/>
      <c r="M23" s="130"/>
      <c r="N23" s="130"/>
    </row>
    <row r="24" spans="2:31" ht="14.25" customHeight="1" x14ac:dyDescent="0.3">
      <c r="I24" s="91"/>
      <c r="J24" s="138"/>
      <c r="K24" s="91"/>
      <c r="L24" s="136"/>
      <c r="M24" s="130"/>
      <c r="N24" s="130"/>
      <c r="Z24" s="1208"/>
    </row>
    <row r="25" spans="2:31" ht="14.25" customHeight="1" x14ac:dyDescent="0.35">
      <c r="B25" s="869"/>
      <c r="C25" s="869"/>
      <c r="D25" s="869"/>
      <c r="E25" s="869"/>
      <c r="F25" s="869"/>
      <c r="G25" s="869"/>
      <c r="H25" s="869"/>
      <c r="I25" s="91"/>
      <c r="J25" s="138"/>
      <c r="K25" s="91"/>
      <c r="L25" s="136"/>
      <c r="M25" s="130"/>
      <c r="N25" s="130"/>
      <c r="R25" s="1528" t="s">
        <v>443</v>
      </c>
      <c r="S25" s="1516"/>
      <c r="T25" s="1516"/>
      <c r="U25" s="1516"/>
      <c r="V25" s="1187"/>
      <c r="W25" s="1187"/>
      <c r="Z25" s="140" t="s">
        <v>256</v>
      </c>
      <c r="AA25" s="141">
        <v>1</v>
      </c>
      <c r="AB25" s="140" t="s">
        <v>253</v>
      </c>
      <c r="AC25" s="142">
        <f>(AA25*1.1)*(AE30)+(AA30*(AB28/R1))</f>
        <v>2.9806432878194584E-2</v>
      </c>
    </row>
    <row r="26" spans="2:31" ht="14.25" customHeight="1" x14ac:dyDescent="0.3">
      <c r="B26" s="869"/>
      <c r="C26" s="869"/>
      <c r="D26" s="869"/>
      <c r="E26" s="869"/>
      <c r="F26" s="869"/>
      <c r="G26" s="869"/>
      <c r="H26" s="869"/>
      <c r="I26" s="91"/>
      <c r="J26" s="138"/>
      <c r="K26" s="91"/>
      <c r="L26" s="136"/>
      <c r="M26" s="130"/>
      <c r="N26" s="130"/>
      <c r="R26" s="1459" t="s">
        <v>444</v>
      </c>
      <c r="S26" s="1516"/>
      <c r="T26" s="1516"/>
      <c r="U26" s="1516"/>
      <c r="V26" s="1187"/>
      <c r="W26" s="1187"/>
    </row>
    <row r="27" spans="2:31" ht="14.25" customHeight="1" thickBot="1" x14ac:dyDescent="0.35">
      <c r="I27" s="91"/>
      <c r="J27" s="138"/>
      <c r="K27" s="91"/>
      <c r="L27" s="136"/>
      <c r="M27" s="130"/>
      <c r="N27" s="130"/>
      <c r="R27" s="144" t="s">
        <v>258</v>
      </c>
      <c r="S27" s="145" t="s">
        <v>259</v>
      </c>
      <c r="T27" s="145" t="s">
        <v>260</v>
      </c>
      <c r="U27" s="145" t="s">
        <v>261</v>
      </c>
      <c r="V27" s="145" t="s">
        <v>808</v>
      </c>
      <c r="W27" s="145" t="s">
        <v>817</v>
      </c>
      <c r="Z27" s="140" t="s">
        <v>262</v>
      </c>
      <c r="AA27" s="1166" t="s">
        <v>316</v>
      </c>
      <c r="AB27" s="146" t="s">
        <v>263</v>
      </c>
      <c r="AC27" s="146" t="s">
        <v>264</v>
      </c>
      <c r="AD27" s="1167" t="s">
        <v>817</v>
      </c>
      <c r="AE27" s="146" t="s">
        <v>266</v>
      </c>
    </row>
    <row r="28" spans="2:31" ht="15" customHeight="1" thickBot="1" x14ac:dyDescent="0.35">
      <c r="I28" s="91"/>
      <c r="J28" s="138"/>
      <c r="K28" s="91"/>
      <c r="L28" s="136"/>
      <c r="M28" s="130"/>
      <c r="N28" s="130"/>
      <c r="R28" s="147" t="s">
        <v>267</v>
      </c>
      <c r="S28" s="754">
        <f>U28*S40</f>
        <v>15777.300000000001</v>
      </c>
      <c r="T28" s="1352">
        <f>U28*U40</f>
        <v>6761.7000000000007</v>
      </c>
      <c r="U28" s="760">
        <f>$Z$1</f>
        <v>20490</v>
      </c>
      <c r="V28" s="148">
        <f>SUM(AP5:AP13)</f>
        <v>1716.4317966101696</v>
      </c>
      <c r="W28" s="148">
        <f>H37</f>
        <v>9.73</v>
      </c>
      <c r="Z28" s="150"/>
      <c r="AA28" s="1169"/>
      <c r="AB28" s="151">
        <f>AA25*$S$40</f>
        <v>0.77</v>
      </c>
      <c r="AC28" s="151">
        <f>AA25*$U$40</f>
        <v>0.33</v>
      </c>
      <c r="AD28" s="1169"/>
      <c r="AE28" s="153">
        <f>SUM(AB28:AC28)</f>
        <v>1.1000000000000001</v>
      </c>
    </row>
    <row r="29" spans="2:31" ht="14.25" customHeight="1" thickBot="1" x14ac:dyDescent="0.35">
      <c r="I29" s="91"/>
      <c r="J29" s="138"/>
      <c r="K29" s="91"/>
      <c r="L29" s="136"/>
      <c r="M29" s="130"/>
      <c r="N29" s="130"/>
      <c r="R29" s="147" t="s">
        <v>268</v>
      </c>
      <c r="S29" s="756"/>
      <c r="T29" s="754"/>
      <c r="U29" s="1319">
        <f>T29</f>
        <v>0</v>
      </c>
      <c r="V29" s="148"/>
      <c r="W29" s="148"/>
      <c r="Z29" s="150"/>
      <c r="AA29" s="1173"/>
      <c r="AB29" s="155">
        <f>AB28/$AE$28</f>
        <v>0.7</v>
      </c>
      <c r="AC29" s="155">
        <f>AC28/$AE$28</f>
        <v>0.3</v>
      </c>
      <c r="AD29" s="1173"/>
      <c r="AE29" s="155">
        <f>AE28/$AE$28</f>
        <v>1</v>
      </c>
    </row>
    <row r="30" spans="2:31" ht="14.25" customHeight="1" thickBot="1" x14ac:dyDescent="0.35">
      <c r="B30"/>
      <c r="C30" s="249"/>
      <c r="D30" s="253"/>
      <c r="E30" s="295"/>
      <c r="F30" s="532"/>
      <c r="G30" s="869"/>
      <c r="H30" s="869"/>
      <c r="I30" s="91"/>
      <c r="J30" s="138"/>
      <c r="K30" s="91"/>
      <c r="L30" s="136"/>
      <c r="M30" s="130"/>
      <c r="N30" s="130"/>
      <c r="R30" s="147" t="s">
        <v>269</v>
      </c>
      <c r="S30" s="1318">
        <f>U30*S40</f>
        <v>770</v>
      </c>
      <c r="T30" s="1318">
        <f>U30*U40</f>
        <v>330</v>
      </c>
      <c r="U30" s="760">
        <f>$AB$1</f>
        <v>1000</v>
      </c>
      <c r="V30" s="1124"/>
      <c r="W30" s="1124"/>
      <c r="Z30" s="140" t="s">
        <v>270</v>
      </c>
      <c r="AA30" s="1177">
        <f>V35/(S32/R1)</f>
        <v>4.9473293364661413E-4</v>
      </c>
      <c r="AB30" s="156">
        <f>S35/(S32)</f>
        <v>3.3701221915648408E-2</v>
      </c>
      <c r="AC30" s="157">
        <f>T35/T32</f>
        <v>9.6347820326665064E-3</v>
      </c>
      <c r="AD30" s="1180">
        <f>W35/U32</f>
        <v>2.8495934033393311E-5</v>
      </c>
      <c r="AE30" s="1182">
        <f>SUMPRODUCT(AB30:AC30,AB29:AC29)+AD30</f>
        <v>2.6509785884787227E-2</v>
      </c>
    </row>
    <row r="31" spans="2:31" ht="14.25" customHeight="1" thickBot="1" x14ac:dyDescent="0.35">
      <c r="B31" s="869"/>
      <c r="C31" s="869"/>
      <c r="D31" s="869"/>
      <c r="E31" s="869"/>
      <c r="F31" s="869"/>
      <c r="G31" s="869"/>
      <c r="H31" s="869"/>
      <c r="I31" s="91"/>
      <c r="J31" s="138"/>
      <c r="K31" s="91"/>
      <c r="L31" s="136"/>
      <c r="M31" s="130"/>
      <c r="N31" s="130"/>
      <c r="R31" s="757" t="s">
        <v>271</v>
      </c>
      <c r="S31" s="154"/>
      <c r="T31" s="148"/>
      <c r="U31" s="148"/>
      <c r="V31" s="148"/>
      <c r="W31" s="148"/>
    </row>
    <row r="32" spans="2:31" ht="14.25" customHeight="1" thickBot="1" x14ac:dyDescent="0.35">
      <c r="B32"/>
      <c r="C32" s="249"/>
      <c r="D32" s="253"/>
      <c r="E32" s="295"/>
      <c r="F32" s="532"/>
      <c r="G32" s="136"/>
      <c r="H32" s="533"/>
      <c r="I32" s="91"/>
      <c r="J32" s="138"/>
      <c r="K32" s="91"/>
      <c r="L32" s="136"/>
      <c r="M32" s="130"/>
      <c r="N32" s="130"/>
      <c r="R32" s="159" t="s">
        <v>261</v>
      </c>
      <c r="S32" s="1198">
        <f>SUM(S28:S30)</f>
        <v>16547.300000000003</v>
      </c>
      <c r="T32" s="1198">
        <f>SUM(T28:T30)</f>
        <v>7091.7000000000007</v>
      </c>
      <c r="U32" s="148">
        <f>SUM(S32:T32)</f>
        <v>23639.000000000004</v>
      </c>
      <c r="V32" s="148"/>
      <c r="W32" s="148">
        <f>SUM(W28:W30)</f>
        <v>9.73</v>
      </c>
    </row>
    <row r="33" spans="2:24" ht="14.25" customHeight="1" thickBot="1" x14ac:dyDescent="0.35">
      <c r="B33"/>
      <c r="C33" s="249"/>
      <c r="D33" s="253"/>
      <c r="E33" s="295"/>
      <c r="F33" s="532"/>
      <c r="G33" s="136"/>
      <c r="H33" s="533"/>
      <c r="I33" s="91"/>
      <c r="J33" s="138"/>
      <c r="K33" s="91"/>
      <c r="L33" s="136"/>
      <c r="M33" s="130"/>
      <c r="N33" s="130"/>
      <c r="R33" s="160" t="s">
        <v>272</v>
      </c>
      <c r="S33" s="154"/>
      <c r="T33" s="154">
        <f>F79+F99</f>
        <v>0</v>
      </c>
      <c r="U33" s="154"/>
      <c r="V33" s="154"/>
      <c r="W33" s="154"/>
    </row>
    <row r="34" spans="2:24" ht="14.25" customHeight="1" thickBot="1" x14ac:dyDescent="0.35">
      <c r="B34"/>
      <c r="C34" s="249"/>
      <c r="D34" s="253"/>
      <c r="E34" s="295"/>
      <c r="F34" s="532"/>
      <c r="G34" s="136"/>
      <c r="H34" s="533"/>
      <c r="I34" s="91"/>
      <c r="J34" s="138"/>
      <c r="K34" s="91"/>
      <c r="L34" s="136"/>
      <c r="M34" s="130"/>
      <c r="N34" s="130"/>
      <c r="R34" s="161" t="s">
        <v>273</v>
      </c>
      <c r="S34" s="154"/>
      <c r="T34" s="148">
        <f>T33-(T28+T29)</f>
        <v>-6761.7000000000007</v>
      </c>
      <c r="U34" s="154"/>
      <c r="V34" s="154"/>
      <c r="W34" s="154"/>
    </row>
    <row r="35" spans="2:24" ht="14.25" customHeight="1" thickBot="1" x14ac:dyDescent="0.35">
      <c r="B35" s="1484" t="s">
        <v>691</v>
      </c>
      <c r="C35" s="1484"/>
      <c r="D35" s="1484"/>
      <c r="E35" s="1484"/>
      <c r="F35" s="1484"/>
      <c r="G35" s="870"/>
      <c r="H35" s="870"/>
      <c r="I35" s="877"/>
      <c r="J35" s="877"/>
      <c r="K35" s="877"/>
      <c r="L35" s="877"/>
      <c r="M35" s="130"/>
      <c r="N35" s="130"/>
      <c r="R35" s="162" t="s">
        <v>253</v>
      </c>
      <c r="S35" s="1184">
        <f>$L$5</f>
        <v>557.66422940480902</v>
      </c>
      <c r="T35" s="1184">
        <f>SUM(L6:L17)</f>
        <v>68.326983741061071</v>
      </c>
      <c r="U35" s="1125">
        <f>S35+T35+V35+W35</f>
        <v>640.54024255240176</v>
      </c>
      <c r="V35" s="1125">
        <f>SUM(AT6:AT13)</f>
        <v>13.875414021916306</v>
      </c>
      <c r="W35" s="1184">
        <f>L37</f>
        <v>0.67361538461538462</v>
      </c>
    </row>
    <row r="36" spans="2:24" ht="14.25" customHeight="1" x14ac:dyDescent="0.3">
      <c r="B36" s="848" t="s">
        <v>245</v>
      </c>
      <c r="C36" s="848" t="s">
        <v>321</v>
      </c>
      <c r="D36" s="850" t="s">
        <v>645</v>
      </c>
      <c r="E36" s="847" t="s">
        <v>646</v>
      </c>
      <c r="F36" s="850" t="s">
        <v>647</v>
      </c>
      <c r="G36" s="870"/>
      <c r="H36" s="850" t="s">
        <v>647</v>
      </c>
      <c r="I36" s="850" t="s">
        <v>250</v>
      </c>
      <c r="J36" s="850" t="s">
        <v>251</v>
      </c>
      <c r="K36" s="850" t="s">
        <v>252</v>
      </c>
      <c r="L36" s="850" t="s">
        <v>253</v>
      </c>
      <c r="M36" s="130"/>
      <c r="N36" s="130"/>
    </row>
    <row r="37" spans="2:24" ht="14.25" customHeight="1" x14ac:dyDescent="0.3">
      <c r="B37" s="843" t="s">
        <v>716</v>
      </c>
      <c r="C37" s="844" t="s">
        <v>14</v>
      </c>
      <c r="D37" s="845">
        <v>7.0000000000000007E-2</v>
      </c>
      <c r="E37" s="843">
        <f>$AD$1</f>
        <v>139</v>
      </c>
      <c r="F37" s="843">
        <f>D37*E37</f>
        <v>9.73</v>
      </c>
      <c r="G37" s="869"/>
      <c r="H37" s="843">
        <f>F37</f>
        <v>9.73</v>
      </c>
      <c r="I37" s="843">
        <f>VLOOKUP(B37,All_Ingredients!$A$1:$F$149,6,FALSE())</f>
        <v>0.65</v>
      </c>
      <c r="J37" s="843">
        <f>VLOOKUP(B37,All_Ingredients!$A$1:$J$149,10,FALSE())</f>
        <v>45</v>
      </c>
      <c r="K37" s="843">
        <f>(H37/I37)/1000</f>
        <v>1.4969230769230769E-2</v>
      </c>
      <c r="L37" s="843">
        <f>K37*J37</f>
        <v>0.67361538461538462</v>
      </c>
      <c r="M37" s="130"/>
      <c r="N37" s="130"/>
    </row>
    <row r="38" spans="2:24" ht="14.25" customHeight="1" x14ac:dyDescent="0.3">
      <c r="B38"/>
      <c r="C38" s="249"/>
      <c r="D38" s="253"/>
      <c r="E38" s="295"/>
      <c r="F38" s="532"/>
      <c r="G38" s="136"/>
      <c r="H38" s="533"/>
      <c r="I38" s="91"/>
      <c r="J38" s="138"/>
      <c r="K38" s="91"/>
      <c r="L38" s="136"/>
      <c r="M38" s="130"/>
      <c r="N38" s="130"/>
    </row>
    <row r="39" spans="2:24" ht="14.25" customHeight="1" x14ac:dyDescent="0.3">
      <c r="B39"/>
      <c r="C39" s="249"/>
      <c r="D39" s="253"/>
      <c r="E39" s="295"/>
      <c r="F39" s="532"/>
      <c r="G39" s="136"/>
      <c r="H39" s="533"/>
      <c r="I39" s="91"/>
      <c r="J39" s="138"/>
      <c r="K39" s="91"/>
      <c r="L39" s="136"/>
      <c r="M39" s="130"/>
      <c r="N39" s="130"/>
    </row>
    <row r="40" spans="2:24" ht="18.75" customHeight="1" x14ac:dyDescent="0.3">
      <c r="B40"/>
      <c r="C40" s="249"/>
      <c r="D40" s="253"/>
      <c r="E40" s="295"/>
      <c r="F40" s="532"/>
      <c r="G40" s="136"/>
      <c r="H40" s="533"/>
      <c r="I40" s="91"/>
      <c r="J40" s="138"/>
      <c r="K40" s="91"/>
      <c r="L40" s="136"/>
      <c r="M40" s="130"/>
      <c r="N40" s="130"/>
      <c r="R40" s="164" t="s">
        <v>274</v>
      </c>
      <c r="S40" s="238">
        <v>0.77</v>
      </c>
      <c r="T40" s="164" t="s">
        <v>275</v>
      </c>
      <c r="U40" s="238">
        <v>0.33</v>
      </c>
      <c r="V40" s="167">
        <f>U40+S40</f>
        <v>1.1000000000000001</v>
      </c>
      <c r="W40" s="413">
        <v>1.1000000000000001</v>
      </c>
      <c r="X40" s="1283"/>
    </row>
    <row r="41" spans="2:24" ht="14.25" customHeight="1" x14ac:dyDescent="0.3">
      <c r="B41"/>
      <c r="C41" s="249"/>
      <c r="D41" s="253"/>
      <c r="E41" s="295"/>
      <c r="F41" s="532"/>
      <c r="G41" s="136"/>
      <c r="H41" s="533"/>
      <c r="I41" s="91"/>
      <c r="J41" s="138"/>
      <c r="K41" s="91"/>
      <c r="L41" s="136"/>
      <c r="M41" s="130"/>
      <c r="N41" s="130"/>
      <c r="U41" s="168"/>
    </row>
    <row r="43" spans="2:24" ht="14.25" customHeight="1" x14ac:dyDescent="0.3">
      <c r="L43" s="296"/>
      <c r="Q43" s="169" t="s">
        <v>276</v>
      </c>
      <c r="R43" s="169" t="s">
        <v>277</v>
      </c>
      <c r="S43" s="169" t="s">
        <v>278</v>
      </c>
      <c r="T43" s="169" t="s">
        <v>279</v>
      </c>
      <c r="U43" s="169" t="s">
        <v>280</v>
      </c>
      <c r="V43" s="169" t="s">
        <v>281</v>
      </c>
      <c r="W43" s="257" t="s">
        <v>282</v>
      </c>
    </row>
    <row r="44" spans="2:24" ht="14.25" customHeight="1" x14ac:dyDescent="0.3">
      <c r="L44" s="296"/>
      <c r="Q44" s="171">
        <v>43334</v>
      </c>
      <c r="R44" s="172">
        <f>D51</f>
        <v>10000</v>
      </c>
      <c r="S44" s="173">
        <v>1</v>
      </c>
      <c r="T44" s="173">
        <v>0</v>
      </c>
      <c r="U44" s="241">
        <f>R44*S44</f>
        <v>10000</v>
      </c>
      <c r="V44" s="175">
        <f>R44*T44</f>
        <v>0</v>
      </c>
      <c r="W44" s="259">
        <f>Q44-U44</f>
        <v>33334</v>
      </c>
    </row>
    <row r="45" spans="2:24" ht="14.25" customHeight="1" x14ac:dyDescent="0.3">
      <c r="L45" s="296"/>
    </row>
    <row r="46" spans="2:24" ht="14.25" customHeight="1" x14ac:dyDescent="0.3">
      <c r="L46" s="296"/>
    </row>
    <row r="47" spans="2:24" ht="14.25" customHeight="1" x14ac:dyDescent="0.3">
      <c r="L47" s="296"/>
      <c r="S47" s="498"/>
      <c r="U47" s="498"/>
    </row>
    <row r="48" spans="2:24" ht="14.25" customHeight="1" x14ac:dyDescent="0.3">
      <c r="L48" s="296"/>
    </row>
    <row r="49" spans="1:17" ht="14.25" customHeight="1" x14ac:dyDescent="0.3">
      <c r="B49" s="99"/>
      <c r="E49" s="99"/>
      <c r="F49" s="99"/>
      <c r="L49" s="296"/>
      <c r="Q49" s="529"/>
    </row>
    <row r="50" spans="1:17" ht="14.25" customHeight="1" x14ac:dyDescent="0.3">
      <c r="B50" s="275"/>
      <c r="C50" s="144" t="s">
        <v>237</v>
      </c>
      <c r="D50" s="144" t="s">
        <v>283</v>
      </c>
      <c r="E50" s="99"/>
      <c r="F50" s="99"/>
      <c r="G50" s="144" t="s">
        <v>284</v>
      </c>
      <c r="H50" s="144" t="s">
        <v>237</v>
      </c>
      <c r="I50" s="144" t="s">
        <v>285</v>
      </c>
      <c r="J50" s="144" t="s">
        <v>286</v>
      </c>
      <c r="L50" s="296"/>
    </row>
    <row r="51" spans="1:17" x14ac:dyDescent="0.3">
      <c r="B51" s="179" t="s">
        <v>287</v>
      </c>
      <c r="C51" s="180">
        <f>10/$K$1</f>
        <v>10.526315789473685</v>
      </c>
      <c r="D51" s="181">
        <f>$C$1*10</f>
        <v>10000</v>
      </c>
      <c r="E51" s="182"/>
      <c r="F51" s="99"/>
      <c r="G51" s="179" t="s">
        <v>287</v>
      </c>
      <c r="H51" s="276">
        <f>I51/$D$5</f>
        <v>10</v>
      </c>
      <c r="I51" s="180">
        <f>J51/$R$1</f>
        <v>56498.305084745763</v>
      </c>
      <c r="J51" s="180">
        <f>$W$44</f>
        <v>33334</v>
      </c>
    </row>
    <row r="52" spans="1:17" x14ac:dyDescent="0.3">
      <c r="B52" s="230" t="s">
        <v>266</v>
      </c>
      <c r="C52" s="231">
        <f>$I$1</f>
        <v>7.4649473684210532</v>
      </c>
      <c r="D52" s="232">
        <f>$E$1</f>
        <v>7091.7000000000007</v>
      </c>
      <c r="E52" s="99"/>
      <c r="F52" s="99"/>
      <c r="G52" s="147" t="s">
        <v>266</v>
      </c>
      <c r="H52" s="209">
        <f>I52/$D$5</f>
        <v>4.9640907181856377</v>
      </c>
      <c r="I52" s="175">
        <f>J52/$R$1</f>
        <v>28046.271186440685</v>
      </c>
      <c r="J52" s="183">
        <f>$S$32</f>
        <v>16547.300000000003</v>
      </c>
    </row>
    <row r="53" spans="1:17" x14ac:dyDescent="0.3">
      <c r="B53" s="230" t="s">
        <v>288</v>
      </c>
      <c r="C53" s="233">
        <f>MIN(C52, C51)</f>
        <v>7.4649473684210532</v>
      </c>
      <c r="D53" s="232">
        <f>(C53*$K$1)*$C$1</f>
        <v>7091.7000000000007</v>
      </c>
      <c r="E53" s="99"/>
      <c r="F53" s="99"/>
      <c r="G53" s="147" t="s">
        <v>288</v>
      </c>
      <c r="H53" s="186">
        <f>MIN(H52,H51)</f>
        <v>4.9640907181856377</v>
      </c>
      <c r="I53" s="175">
        <f>J53/$R$1</f>
        <v>28046.271186440685</v>
      </c>
      <c r="J53" s="175">
        <f>MIN(J52,J51)</f>
        <v>16547.300000000003</v>
      </c>
    </row>
    <row r="54" spans="1:17" x14ac:dyDescent="0.3">
      <c r="B54" s="230" t="s">
        <v>289</v>
      </c>
      <c r="C54" s="233">
        <f>MIN(MAX(C52-C53,0),C51)</f>
        <v>0</v>
      </c>
      <c r="D54" s="232">
        <f>(C54*$K$1)*$C$1</f>
        <v>0</v>
      </c>
      <c r="E54" s="99"/>
      <c r="F54" s="99"/>
      <c r="G54" s="147" t="s">
        <v>289</v>
      </c>
      <c r="H54" s="186">
        <f>MIN(MAX(H52-H53),H51)</f>
        <v>0</v>
      </c>
      <c r="I54" s="175">
        <f>J54/$R$1</f>
        <v>0</v>
      </c>
      <c r="J54" s="175">
        <f>MIN(MAX(J52-J53),J51)</f>
        <v>0</v>
      </c>
    </row>
    <row r="55" spans="1:17" x14ac:dyDescent="0.3">
      <c r="B55" s="230" t="s">
        <v>290</v>
      </c>
      <c r="C55" s="233">
        <f>MIN(MAX(C52-C53-C54,0),C51)</f>
        <v>0</v>
      </c>
      <c r="D55" s="232">
        <f>(C55*$K$1)*$C$1</f>
        <v>0</v>
      </c>
      <c r="E55" s="99"/>
      <c r="F55" s="99"/>
      <c r="G55" s="144" t="s">
        <v>290</v>
      </c>
      <c r="H55" s="186">
        <f>MIN(MAX(H52-H53-H54),H51)</f>
        <v>0</v>
      </c>
      <c r="I55" s="175">
        <f>J55/$R$1</f>
        <v>0</v>
      </c>
      <c r="J55" s="175">
        <f>MIN(MAX(J52-J53-J54),J51)</f>
        <v>0</v>
      </c>
    </row>
    <row r="62" spans="1:17" ht="17.75" customHeight="1" x14ac:dyDescent="0.3">
      <c r="A62" s="922"/>
      <c r="B62" s="1438" t="str">
        <f>"دجاج سيراتشا 1 / " &amp; COUNTIF($C$53:$C$55, "&gt;0")</f>
        <v>دجاج سيراتشا 1 / 1</v>
      </c>
      <c r="C62" s="1439"/>
      <c r="D62" s="1439"/>
      <c r="E62" s="1439"/>
      <c r="F62" s="1439"/>
      <c r="G62" s="1439"/>
      <c r="H62" s="1439"/>
    </row>
    <row r="63" spans="1:17" ht="17.75" customHeight="1" x14ac:dyDescent="0.3">
      <c r="A63" s="922"/>
      <c r="B63" s="1436" t="str">
        <f>"Sriracha Chicken 1 / " &amp; COUNTIF($C$53:$C$55, "&gt;0")</f>
        <v>Sriracha Chicken 1 / 1</v>
      </c>
      <c r="C63" s="1437"/>
      <c r="D63" s="1437"/>
      <c r="E63" s="1437"/>
      <c r="F63" s="1437"/>
      <c r="G63" s="1437"/>
      <c r="H63" s="1437"/>
    </row>
    <row r="64" spans="1:17" ht="48.5" customHeight="1" x14ac:dyDescent="0.25">
      <c r="A64" s="90"/>
      <c r="B64" s="242" t="s">
        <v>245</v>
      </c>
      <c r="C64" s="243" t="s">
        <v>246</v>
      </c>
      <c r="D64" s="244" t="s">
        <v>235</v>
      </c>
      <c r="E64" s="217" t="s">
        <v>238</v>
      </c>
      <c r="F64" s="217" t="s">
        <v>247</v>
      </c>
      <c r="G64" s="244" t="s">
        <v>248</v>
      </c>
      <c r="H64" s="217" t="s">
        <v>249</v>
      </c>
    </row>
    <row r="65" spans="1:8" ht="14.25" customHeight="1" x14ac:dyDescent="0.25">
      <c r="A65" s="218" t="s">
        <v>225</v>
      </c>
      <c r="B65" s="122" t="str">
        <f t="shared" ref="B65:D75" si="14">B5</f>
        <v>Chicken - دجاج</v>
      </c>
      <c r="C65" s="122" t="str">
        <f t="shared" si="14"/>
        <v>gm</v>
      </c>
      <c r="D65" s="262">
        <f t="shared" si="14"/>
        <v>5649.8305084745762</v>
      </c>
      <c r="E65" s="432">
        <f>H53</f>
        <v>4.9640907181856377</v>
      </c>
      <c r="F65" s="126">
        <f t="shared" ref="F65:F77" si="15">F5</f>
        <v>1</v>
      </c>
      <c r="G65" s="116">
        <f t="shared" ref="G65:G75" si="16">D65*E65</f>
        <v>28046.271186440685</v>
      </c>
      <c r="H65" s="119">
        <f t="shared" ref="H65:H75" si="17">G65*F65</f>
        <v>28046.271186440685</v>
      </c>
    </row>
    <row r="66" spans="1:8" ht="14.25" customHeight="1" x14ac:dyDescent="0.3">
      <c r="A66" s="127" t="s">
        <v>192</v>
      </c>
      <c r="B66" s="122" t="str">
        <f t="shared" si="14"/>
        <v>Tomato Ketchup - كاتشب طماطم</v>
      </c>
      <c r="C66" s="122" t="str">
        <f t="shared" si="14"/>
        <v>ml</v>
      </c>
      <c r="D66" s="122">
        <f t="shared" si="14"/>
        <v>500</v>
      </c>
      <c r="E66" s="432">
        <f>$C$53</f>
        <v>7.4649473684210532</v>
      </c>
      <c r="F66" s="126">
        <f t="shared" si="15"/>
        <v>1</v>
      </c>
      <c r="G66" s="116">
        <f t="shared" si="16"/>
        <v>3732.4736842105267</v>
      </c>
      <c r="H66" s="119">
        <f t="shared" si="17"/>
        <v>3732.4736842105267</v>
      </c>
    </row>
    <row r="67" spans="1:8" ht="14.25" customHeight="1" x14ac:dyDescent="0.3">
      <c r="A67" s="127" t="s">
        <v>192</v>
      </c>
      <c r="B67" s="122" t="str">
        <f t="shared" si="14"/>
        <v>Sriracha Sauce - صوص سريراتشا</v>
      </c>
      <c r="C67" s="122" t="str">
        <f t="shared" si="14"/>
        <v>ml</v>
      </c>
      <c r="D67" s="122">
        <f t="shared" si="14"/>
        <v>40</v>
      </c>
      <c r="E67" s="432">
        <f t="shared" ref="E67:E77" si="18">$C$53</f>
        <v>7.4649473684210532</v>
      </c>
      <c r="F67" s="126">
        <f t="shared" si="15"/>
        <v>0.75</v>
      </c>
      <c r="G67" s="116">
        <f t="shared" si="16"/>
        <v>298.59789473684214</v>
      </c>
      <c r="H67" s="119">
        <f t="shared" si="17"/>
        <v>223.9484210526316</v>
      </c>
    </row>
    <row r="68" spans="1:8" ht="14.25" customHeight="1" x14ac:dyDescent="0.3">
      <c r="A68" s="127" t="s">
        <v>192</v>
      </c>
      <c r="B68" s="122" t="str">
        <f t="shared" si="14"/>
        <v>Light Soy Sauce - صويا صوص خفيف</v>
      </c>
      <c r="C68" s="122" t="str">
        <f t="shared" si="14"/>
        <v>ml</v>
      </c>
      <c r="D68" s="122">
        <f t="shared" si="14"/>
        <v>60</v>
      </c>
      <c r="E68" s="432">
        <f t="shared" si="18"/>
        <v>7.4649473684210532</v>
      </c>
      <c r="F68" s="126">
        <f t="shared" si="15"/>
        <v>0.9</v>
      </c>
      <c r="G68" s="116">
        <f t="shared" si="16"/>
        <v>447.8968421052632</v>
      </c>
      <c r="H68" s="119">
        <f t="shared" si="17"/>
        <v>403.10715789473687</v>
      </c>
    </row>
    <row r="69" spans="1:8" ht="14.25" customHeight="1" x14ac:dyDescent="0.3">
      <c r="A69" s="127" t="s">
        <v>192</v>
      </c>
      <c r="B69" s="122" t="str">
        <f t="shared" si="14"/>
        <v>Sweet Soy Sauce - صويا صوص حلو</v>
      </c>
      <c r="C69" s="122" t="str">
        <f t="shared" si="14"/>
        <v>ml</v>
      </c>
      <c r="D69" s="122">
        <f t="shared" si="14"/>
        <v>40</v>
      </c>
      <c r="E69" s="432">
        <f t="shared" si="18"/>
        <v>7.4649473684210532</v>
      </c>
      <c r="F69" s="126">
        <f t="shared" si="15"/>
        <v>1</v>
      </c>
      <c r="G69" s="116">
        <f t="shared" si="16"/>
        <v>298.59789473684214</v>
      </c>
      <c r="H69" s="119">
        <f t="shared" si="17"/>
        <v>298.59789473684214</v>
      </c>
    </row>
    <row r="70" spans="1:8" ht="14.25" customHeight="1" x14ac:dyDescent="0.3">
      <c r="A70" s="127" t="s">
        <v>13</v>
      </c>
      <c r="B70" s="122" t="str">
        <f t="shared" si="14"/>
        <v>Garlic - ثوم مقشر</v>
      </c>
      <c r="C70" s="122" t="str">
        <f t="shared" si="14"/>
        <v>gm</v>
      </c>
      <c r="D70" s="122">
        <f t="shared" si="14"/>
        <v>40</v>
      </c>
      <c r="E70" s="432">
        <f t="shared" si="18"/>
        <v>7.4649473684210532</v>
      </c>
      <c r="F70" s="126">
        <f t="shared" si="15"/>
        <v>1</v>
      </c>
      <c r="G70" s="116">
        <f t="shared" si="16"/>
        <v>298.59789473684214</v>
      </c>
      <c r="H70" s="119">
        <f t="shared" si="17"/>
        <v>298.59789473684214</v>
      </c>
    </row>
    <row r="71" spans="1:8" ht="14.25" customHeight="1" x14ac:dyDescent="0.3">
      <c r="A71" s="127" t="s">
        <v>188</v>
      </c>
      <c r="B71" s="122" t="str">
        <f t="shared" si="14"/>
        <v>Corn Starch - نشا ذرة</v>
      </c>
      <c r="C71" s="122" t="str">
        <f t="shared" si="14"/>
        <v>gm</v>
      </c>
      <c r="D71" s="122">
        <f t="shared" si="14"/>
        <v>40</v>
      </c>
      <c r="E71" s="432">
        <f t="shared" si="18"/>
        <v>7.4649473684210532</v>
      </c>
      <c r="F71" s="126">
        <f t="shared" si="15"/>
        <v>0.95</v>
      </c>
      <c r="G71" s="116">
        <f t="shared" si="16"/>
        <v>298.59789473684214</v>
      </c>
      <c r="H71" s="119">
        <f t="shared" si="17"/>
        <v>283.66800000000001</v>
      </c>
    </row>
    <row r="72" spans="1:8" ht="14.25" customHeight="1" x14ac:dyDescent="0.3">
      <c r="A72" s="127" t="s">
        <v>95</v>
      </c>
      <c r="B72" s="122" t="str">
        <f t="shared" si="14"/>
        <v>Salt - ملح</v>
      </c>
      <c r="C72" s="122" t="str">
        <f t="shared" si="14"/>
        <v>gm</v>
      </c>
      <c r="D72" s="122">
        <f t="shared" si="14"/>
        <v>11</v>
      </c>
      <c r="E72" s="432">
        <f t="shared" si="18"/>
        <v>7.4649473684210532</v>
      </c>
      <c r="F72" s="126">
        <f t="shared" si="15"/>
        <v>0.75</v>
      </c>
      <c r="G72" s="116">
        <f t="shared" si="16"/>
        <v>82.114421052631585</v>
      </c>
      <c r="H72" s="119">
        <f t="shared" si="17"/>
        <v>61.585815789473685</v>
      </c>
    </row>
    <row r="73" spans="1:8" ht="14.25" customHeight="1" x14ac:dyDescent="0.3">
      <c r="A73" s="127" t="s">
        <v>56</v>
      </c>
      <c r="B73" s="122" t="str">
        <f t="shared" si="14"/>
        <v>Ginger - زنجبيل</v>
      </c>
      <c r="C73" s="122" t="str">
        <f t="shared" si="14"/>
        <v>gm</v>
      </c>
      <c r="D73" s="122">
        <f t="shared" si="14"/>
        <v>40</v>
      </c>
      <c r="E73" s="432">
        <f t="shared" si="18"/>
        <v>7.4649473684210532</v>
      </c>
      <c r="F73" s="126">
        <f t="shared" si="15"/>
        <v>1</v>
      </c>
      <c r="G73" s="116">
        <f t="shared" si="16"/>
        <v>298.59789473684214</v>
      </c>
      <c r="H73" s="119">
        <f t="shared" si="17"/>
        <v>298.59789473684214</v>
      </c>
    </row>
    <row r="74" spans="1:8" ht="14.25" customHeight="1" x14ac:dyDescent="0.3">
      <c r="A74" s="127" t="s">
        <v>182</v>
      </c>
      <c r="B74" s="122" t="str">
        <f t="shared" si="14"/>
        <v>Honey - عسل</v>
      </c>
      <c r="C74" s="122" t="str">
        <f t="shared" si="14"/>
        <v>gm</v>
      </c>
      <c r="D74" s="122">
        <f t="shared" si="14"/>
        <v>40</v>
      </c>
      <c r="E74" s="432">
        <f t="shared" si="18"/>
        <v>7.4649473684210532</v>
      </c>
      <c r="F74" s="126">
        <f t="shared" si="15"/>
        <v>1</v>
      </c>
      <c r="G74" s="116">
        <f t="shared" si="16"/>
        <v>298.59789473684214</v>
      </c>
      <c r="H74" s="119">
        <f t="shared" si="17"/>
        <v>298.59789473684214</v>
      </c>
    </row>
    <row r="75" spans="1:8" ht="14.25" customHeight="1" x14ac:dyDescent="0.3">
      <c r="A75" s="127" t="s">
        <v>192</v>
      </c>
      <c r="B75" s="122" t="str">
        <f t="shared" si="14"/>
        <v>Tomato Paste - صلصة طماطم</v>
      </c>
      <c r="C75" s="122" t="str">
        <f t="shared" si="14"/>
        <v>gm</v>
      </c>
      <c r="D75" s="122">
        <f t="shared" si="14"/>
        <v>45</v>
      </c>
      <c r="E75" s="432">
        <f t="shared" si="18"/>
        <v>7.4649473684210532</v>
      </c>
      <c r="F75" s="126">
        <f t="shared" si="15"/>
        <v>1</v>
      </c>
      <c r="G75" s="116">
        <f t="shared" si="16"/>
        <v>335.9226315789474</v>
      </c>
      <c r="H75" s="119">
        <f t="shared" si="17"/>
        <v>335.9226315789474</v>
      </c>
    </row>
    <row r="76" spans="1:8" ht="14.25" customHeight="1" x14ac:dyDescent="0.3">
      <c r="A76" s="127"/>
      <c r="B76" s="122" t="str">
        <f t="shared" ref="B76:D77" si="19">B16</f>
        <v>Butter - زبدة</v>
      </c>
      <c r="C76" s="122" t="str">
        <f t="shared" si="19"/>
        <v>gm</v>
      </c>
      <c r="D76" s="122">
        <f t="shared" si="19"/>
        <v>30</v>
      </c>
      <c r="E76" s="432">
        <f t="shared" si="18"/>
        <v>7.4649473684210532</v>
      </c>
      <c r="F76" s="126">
        <f t="shared" si="15"/>
        <v>1</v>
      </c>
      <c r="G76" s="116">
        <f>D76*E76</f>
        <v>223.9484210526316</v>
      </c>
      <c r="H76" s="119">
        <f>G76*F76</f>
        <v>223.9484210526316</v>
      </c>
    </row>
    <row r="77" spans="1:8" ht="20.25" customHeight="1" x14ac:dyDescent="0.3">
      <c r="A77" s="127" t="s">
        <v>154</v>
      </c>
      <c r="B77" s="122" t="str">
        <f t="shared" si="19"/>
        <v>Orange Color - لون برتقالي</v>
      </c>
      <c r="C77" s="122" t="str">
        <f t="shared" si="19"/>
        <v>gm</v>
      </c>
      <c r="D77" s="122">
        <f t="shared" si="19"/>
        <v>2</v>
      </c>
      <c r="E77" s="432">
        <f t="shared" si="18"/>
        <v>7.4649473684210532</v>
      </c>
      <c r="F77" s="126">
        <f t="shared" si="15"/>
        <v>1</v>
      </c>
      <c r="G77" s="116">
        <f>D77*E77</f>
        <v>14.929894736842106</v>
      </c>
      <c r="H77" s="119">
        <f>G77*F77</f>
        <v>14.929894736842106</v>
      </c>
    </row>
    <row r="78" spans="1:8" ht="18" x14ac:dyDescent="0.3">
      <c r="A78" s="210"/>
      <c r="B78" s="197" t="s">
        <v>291</v>
      </c>
      <c r="C78" s="199" t="s">
        <v>277</v>
      </c>
      <c r="E78" s="199" t="s">
        <v>292</v>
      </c>
      <c r="G78" s="878" t="s">
        <v>268</v>
      </c>
      <c r="H78" s="878" t="s">
        <v>703</v>
      </c>
    </row>
    <row r="79" spans="1:8" ht="25.25" customHeight="1" x14ac:dyDescent="0.4">
      <c r="A79" s="210"/>
      <c r="B79" s="198">
        <f>$J$53</f>
        <v>16547.300000000003</v>
      </c>
      <c r="C79" s="198">
        <f>E79+G79</f>
        <v>7091.7000000000007</v>
      </c>
      <c r="D79" s="915"/>
      <c r="E79" s="198">
        <f>$D$53*$S$44</f>
        <v>7091.7000000000007</v>
      </c>
      <c r="F79" s="919"/>
      <c r="G79" s="198">
        <f>$D$53*$T$44</f>
        <v>0</v>
      </c>
      <c r="H79" s="198">
        <f>B79+E79</f>
        <v>23639.000000000004</v>
      </c>
    </row>
    <row r="80" spans="1:8" ht="14.25" customHeight="1" x14ac:dyDescent="0.3">
      <c r="B80" s="99"/>
      <c r="E80" s="99"/>
      <c r="F80" s="99"/>
    </row>
    <row r="81" spans="1:8" ht="17.75" customHeight="1" x14ac:dyDescent="0.3">
      <c r="B81" s="99"/>
      <c r="E81" s="99"/>
      <c r="F81" s="99"/>
    </row>
    <row r="82" spans="1:8" ht="17.75" customHeight="1" x14ac:dyDescent="0.3">
      <c r="A82" s="96"/>
      <c r="B82" s="1438" t="str">
        <f>"دجاج سيراتشا 2 / " &amp; COUNTIF($C$53:$C$55, "&gt;0")</f>
        <v>دجاج سيراتشا 2 / 1</v>
      </c>
      <c r="C82" s="1444"/>
      <c r="D82" s="1444"/>
      <c r="E82" s="1444"/>
      <c r="F82" s="1444"/>
      <c r="G82" s="1444"/>
      <c r="H82" s="1444"/>
    </row>
    <row r="83" spans="1:8" ht="25.5" customHeight="1" x14ac:dyDescent="0.3">
      <c r="A83" s="96"/>
      <c r="B83" s="1436" t="str">
        <f>"Sriracha Chicken 2 / " &amp; COUNTIF($C$53:$C$55, "&gt;0")</f>
        <v>Sriracha Chicken 2 / 1</v>
      </c>
      <c r="C83" s="1446"/>
      <c r="D83" s="1446"/>
      <c r="E83" s="1446"/>
      <c r="F83" s="1446"/>
      <c r="G83" s="1446"/>
      <c r="H83" s="1446"/>
    </row>
    <row r="84" spans="1:8" ht="45.5" customHeight="1" x14ac:dyDescent="0.25">
      <c r="A84" s="90"/>
      <c r="B84" s="242" t="s">
        <v>245</v>
      </c>
      <c r="C84" s="243" t="s">
        <v>246</v>
      </c>
      <c r="D84" s="244" t="s">
        <v>235</v>
      </c>
      <c r="E84" s="217" t="s">
        <v>238</v>
      </c>
      <c r="F84" s="217" t="s">
        <v>247</v>
      </c>
      <c r="G84" s="244" t="s">
        <v>248</v>
      </c>
      <c r="H84" s="217" t="s">
        <v>249</v>
      </c>
    </row>
    <row r="85" spans="1:8" ht="14.25" customHeight="1" x14ac:dyDescent="0.3">
      <c r="A85" s="127" t="s">
        <v>225</v>
      </c>
      <c r="B85" s="122" t="str">
        <f t="shared" ref="B85:D97" si="20">B5</f>
        <v>Chicken - دجاج</v>
      </c>
      <c r="C85" s="122" t="str">
        <f t="shared" si="20"/>
        <v>gm</v>
      </c>
      <c r="D85" s="278">
        <f t="shared" si="20"/>
        <v>5649.8305084745762</v>
      </c>
      <c r="E85" s="125">
        <f>H54</f>
        <v>0</v>
      </c>
      <c r="F85" s="126">
        <f t="shared" ref="F85:F97" si="21">F5</f>
        <v>1</v>
      </c>
      <c r="G85" s="116">
        <f t="shared" ref="G85:G95" si="22">D85*E85</f>
        <v>0</v>
      </c>
      <c r="H85" s="119">
        <f t="shared" ref="H85:H95" si="23">G85*F85</f>
        <v>0</v>
      </c>
    </row>
    <row r="86" spans="1:8" ht="14.25" customHeight="1" x14ac:dyDescent="0.3">
      <c r="A86" s="127" t="s">
        <v>192</v>
      </c>
      <c r="B86" s="122" t="str">
        <f t="shared" si="20"/>
        <v>Tomato Ketchup - كاتشب طماطم</v>
      </c>
      <c r="C86" s="122" t="str">
        <f t="shared" si="20"/>
        <v>ml</v>
      </c>
      <c r="D86" s="122">
        <f t="shared" si="20"/>
        <v>500</v>
      </c>
      <c r="E86" s="125">
        <f t="shared" ref="E86:E97" si="24">$C$54</f>
        <v>0</v>
      </c>
      <c r="F86" s="126">
        <f t="shared" si="21"/>
        <v>1</v>
      </c>
      <c r="G86" s="116">
        <f t="shared" si="22"/>
        <v>0</v>
      </c>
      <c r="H86" s="119">
        <f t="shared" si="23"/>
        <v>0</v>
      </c>
    </row>
    <row r="87" spans="1:8" ht="14.25" customHeight="1" x14ac:dyDescent="0.3">
      <c r="A87" s="127" t="s">
        <v>192</v>
      </c>
      <c r="B87" s="122" t="str">
        <f t="shared" si="20"/>
        <v>Sriracha Sauce - صوص سريراتشا</v>
      </c>
      <c r="C87" s="122" t="str">
        <f t="shared" si="20"/>
        <v>ml</v>
      </c>
      <c r="D87" s="122">
        <f t="shared" si="20"/>
        <v>40</v>
      </c>
      <c r="E87" s="125">
        <f t="shared" si="24"/>
        <v>0</v>
      </c>
      <c r="F87" s="126">
        <f t="shared" si="21"/>
        <v>0.75</v>
      </c>
      <c r="G87" s="116">
        <f t="shared" si="22"/>
        <v>0</v>
      </c>
      <c r="H87" s="119">
        <f t="shared" si="23"/>
        <v>0</v>
      </c>
    </row>
    <row r="88" spans="1:8" ht="14.25" customHeight="1" x14ac:dyDescent="0.3">
      <c r="A88" s="127" t="s">
        <v>192</v>
      </c>
      <c r="B88" s="122" t="str">
        <f t="shared" si="20"/>
        <v>Light Soy Sauce - صويا صوص خفيف</v>
      </c>
      <c r="C88" s="122" t="str">
        <f t="shared" si="20"/>
        <v>ml</v>
      </c>
      <c r="D88" s="122">
        <f t="shared" si="20"/>
        <v>60</v>
      </c>
      <c r="E88" s="125">
        <f t="shared" si="24"/>
        <v>0</v>
      </c>
      <c r="F88" s="126">
        <f t="shared" si="21"/>
        <v>0.9</v>
      </c>
      <c r="G88" s="116">
        <f t="shared" si="22"/>
        <v>0</v>
      </c>
      <c r="H88" s="119">
        <f t="shared" si="23"/>
        <v>0</v>
      </c>
    </row>
    <row r="89" spans="1:8" ht="14.25" customHeight="1" x14ac:dyDescent="0.3">
      <c r="A89" s="127" t="s">
        <v>192</v>
      </c>
      <c r="B89" s="122" t="str">
        <f t="shared" si="20"/>
        <v>Sweet Soy Sauce - صويا صوص حلو</v>
      </c>
      <c r="C89" s="122" t="str">
        <f t="shared" si="20"/>
        <v>ml</v>
      </c>
      <c r="D89" s="122">
        <f t="shared" si="20"/>
        <v>40</v>
      </c>
      <c r="E89" s="125">
        <f t="shared" si="24"/>
        <v>0</v>
      </c>
      <c r="F89" s="126">
        <f t="shared" si="21"/>
        <v>1</v>
      </c>
      <c r="G89" s="116">
        <f t="shared" si="22"/>
        <v>0</v>
      </c>
      <c r="H89" s="119">
        <f t="shared" si="23"/>
        <v>0</v>
      </c>
    </row>
    <row r="90" spans="1:8" ht="14.25" customHeight="1" x14ac:dyDescent="0.3">
      <c r="A90" s="127" t="s">
        <v>13</v>
      </c>
      <c r="B90" s="122" t="str">
        <f t="shared" si="20"/>
        <v>Garlic - ثوم مقشر</v>
      </c>
      <c r="C90" s="122" t="str">
        <f t="shared" si="20"/>
        <v>gm</v>
      </c>
      <c r="D90" s="122">
        <f t="shared" si="20"/>
        <v>40</v>
      </c>
      <c r="E90" s="125">
        <f t="shared" si="24"/>
        <v>0</v>
      </c>
      <c r="F90" s="126">
        <f t="shared" si="21"/>
        <v>1</v>
      </c>
      <c r="G90" s="116">
        <f t="shared" si="22"/>
        <v>0</v>
      </c>
      <c r="H90" s="119">
        <f t="shared" si="23"/>
        <v>0</v>
      </c>
    </row>
    <row r="91" spans="1:8" ht="14.25" customHeight="1" x14ac:dyDescent="0.3">
      <c r="A91" s="127" t="s">
        <v>188</v>
      </c>
      <c r="B91" s="122" t="str">
        <f t="shared" si="20"/>
        <v>Corn Starch - نشا ذرة</v>
      </c>
      <c r="C91" s="122" t="str">
        <f t="shared" si="20"/>
        <v>gm</v>
      </c>
      <c r="D91" s="122">
        <f t="shared" si="20"/>
        <v>40</v>
      </c>
      <c r="E91" s="125">
        <f t="shared" si="24"/>
        <v>0</v>
      </c>
      <c r="F91" s="126">
        <f t="shared" si="21"/>
        <v>0.95</v>
      </c>
      <c r="G91" s="116">
        <f t="shared" si="22"/>
        <v>0</v>
      </c>
      <c r="H91" s="119">
        <f t="shared" si="23"/>
        <v>0</v>
      </c>
    </row>
    <row r="92" spans="1:8" ht="14.25" customHeight="1" x14ac:dyDescent="0.3">
      <c r="A92" s="127" t="s">
        <v>95</v>
      </c>
      <c r="B92" s="122" t="str">
        <f t="shared" si="20"/>
        <v>Salt - ملح</v>
      </c>
      <c r="C92" s="122" t="str">
        <f t="shared" si="20"/>
        <v>gm</v>
      </c>
      <c r="D92" s="122">
        <f t="shared" si="20"/>
        <v>11</v>
      </c>
      <c r="E92" s="125">
        <f t="shared" si="24"/>
        <v>0</v>
      </c>
      <c r="F92" s="126">
        <f t="shared" si="21"/>
        <v>0.75</v>
      </c>
      <c r="G92" s="116">
        <f t="shared" si="22"/>
        <v>0</v>
      </c>
      <c r="H92" s="119">
        <f t="shared" si="23"/>
        <v>0</v>
      </c>
    </row>
    <row r="93" spans="1:8" ht="14.25" customHeight="1" x14ac:dyDescent="0.3">
      <c r="A93" s="127" t="s">
        <v>56</v>
      </c>
      <c r="B93" s="122" t="str">
        <f t="shared" si="20"/>
        <v>Ginger - زنجبيل</v>
      </c>
      <c r="C93" s="122" t="str">
        <f t="shared" si="20"/>
        <v>gm</v>
      </c>
      <c r="D93" s="122">
        <f t="shared" si="20"/>
        <v>40</v>
      </c>
      <c r="E93" s="125">
        <f t="shared" si="24"/>
        <v>0</v>
      </c>
      <c r="F93" s="126">
        <f t="shared" si="21"/>
        <v>1</v>
      </c>
      <c r="G93" s="116">
        <f t="shared" si="22"/>
        <v>0</v>
      </c>
      <c r="H93" s="119">
        <f t="shared" si="23"/>
        <v>0</v>
      </c>
    </row>
    <row r="94" spans="1:8" ht="14.25" customHeight="1" x14ac:dyDescent="0.3">
      <c r="A94" s="127" t="s">
        <v>182</v>
      </c>
      <c r="B94" s="122" t="str">
        <f t="shared" si="20"/>
        <v>Honey - عسل</v>
      </c>
      <c r="C94" s="122" t="str">
        <f t="shared" si="20"/>
        <v>gm</v>
      </c>
      <c r="D94" s="122">
        <f t="shared" si="20"/>
        <v>40</v>
      </c>
      <c r="E94" s="125">
        <f t="shared" si="24"/>
        <v>0</v>
      </c>
      <c r="F94" s="126">
        <f t="shared" si="21"/>
        <v>1</v>
      </c>
      <c r="G94" s="116">
        <f t="shared" si="22"/>
        <v>0</v>
      </c>
      <c r="H94" s="119">
        <f t="shared" si="23"/>
        <v>0</v>
      </c>
    </row>
    <row r="95" spans="1:8" ht="14.25" customHeight="1" x14ac:dyDescent="0.3">
      <c r="A95" s="127" t="s">
        <v>192</v>
      </c>
      <c r="B95" s="122" t="str">
        <f t="shared" si="20"/>
        <v>Tomato Paste - صلصة طماطم</v>
      </c>
      <c r="C95" s="122" t="str">
        <f t="shared" si="20"/>
        <v>gm</v>
      </c>
      <c r="D95" s="122">
        <f t="shared" si="20"/>
        <v>45</v>
      </c>
      <c r="E95" s="125">
        <f t="shared" si="24"/>
        <v>0</v>
      </c>
      <c r="F95" s="126">
        <f t="shared" si="21"/>
        <v>1</v>
      </c>
      <c r="G95" s="116">
        <f t="shared" si="22"/>
        <v>0</v>
      </c>
      <c r="H95" s="119">
        <f t="shared" si="23"/>
        <v>0</v>
      </c>
    </row>
    <row r="96" spans="1:8" ht="20.25" customHeight="1" x14ac:dyDescent="0.3">
      <c r="A96" s="127"/>
      <c r="B96" s="122" t="str">
        <f t="shared" si="20"/>
        <v>Butter - زبدة</v>
      </c>
      <c r="C96" s="122" t="str">
        <f t="shared" si="20"/>
        <v>gm</v>
      </c>
      <c r="D96" s="122">
        <f t="shared" si="20"/>
        <v>30</v>
      </c>
      <c r="E96" s="125">
        <f t="shared" si="24"/>
        <v>0</v>
      </c>
      <c r="F96" s="126">
        <f t="shared" si="21"/>
        <v>1</v>
      </c>
      <c r="G96" s="116">
        <f>D96*E96</f>
        <v>0</v>
      </c>
      <c r="H96" s="119">
        <f>G96*F96</f>
        <v>0</v>
      </c>
    </row>
    <row r="97" spans="1:8" x14ac:dyDescent="0.3">
      <c r="A97" s="127" t="s">
        <v>154</v>
      </c>
      <c r="B97" s="122" t="str">
        <f t="shared" si="20"/>
        <v>Orange Color - لون برتقالي</v>
      </c>
      <c r="C97" s="122" t="str">
        <f t="shared" si="20"/>
        <v>gm</v>
      </c>
      <c r="D97" s="122">
        <f t="shared" si="20"/>
        <v>2</v>
      </c>
      <c r="E97" s="125">
        <f t="shared" si="24"/>
        <v>0</v>
      </c>
      <c r="F97" s="126">
        <f t="shared" si="21"/>
        <v>1</v>
      </c>
      <c r="G97" s="116">
        <f>D97*E97</f>
        <v>0</v>
      </c>
      <c r="H97" s="119">
        <f>G97*F97</f>
        <v>0</v>
      </c>
    </row>
    <row r="98" spans="1:8" ht="18" x14ac:dyDescent="0.3">
      <c r="A98" s="210"/>
      <c r="B98" s="197" t="s">
        <v>291</v>
      </c>
      <c r="C98" s="199" t="s">
        <v>277</v>
      </c>
      <c r="E98" s="199" t="s">
        <v>292</v>
      </c>
      <c r="G98" s="878" t="s">
        <v>268</v>
      </c>
      <c r="H98" s="878" t="s">
        <v>703</v>
      </c>
    </row>
    <row r="99" spans="1:8" ht="20" x14ac:dyDescent="0.4">
      <c r="A99" s="210"/>
      <c r="B99" s="198">
        <f>$J$54</f>
        <v>0</v>
      </c>
      <c r="C99" s="198">
        <f>E99+G99</f>
        <v>0</v>
      </c>
      <c r="D99" s="915"/>
      <c r="E99" s="198">
        <f>$D$54*$S$44</f>
        <v>0</v>
      </c>
      <c r="F99" s="919"/>
      <c r="G99" s="198">
        <f>$D$54*$T$44</f>
        <v>0</v>
      </c>
      <c r="H99" s="198">
        <f>B99+E99</f>
        <v>0</v>
      </c>
    </row>
  </sheetData>
  <mergeCells count="11">
    <mergeCell ref="AE2:AG3"/>
    <mergeCell ref="B83:H83"/>
    <mergeCell ref="R26:U26"/>
    <mergeCell ref="AN2:AN3"/>
    <mergeCell ref="B62:H62"/>
    <mergeCell ref="R25:U25"/>
    <mergeCell ref="F2:F3"/>
    <mergeCell ref="B82:H82"/>
    <mergeCell ref="B63:H63"/>
    <mergeCell ref="AK2:AM2"/>
    <mergeCell ref="B35:F35"/>
  </mergeCells>
  <printOptions horizontalCentered="1"/>
  <pageMargins left="0.5" right="0.5" top="1" bottom="0.5" header="0.3" footer="0.511811023622047"/>
  <pageSetup paperSize="9" scale="46" orientation="portrait" r:id="rId1"/>
  <legacyDrawing r:id="rId2"/>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tabColor rgb="FFC55A11"/>
    <pageSetUpPr fitToPage="1"/>
  </sheetPr>
  <dimension ref="A1:AT169"/>
  <sheetViews>
    <sheetView topLeftCell="A51" zoomScale="55" zoomScaleNormal="55" workbookViewId="0">
      <selection activeCell="Q43" sqref="Q43:T44"/>
    </sheetView>
  </sheetViews>
  <sheetFormatPr defaultColWidth="12.5" defaultRowHeight="14" x14ac:dyDescent="0.3"/>
  <cols>
    <col min="1" max="1" width="12.5" style="1" customWidth="1"/>
    <col min="2" max="2" width="40" customWidth="1"/>
    <col min="3" max="3" width="19.33203125" customWidth="1"/>
    <col min="4" max="4" width="19" customWidth="1"/>
    <col min="5" max="5" width="16.1640625" customWidth="1"/>
    <col min="6" max="6" width="23.08203125" customWidth="1"/>
    <col min="7" max="7" width="25.1640625" customWidth="1"/>
    <col min="8" max="8" width="41.4140625" customWidth="1"/>
    <col min="12" max="12" width="8.33203125" customWidth="1"/>
    <col min="13" max="14" width="5.6640625" customWidth="1"/>
    <col min="18" max="18" width="30.5" customWidth="1"/>
    <col min="29" max="30" width="13.33203125" bestFit="1" customWidth="1"/>
    <col min="31" max="31" width="10" bestFit="1" customWidth="1"/>
    <col min="32" max="32" width="11.58203125" bestFit="1" customWidth="1"/>
    <col min="33" max="34" width="5.83203125" customWidth="1"/>
    <col min="36" max="36" width="29.9140625" customWidth="1"/>
  </cols>
  <sheetData>
    <row r="1" spans="1:46" s="132" customFormat="1" ht="35.25" customHeight="1" x14ac:dyDescent="0.3">
      <c r="A1" s="263"/>
      <c r="B1" s="79" t="s">
        <v>235</v>
      </c>
      <c r="C1" s="80">
        <v>1000</v>
      </c>
      <c r="D1" s="81" t="s">
        <v>236</v>
      </c>
      <c r="E1" s="82">
        <f>T32</f>
        <v>29232.466666666664</v>
      </c>
      <c r="F1" s="79" t="s">
        <v>237</v>
      </c>
      <c r="G1" s="83">
        <f>E1/C1</f>
        <v>29.232466666666664</v>
      </c>
      <c r="H1" s="79" t="s">
        <v>238</v>
      </c>
      <c r="I1" s="84">
        <f>(G1/K1)</f>
        <v>30.771017543859646</v>
      </c>
      <c r="J1" s="85" t="s">
        <v>239</v>
      </c>
      <c r="K1" s="84">
        <v>0.95</v>
      </c>
      <c r="L1" s="386"/>
      <c r="M1" s="88"/>
      <c r="N1" s="89"/>
      <c r="O1" s="90" t="s">
        <v>240</v>
      </c>
      <c r="P1" s="91" t="s">
        <v>241</v>
      </c>
      <c r="Q1" s="92" t="s">
        <v>242</v>
      </c>
      <c r="R1" s="91">
        <v>0.59</v>
      </c>
      <c r="S1" s="91"/>
      <c r="T1" s="91"/>
      <c r="Y1" s="90" t="s">
        <v>463</v>
      </c>
      <c r="Z1" s="835">
        <v>50800</v>
      </c>
      <c r="AA1" s="90" t="s">
        <v>578</v>
      </c>
      <c r="AB1" s="835">
        <v>1000</v>
      </c>
      <c r="AC1" s="90" t="s">
        <v>567</v>
      </c>
      <c r="AD1" s="835">
        <v>349</v>
      </c>
      <c r="AE1" s="249"/>
      <c r="AF1" s="251"/>
      <c r="AG1" s="91"/>
      <c r="AI1" s="1"/>
      <c r="AJ1" s="93" t="s">
        <v>254</v>
      </c>
      <c r="AK1" s="93">
        <v>10000</v>
      </c>
      <c r="AL1" s="623" t="s">
        <v>503</v>
      </c>
      <c r="AM1" s="624">
        <f>$S$32</f>
        <v>39834.200000000004</v>
      </c>
      <c r="AN1" s="93" t="s">
        <v>243</v>
      </c>
      <c r="AO1" s="328">
        <f>((S32)/$R$1)/$AK$1</f>
        <v>6.7515593220338994</v>
      </c>
      <c r="AP1" s="95"/>
    </row>
    <row r="2" spans="1:46" ht="15.75" customHeight="1" x14ac:dyDescent="0.3">
      <c r="A2" s="264"/>
      <c r="B2" s="97"/>
      <c r="C2" s="97"/>
      <c r="D2" s="97"/>
      <c r="E2" s="97"/>
      <c r="F2" s="1443" t="s">
        <v>126</v>
      </c>
      <c r="G2" s="97"/>
      <c r="H2" s="97"/>
      <c r="I2" s="97"/>
      <c r="J2" s="97"/>
      <c r="K2" s="97"/>
      <c r="L2" s="97"/>
      <c r="M2" s="98"/>
      <c r="N2" s="98"/>
      <c r="O2" s="99"/>
      <c r="P2" s="99"/>
      <c r="Q2" s="99"/>
      <c r="R2" s="99"/>
      <c r="S2" s="99"/>
      <c r="T2" s="99"/>
      <c r="U2" s="99"/>
      <c r="AC2" s="98"/>
      <c r="AD2" s="98"/>
      <c r="AE2" s="1457"/>
      <c r="AF2" s="1458"/>
      <c r="AG2" s="1458"/>
      <c r="AI2" s="1"/>
      <c r="AJ2" s="100"/>
      <c r="AK2" s="1442" t="s">
        <v>445</v>
      </c>
      <c r="AL2" s="1442"/>
      <c r="AM2" s="1442"/>
      <c r="AN2" s="1442"/>
      <c r="AO2" s="100"/>
      <c r="AP2" s="100"/>
    </row>
    <row r="3" spans="1:46" ht="15.75" customHeight="1" x14ac:dyDescent="0.3">
      <c r="A3" s="264"/>
      <c r="B3" s="102"/>
      <c r="C3" s="102"/>
      <c r="D3" s="102"/>
      <c r="E3" s="102"/>
      <c r="F3" s="1444"/>
      <c r="G3" s="102"/>
      <c r="H3" s="102"/>
      <c r="I3" s="102"/>
      <c r="J3" s="102"/>
      <c r="K3" s="102"/>
      <c r="L3" s="102"/>
      <c r="M3" s="98"/>
      <c r="N3" s="98"/>
      <c r="O3" s="99"/>
      <c r="P3" s="99"/>
      <c r="Q3" s="99"/>
      <c r="R3" s="99"/>
      <c r="S3" s="99"/>
      <c r="T3" s="99"/>
      <c r="U3" s="99"/>
      <c r="AC3" s="98"/>
      <c r="AD3" s="98"/>
      <c r="AE3" s="1458"/>
      <c r="AF3" s="1458"/>
      <c r="AG3" s="1458"/>
      <c r="AI3" s="1"/>
      <c r="AJ3" s="100"/>
      <c r="AK3" s="100"/>
      <c r="AL3" s="100"/>
      <c r="AM3" s="100"/>
      <c r="AN3" s="1458"/>
      <c r="AO3" s="100"/>
      <c r="AP3" s="100"/>
    </row>
    <row r="4" spans="1:46" ht="46.5" customHeight="1" x14ac:dyDescent="0.3">
      <c r="A4" s="90" t="s">
        <v>1</v>
      </c>
      <c r="B4" s="90" t="s">
        <v>245</v>
      </c>
      <c r="C4" s="106" t="s">
        <v>246</v>
      </c>
      <c r="D4" s="90" t="s">
        <v>235</v>
      </c>
      <c r="E4" s="107" t="s">
        <v>238</v>
      </c>
      <c r="F4" s="107" t="s">
        <v>247</v>
      </c>
      <c r="G4" s="90" t="s">
        <v>248</v>
      </c>
      <c r="H4" s="330" t="s">
        <v>339</v>
      </c>
      <c r="I4" s="90" t="s">
        <v>250</v>
      </c>
      <c r="J4" s="90" t="s">
        <v>251</v>
      </c>
      <c r="K4" s="90" t="s">
        <v>252</v>
      </c>
      <c r="L4" s="88" t="s">
        <v>253</v>
      </c>
      <c r="M4" s="370"/>
      <c r="N4" s="370"/>
      <c r="O4" s="99"/>
      <c r="P4" s="99"/>
      <c r="Q4" s="99"/>
      <c r="R4" s="99"/>
      <c r="S4" s="99"/>
      <c r="T4" s="99"/>
      <c r="U4" s="99"/>
      <c r="AC4" s="250"/>
      <c r="AD4" s="252"/>
      <c r="AE4" s="250"/>
      <c r="AF4" s="250"/>
      <c r="AG4" s="250"/>
      <c r="AI4" s="1"/>
      <c r="AJ4" s="93" t="s">
        <v>245</v>
      </c>
      <c r="AK4" s="527" t="s">
        <v>246</v>
      </c>
      <c r="AL4" s="93" t="s">
        <v>254</v>
      </c>
      <c r="AM4" s="93" t="s">
        <v>238</v>
      </c>
      <c r="AN4" s="93" t="s">
        <v>247</v>
      </c>
      <c r="AO4" s="93" t="s">
        <v>248</v>
      </c>
      <c r="AP4" s="93" t="s">
        <v>339</v>
      </c>
      <c r="AQ4" s="90" t="s">
        <v>250</v>
      </c>
      <c r="AR4" s="90" t="s">
        <v>251</v>
      </c>
      <c r="AS4" s="90" t="s">
        <v>252</v>
      </c>
      <c r="AT4" s="90" t="s">
        <v>253</v>
      </c>
    </row>
    <row r="5" spans="1:46" ht="14.25" customHeight="1" x14ac:dyDescent="0.3">
      <c r="A5" s="265" t="s">
        <v>225</v>
      </c>
      <c r="B5" s="308" t="s">
        <v>224</v>
      </c>
      <c r="C5" s="114" t="s">
        <v>14</v>
      </c>
      <c r="D5" s="120">
        <f>I51/10</f>
        <v>2311.3713405238827</v>
      </c>
      <c r="E5" s="116">
        <f>H52</f>
        <v>29.210188789931212</v>
      </c>
      <c r="F5" s="126">
        <v>1</v>
      </c>
      <c r="G5" s="118">
        <f t="shared" ref="G5:G25" si="0">D5*E5</f>
        <v>67515.593220338997</v>
      </c>
      <c r="H5" s="119">
        <f t="shared" ref="H5:H25" si="1">G5*F5</f>
        <v>67515.593220338997</v>
      </c>
      <c r="I5" s="80">
        <f>VLOOKUP(B5,All_Ingredients!$A$1:$F$149,6,FALSE())</f>
        <v>0.86</v>
      </c>
      <c r="J5" s="118">
        <f>VLOOKUP(B5,All_Ingredients!$A$1:$J$149,10,FALSE())</f>
        <v>17.100000000000001</v>
      </c>
      <c r="K5" s="121">
        <f t="shared" ref="K5" si="2">(H5/I5)/1000</f>
        <v>78.506503744580229</v>
      </c>
      <c r="L5" s="121">
        <f t="shared" ref="L5" si="3">K5*J5</f>
        <v>1342.461214032322</v>
      </c>
      <c r="M5" s="130"/>
      <c r="N5" s="130"/>
      <c r="O5" s="99"/>
      <c r="P5" s="99"/>
      <c r="Q5" s="99"/>
      <c r="R5" s="99"/>
      <c r="S5" s="99"/>
      <c r="T5" s="99"/>
      <c r="U5" s="99"/>
      <c r="AC5" s="91"/>
      <c r="AD5" s="132"/>
      <c r="AE5" s="253"/>
      <c r="AF5" s="134"/>
      <c r="AG5" s="135"/>
      <c r="AI5" s="1"/>
      <c r="AJ5" s="373" t="s">
        <v>224</v>
      </c>
      <c r="AK5" s="123" t="s">
        <v>231</v>
      </c>
      <c r="AL5" s="124">
        <v>10</v>
      </c>
      <c r="AM5" s="115">
        <f t="shared" ref="AM5:AM19" si="4">$AO$1</f>
        <v>6.7515593220338994</v>
      </c>
      <c r="AN5" s="126">
        <v>1</v>
      </c>
      <c r="AO5" s="118">
        <f t="shared" ref="AO5:AO19" si="5">AL5*AM5</f>
        <v>67.515593220338999</v>
      </c>
      <c r="AP5" s="206">
        <f t="shared" ref="AP5:AP19" si="6">AO5*AN5</f>
        <v>67.515593220338999</v>
      </c>
      <c r="AQ5" s="294"/>
      <c r="AR5" s="1152"/>
      <c r="AS5" s="174"/>
      <c r="AT5" s="1153"/>
    </row>
    <row r="6" spans="1:46" ht="14.25" customHeight="1" x14ac:dyDescent="0.3">
      <c r="A6" s="269" t="s">
        <v>13</v>
      </c>
      <c r="B6" s="113" t="s">
        <v>12</v>
      </c>
      <c r="C6" s="123" t="s">
        <v>14</v>
      </c>
      <c r="D6" s="124">
        <v>80</v>
      </c>
      <c r="E6" s="115">
        <f t="shared" ref="E6:E25" si="7">$I$1</f>
        <v>30.771017543859646</v>
      </c>
      <c r="F6" s="126">
        <v>1</v>
      </c>
      <c r="G6" s="118">
        <f t="shared" si="0"/>
        <v>2461.6814035087718</v>
      </c>
      <c r="H6" s="119">
        <f t="shared" si="1"/>
        <v>2461.6814035087718</v>
      </c>
      <c r="I6" s="80">
        <f>VLOOKUP(B6,All_Ingredients!$A$1:$F$149,6,FALSE())</f>
        <v>0.9</v>
      </c>
      <c r="J6" s="118">
        <f>VLOOKUP(B6,All_Ingredients!$A$1:$J$149,10,FALSE())</f>
        <v>3</v>
      </c>
      <c r="K6" s="121">
        <f t="shared" ref="K6:K25" si="8">(H6/I6)/1000</f>
        <v>2.735201559454191</v>
      </c>
      <c r="L6" s="121">
        <f t="shared" ref="L6:L25" si="9">K6*J6</f>
        <v>8.2056046783625725</v>
      </c>
      <c r="M6" s="130"/>
      <c r="N6" s="130"/>
      <c r="AI6" s="1" t="s">
        <v>95</v>
      </c>
      <c r="AJ6" s="123" t="s">
        <v>106</v>
      </c>
      <c r="AK6" s="123" t="s">
        <v>14</v>
      </c>
      <c r="AL6" s="124">
        <v>25</v>
      </c>
      <c r="AM6" s="115">
        <f t="shared" si="4"/>
        <v>6.7515593220338994</v>
      </c>
      <c r="AN6" s="126">
        <v>1</v>
      </c>
      <c r="AO6" s="118">
        <f t="shared" si="5"/>
        <v>168.78898305084749</v>
      </c>
      <c r="AP6" s="206">
        <f t="shared" si="6"/>
        <v>168.78898305084749</v>
      </c>
      <c r="AQ6" s="1153">
        <f>VLOOKUP(AJ6,Marination_Ordering!$A:$J,6,FALSE)</f>
        <v>1</v>
      </c>
      <c r="AR6" s="1153">
        <f>VLOOKUP(AJ6,Marination_Ordering!$A:$J,10,FALSE)</f>
        <v>15</v>
      </c>
      <c r="AS6" s="174">
        <f>AP6/AQ6</f>
        <v>168.78898305084749</v>
      </c>
      <c r="AT6" s="1153">
        <f>AR6*(AS6/1000)</f>
        <v>2.5318347457627124</v>
      </c>
    </row>
    <row r="7" spans="1:46" ht="14.25" customHeight="1" x14ac:dyDescent="0.3">
      <c r="A7" s="269" t="s">
        <v>13</v>
      </c>
      <c r="B7" s="113" t="s">
        <v>17</v>
      </c>
      <c r="C7" s="123" t="s">
        <v>14</v>
      </c>
      <c r="D7" s="124">
        <v>400</v>
      </c>
      <c r="E7" s="115">
        <f t="shared" si="7"/>
        <v>30.771017543859646</v>
      </c>
      <c r="F7" s="126">
        <v>1</v>
      </c>
      <c r="G7" s="118">
        <f t="shared" si="0"/>
        <v>12308.407017543859</v>
      </c>
      <c r="H7" s="119">
        <f t="shared" si="1"/>
        <v>12308.407017543859</v>
      </c>
      <c r="I7" s="80">
        <f>VLOOKUP(B7,All_Ingredients!$A$1:$F$149,6,FALSE())</f>
        <v>0.98</v>
      </c>
      <c r="J7" s="118">
        <f>VLOOKUP(B7,All_Ingredients!$A$1:$J$149,10,FALSE())</f>
        <v>3.5</v>
      </c>
      <c r="K7" s="121">
        <f t="shared" si="8"/>
        <v>12.559598997493735</v>
      </c>
      <c r="L7" s="121">
        <f t="shared" si="9"/>
        <v>43.958596491228072</v>
      </c>
      <c r="M7" s="130"/>
      <c r="N7" s="130"/>
      <c r="AI7" s="1" t="s">
        <v>95</v>
      </c>
      <c r="AJ7" s="123" t="s">
        <v>108</v>
      </c>
      <c r="AK7" s="123" t="s">
        <v>14</v>
      </c>
      <c r="AL7" s="124">
        <v>15</v>
      </c>
      <c r="AM7" s="115">
        <f t="shared" si="4"/>
        <v>6.7515593220338994</v>
      </c>
      <c r="AN7" s="126">
        <v>1</v>
      </c>
      <c r="AO7" s="118">
        <f t="shared" si="5"/>
        <v>101.27338983050849</v>
      </c>
      <c r="AP7" s="206">
        <f t="shared" si="6"/>
        <v>101.27338983050849</v>
      </c>
      <c r="AQ7" s="1153">
        <f>VLOOKUP(AJ7,Marination_Ordering!$A:$J,6,FALSE)</f>
        <v>1</v>
      </c>
      <c r="AR7" s="1153">
        <f>VLOOKUP(AJ7,Marination_Ordering!$A:$J,10,FALSE)</f>
        <v>8</v>
      </c>
      <c r="AS7" s="174">
        <f t="shared" ref="AS7:AS8" si="10">AP7/AQ7</f>
        <v>101.27338983050849</v>
      </c>
      <c r="AT7" s="1153">
        <f t="shared" ref="AT7:AT8" si="11">AR7*(AS7/1000)</f>
        <v>0.81018711864406789</v>
      </c>
    </row>
    <row r="8" spans="1:46" ht="14.25" customHeight="1" x14ac:dyDescent="0.3">
      <c r="A8" s="269" t="s">
        <v>179</v>
      </c>
      <c r="B8" s="113" t="s">
        <v>180</v>
      </c>
      <c r="C8" s="123" t="s">
        <v>14</v>
      </c>
      <c r="D8" s="124">
        <v>50</v>
      </c>
      <c r="E8" s="115">
        <f t="shared" si="7"/>
        <v>30.771017543859646</v>
      </c>
      <c r="F8" s="126">
        <v>0.5</v>
      </c>
      <c r="G8" s="118">
        <f t="shared" si="0"/>
        <v>1538.5508771929824</v>
      </c>
      <c r="H8" s="119">
        <f t="shared" si="1"/>
        <v>769.2754385964912</v>
      </c>
      <c r="I8" s="80">
        <f>VLOOKUP(B8,All_Ingredients!$A$1:$F$149,6,FALSE())</f>
        <v>1</v>
      </c>
      <c r="J8" s="118">
        <f>VLOOKUP(B8,All_Ingredients!$A$1:$J$149,10,FALSE())</f>
        <v>40</v>
      </c>
      <c r="K8" s="121">
        <f t="shared" si="8"/>
        <v>0.76927543859649117</v>
      </c>
      <c r="L8" s="121">
        <f t="shared" si="9"/>
        <v>30.771017543859646</v>
      </c>
      <c r="M8" s="130"/>
      <c r="N8" s="130"/>
      <c r="AI8" s="1" t="s">
        <v>154</v>
      </c>
      <c r="AJ8" s="123" t="s">
        <v>164</v>
      </c>
      <c r="AK8" s="123" t="s">
        <v>14</v>
      </c>
      <c r="AL8" s="124">
        <v>500</v>
      </c>
      <c r="AM8" s="115">
        <f t="shared" si="4"/>
        <v>6.7515593220338994</v>
      </c>
      <c r="AN8" s="126">
        <v>1</v>
      </c>
      <c r="AO8" s="118">
        <f t="shared" si="5"/>
        <v>3375.7796610169498</v>
      </c>
      <c r="AP8" s="206">
        <f t="shared" si="6"/>
        <v>3375.7796610169498</v>
      </c>
      <c r="AQ8" s="1153">
        <f>VLOOKUP(AJ8,Marination_Ordering!$A:$J,6,FALSE)</f>
        <v>1</v>
      </c>
      <c r="AR8" s="1153">
        <f>VLOOKUP(AJ8,Marination_Ordering!$A:$J,10,FALSE)</f>
        <v>6.6959999999999997</v>
      </c>
      <c r="AS8" s="174">
        <f t="shared" si="10"/>
        <v>3375.7796610169498</v>
      </c>
      <c r="AT8" s="1153">
        <f t="shared" si="11"/>
        <v>22.604220610169495</v>
      </c>
    </row>
    <row r="9" spans="1:46" ht="14.25" customHeight="1" x14ac:dyDescent="0.3">
      <c r="A9" s="269" t="s">
        <v>95</v>
      </c>
      <c r="B9" s="113" t="s">
        <v>116</v>
      </c>
      <c r="C9" s="123" t="s">
        <v>14</v>
      </c>
      <c r="D9" s="124">
        <v>5</v>
      </c>
      <c r="E9" s="115">
        <f t="shared" si="7"/>
        <v>30.771017543859646</v>
      </c>
      <c r="F9" s="126">
        <v>0.75</v>
      </c>
      <c r="G9" s="118">
        <f t="shared" si="0"/>
        <v>153.85508771929824</v>
      </c>
      <c r="H9" s="119">
        <f t="shared" si="1"/>
        <v>115.39131578947368</v>
      </c>
      <c r="I9" s="80">
        <f>VLOOKUP(B9,All_Ingredients!$A$1:$F$149,6,FALSE())</f>
        <v>1</v>
      </c>
      <c r="J9" s="118">
        <f>VLOOKUP(B9,All_Ingredients!$A$1:$J$149,10,FALSE())</f>
        <v>14.5</v>
      </c>
      <c r="K9" s="121">
        <f t="shared" si="8"/>
        <v>0.11539131578947368</v>
      </c>
      <c r="L9" s="121">
        <f t="shared" si="9"/>
        <v>1.6731740789473684</v>
      </c>
      <c r="M9" s="130"/>
      <c r="N9" s="130"/>
      <c r="AI9" s="1" t="s">
        <v>95</v>
      </c>
      <c r="AJ9" s="123" t="s">
        <v>114</v>
      </c>
      <c r="AK9" s="123" t="s">
        <v>14</v>
      </c>
      <c r="AL9" s="124">
        <v>5</v>
      </c>
      <c r="AM9" s="115">
        <f t="shared" si="4"/>
        <v>6.7515593220338994</v>
      </c>
      <c r="AN9" s="126">
        <v>1</v>
      </c>
      <c r="AO9" s="118">
        <f t="shared" si="5"/>
        <v>33.7577966101695</v>
      </c>
      <c r="AP9" s="206">
        <f t="shared" si="6"/>
        <v>33.7577966101695</v>
      </c>
      <c r="AQ9" s="1153">
        <f>VLOOKUP(AJ9,Marination_Ordering!$A:$J,6,FALSE)</f>
        <v>1</v>
      </c>
      <c r="AR9" s="1153">
        <f>VLOOKUP(AJ9,Marination_Ordering!$A:$J,10,FALSE)</f>
        <v>20</v>
      </c>
      <c r="AS9" s="174">
        <f t="shared" ref="AS9:AS19" si="12">AP9/AQ9</f>
        <v>33.7577966101695</v>
      </c>
      <c r="AT9" s="1153">
        <f t="shared" ref="AT9:AT19" si="13">AR9*(AS9/1000)</f>
        <v>0.67515593220338999</v>
      </c>
    </row>
    <row r="10" spans="1:46" ht="14.25" customHeight="1" x14ac:dyDescent="0.3">
      <c r="A10" s="269" t="s">
        <v>56</v>
      </c>
      <c r="B10" s="113" t="s">
        <v>55</v>
      </c>
      <c r="C10" s="123" t="s">
        <v>14</v>
      </c>
      <c r="D10" s="124">
        <v>5</v>
      </c>
      <c r="E10" s="115">
        <f t="shared" si="7"/>
        <v>30.771017543859646</v>
      </c>
      <c r="F10" s="126">
        <v>1</v>
      </c>
      <c r="G10" s="118">
        <f t="shared" si="0"/>
        <v>153.85508771929824</v>
      </c>
      <c r="H10" s="119">
        <f t="shared" si="1"/>
        <v>153.85508771929824</v>
      </c>
      <c r="I10" s="80">
        <f>VLOOKUP(B10,All_Ingredients!$A$1:$F$149,6,FALSE())</f>
        <v>0.87</v>
      </c>
      <c r="J10" s="118">
        <f>VLOOKUP(B10,All_Ingredients!$A$1:$J$149,10,FALSE())</f>
        <v>7</v>
      </c>
      <c r="K10" s="121">
        <f t="shared" si="8"/>
        <v>0.17684492841298649</v>
      </c>
      <c r="L10" s="121">
        <f t="shared" si="9"/>
        <v>1.2379144988909054</v>
      </c>
      <c r="M10" s="130"/>
      <c r="N10" s="130"/>
      <c r="AI10" s="1" t="s">
        <v>95</v>
      </c>
      <c r="AJ10" s="123" t="s">
        <v>119</v>
      </c>
      <c r="AK10" s="123" t="s">
        <v>14</v>
      </c>
      <c r="AL10" s="124">
        <v>15</v>
      </c>
      <c r="AM10" s="115">
        <f t="shared" si="4"/>
        <v>6.7515593220338994</v>
      </c>
      <c r="AN10" s="126">
        <v>1</v>
      </c>
      <c r="AO10" s="118">
        <f t="shared" si="5"/>
        <v>101.27338983050849</v>
      </c>
      <c r="AP10" s="206">
        <f t="shared" si="6"/>
        <v>101.27338983050849</v>
      </c>
      <c r="AQ10" s="1153">
        <f>VLOOKUP(AJ10,Marination_Ordering!$A:$J,6,FALSE)</f>
        <v>1</v>
      </c>
      <c r="AR10" s="1153">
        <f>VLOOKUP(AJ10,Marination_Ordering!$A:$J,10,FALSE)</f>
        <v>15</v>
      </c>
      <c r="AS10" s="174">
        <f t="shared" si="12"/>
        <v>101.27338983050849</v>
      </c>
      <c r="AT10" s="1153">
        <f t="shared" si="13"/>
        <v>1.5191008474576273</v>
      </c>
    </row>
    <row r="11" spans="1:46" ht="14.25" customHeight="1" x14ac:dyDescent="0.3">
      <c r="A11" s="269" t="s">
        <v>13</v>
      </c>
      <c r="B11" s="113" t="s">
        <v>762</v>
      </c>
      <c r="C11" s="123" t="s">
        <v>14</v>
      </c>
      <c r="D11" s="124">
        <v>20</v>
      </c>
      <c r="E11" s="115">
        <f t="shared" si="7"/>
        <v>30.771017543859646</v>
      </c>
      <c r="F11" s="126">
        <v>1</v>
      </c>
      <c r="G11" s="118">
        <f t="shared" si="0"/>
        <v>615.42035087719296</v>
      </c>
      <c r="H11" s="119">
        <f t="shared" si="1"/>
        <v>615.42035087719296</v>
      </c>
      <c r="I11" s="80">
        <f>VLOOKUP(B11,All_Ingredients!$A$1:$F$149,6,FALSE())</f>
        <v>1</v>
      </c>
      <c r="J11" s="118">
        <f>VLOOKUP(B11,All_Ingredients!$A$1:$J$149,10,FALSE())</f>
        <v>10.5</v>
      </c>
      <c r="K11" s="121">
        <f t="shared" si="8"/>
        <v>0.61542035087719293</v>
      </c>
      <c r="L11" s="121">
        <f t="shared" si="9"/>
        <v>6.4619136842105256</v>
      </c>
      <c r="M11" s="130"/>
      <c r="N11" s="130"/>
      <c r="AI11" s="1" t="s">
        <v>95</v>
      </c>
      <c r="AJ11" s="123" t="s">
        <v>759</v>
      </c>
      <c r="AK11" s="123" t="s">
        <v>14</v>
      </c>
      <c r="AL11" s="124">
        <v>5</v>
      </c>
      <c r="AM11" s="115">
        <f t="shared" si="4"/>
        <v>6.7515593220338994</v>
      </c>
      <c r="AN11" s="126">
        <v>1</v>
      </c>
      <c r="AO11" s="118">
        <f t="shared" si="5"/>
        <v>33.7577966101695</v>
      </c>
      <c r="AP11" s="206">
        <f t="shared" si="6"/>
        <v>33.7577966101695</v>
      </c>
      <c r="AQ11" s="1153">
        <f>VLOOKUP(AJ11,Marination_Ordering!$A:$J,6,FALSE)</f>
        <v>1</v>
      </c>
      <c r="AR11" s="1153">
        <f>VLOOKUP(AJ11,Marination_Ordering!$A:$J,10,FALSE)</f>
        <v>52</v>
      </c>
      <c r="AS11" s="174">
        <f t="shared" si="12"/>
        <v>33.7577966101695</v>
      </c>
      <c r="AT11" s="1153">
        <f t="shared" si="13"/>
        <v>1.7554054237288139</v>
      </c>
    </row>
    <row r="12" spans="1:46" ht="14.25" customHeight="1" x14ac:dyDescent="0.3">
      <c r="A12" s="269" t="s">
        <v>62</v>
      </c>
      <c r="B12" s="113" t="s">
        <v>61</v>
      </c>
      <c r="C12" s="123" t="s">
        <v>14</v>
      </c>
      <c r="D12" s="124">
        <v>10</v>
      </c>
      <c r="E12" s="115">
        <f t="shared" si="7"/>
        <v>30.771017543859646</v>
      </c>
      <c r="F12" s="126">
        <v>1</v>
      </c>
      <c r="G12" s="118">
        <f t="shared" si="0"/>
        <v>307.71017543859648</v>
      </c>
      <c r="H12" s="119">
        <f t="shared" si="1"/>
        <v>307.71017543859648</v>
      </c>
      <c r="I12" s="80">
        <f>VLOOKUP(B12,All_Ingredients!$A$1:$F$149,6,FALSE())</f>
        <v>0.94</v>
      </c>
      <c r="J12" s="118">
        <f>VLOOKUP(B12,All_Ingredients!$A$1:$J$149,10,FALSE())</f>
        <v>3.6363636363636367</v>
      </c>
      <c r="K12" s="121">
        <f t="shared" si="8"/>
        <v>0.32735125046659203</v>
      </c>
      <c r="L12" s="121">
        <f t="shared" si="9"/>
        <v>1.1903681835148803</v>
      </c>
      <c r="M12" s="130"/>
      <c r="N12" s="130"/>
      <c r="AI12" s="1" t="s">
        <v>95</v>
      </c>
      <c r="AJ12" s="123" t="s">
        <v>94</v>
      </c>
      <c r="AK12" s="123" t="s">
        <v>14</v>
      </c>
      <c r="AL12" s="124">
        <v>5</v>
      </c>
      <c r="AM12" s="115">
        <f t="shared" si="4"/>
        <v>6.7515593220338994</v>
      </c>
      <c r="AN12" s="126">
        <v>1</v>
      </c>
      <c r="AO12" s="118">
        <f t="shared" si="5"/>
        <v>33.7577966101695</v>
      </c>
      <c r="AP12" s="206">
        <f t="shared" si="6"/>
        <v>33.7577966101695</v>
      </c>
      <c r="AQ12" s="1153">
        <f>VLOOKUP(AJ12,Marination_Ordering!$A:$J,6,FALSE)</f>
        <v>1</v>
      </c>
      <c r="AR12" s="1153">
        <f>VLOOKUP(AJ12,Marination_Ordering!$A:$J,10,FALSE)</f>
        <v>0.74</v>
      </c>
      <c r="AS12" s="174">
        <f t="shared" si="12"/>
        <v>33.7577966101695</v>
      </c>
      <c r="AT12" s="1153">
        <f t="shared" si="13"/>
        <v>2.4980769491525428E-2</v>
      </c>
    </row>
    <row r="13" spans="1:46" ht="14.25" customHeight="1" x14ac:dyDescent="0.3">
      <c r="A13" s="269" t="s">
        <v>182</v>
      </c>
      <c r="B13" s="113" t="s">
        <v>185</v>
      </c>
      <c r="C13" s="123" t="s">
        <v>14</v>
      </c>
      <c r="D13" s="124">
        <v>30</v>
      </c>
      <c r="E13" s="115">
        <f t="shared" si="7"/>
        <v>30.771017543859646</v>
      </c>
      <c r="F13" s="126">
        <v>1</v>
      </c>
      <c r="G13" s="118">
        <f t="shared" si="0"/>
        <v>923.13052631578933</v>
      </c>
      <c r="H13" s="119">
        <f t="shared" si="1"/>
        <v>923.13052631578933</v>
      </c>
      <c r="I13" s="80">
        <f>VLOOKUP(B13,All_Ingredients!$A$1:$F$149,6,FALSE())</f>
        <v>1</v>
      </c>
      <c r="J13" s="118">
        <f>VLOOKUP(B13,All_Ingredients!$A$1:$J$149,10,FALSE())</f>
        <v>17</v>
      </c>
      <c r="K13" s="121">
        <f t="shared" si="8"/>
        <v>0.92313052631578929</v>
      </c>
      <c r="L13" s="121">
        <f t="shared" si="9"/>
        <v>15.693218947368418</v>
      </c>
      <c r="M13" s="130"/>
      <c r="N13" s="130"/>
      <c r="AI13" s="1" t="s">
        <v>215</v>
      </c>
      <c r="AJ13" s="123" t="s">
        <v>216</v>
      </c>
      <c r="AK13" s="123" t="s">
        <v>14</v>
      </c>
      <c r="AL13" s="124">
        <v>3</v>
      </c>
      <c r="AM13" s="115">
        <f t="shared" si="4"/>
        <v>6.7515593220338994</v>
      </c>
      <c r="AN13" s="126">
        <v>1</v>
      </c>
      <c r="AO13" s="118">
        <f t="shared" si="5"/>
        <v>20.254677966101699</v>
      </c>
      <c r="AP13" s="206">
        <f t="shared" si="6"/>
        <v>20.254677966101699</v>
      </c>
      <c r="AQ13" s="1153">
        <f>VLOOKUP(AJ13,Marination_Ordering!$A:$J,6,FALSE)</f>
        <v>1</v>
      </c>
      <c r="AR13" s="1153">
        <f>VLOOKUP(AJ13,Marination_Ordering!$A:$J,10,FALSE)</f>
        <v>35</v>
      </c>
      <c r="AS13" s="174">
        <f t="shared" si="12"/>
        <v>20.254677966101699</v>
      </c>
      <c r="AT13" s="1153">
        <f t="shared" si="13"/>
        <v>0.70891372881355952</v>
      </c>
    </row>
    <row r="14" spans="1:46" ht="14.25" customHeight="1" x14ac:dyDescent="0.3">
      <c r="A14" s="269" t="s">
        <v>95</v>
      </c>
      <c r="B14" s="113" t="s">
        <v>94</v>
      </c>
      <c r="C14" s="123" t="s">
        <v>14</v>
      </c>
      <c r="D14" s="124">
        <v>13</v>
      </c>
      <c r="E14" s="115">
        <f t="shared" si="7"/>
        <v>30.771017543859646</v>
      </c>
      <c r="F14" s="126">
        <v>0.75</v>
      </c>
      <c r="G14" s="118">
        <f t="shared" si="0"/>
        <v>400.02322807017538</v>
      </c>
      <c r="H14" s="119">
        <f t="shared" si="1"/>
        <v>300.01742105263156</v>
      </c>
      <c r="I14" s="80">
        <f>VLOOKUP(B14,All_Ingredients!$A$1:$F$149,6,FALSE())</f>
        <v>1</v>
      </c>
      <c r="J14" s="118">
        <f>VLOOKUP(B14,All_Ingredients!$A$1:$J$149,10,FALSE())</f>
        <v>0.74</v>
      </c>
      <c r="K14" s="121">
        <f t="shared" si="8"/>
        <v>0.30001742105263157</v>
      </c>
      <c r="L14" s="121">
        <f t="shared" si="9"/>
        <v>0.22201289157894735</v>
      </c>
      <c r="M14" s="130"/>
      <c r="N14" s="130"/>
      <c r="AI14" s="1" t="s">
        <v>95</v>
      </c>
      <c r="AJ14" s="123" t="s">
        <v>127</v>
      </c>
      <c r="AK14" s="123" t="s">
        <v>14</v>
      </c>
      <c r="AL14" s="124">
        <v>10</v>
      </c>
      <c r="AM14" s="115">
        <f t="shared" si="4"/>
        <v>6.7515593220338994</v>
      </c>
      <c r="AN14" s="126">
        <v>1</v>
      </c>
      <c r="AO14" s="118">
        <f t="shared" si="5"/>
        <v>67.515593220338999</v>
      </c>
      <c r="AP14" s="206">
        <f t="shared" si="6"/>
        <v>67.515593220338999</v>
      </c>
      <c r="AQ14" s="1153">
        <f>VLOOKUP(AJ14,Marination_Ordering!$A:$J,6,FALSE)</f>
        <v>1</v>
      </c>
      <c r="AR14" s="1153">
        <f>VLOOKUP(AJ14,Marination_Ordering!$A:$J,10,FALSE)</f>
        <v>125</v>
      </c>
      <c r="AS14" s="174">
        <f t="shared" si="12"/>
        <v>67.515593220338999</v>
      </c>
      <c r="AT14" s="1153">
        <f t="shared" si="13"/>
        <v>8.4394491525423749</v>
      </c>
    </row>
    <row r="15" spans="1:46" ht="14.25" customHeight="1" x14ac:dyDescent="0.3">
      <c r="A15" s="269" t="s">
        <v>154</v>
      </c>
      <c r="B15" s="113" t="s">
        <v>167</v>
      </c>
      <c r="C15" s="123" t="s">
        <v>161</v>
      </c>
      <c r="D15" s="124">
        <v>350</v>
      </c>
      <c r="E15" s="115">
        <f t="shared" si="7"/>
        <v>30.771017543859646</v>
      </c>
      <c r="F15" s="126">
        <v>1</v>
      </c>
      <c r="G15" s="118">
        <f t="shared" si="0"/>
        <v>10769.856140350876</v>
      </c>
      <c r="H15" s="119">
        <f t="shared" si="1"/>
        <v>10769.856140350876</v>
      </c>
      <c r="I15" s="80">
        <f>VLOOKUP(B15,All_Ingredients!$A$1:$F$149,6,FALSE())</f>
        <v>1</v>
      </c>
      <c r="J15" s="118">
        <f>VLOOKUP(B15,All_Ingredients!$A$1:$J$149,10,FALSE())</f>
        <v>12.666666666666666</v>
      </c>
      <c r="K15" s="121">
        <f t="shared" si="8"/>
        <v>10.769856140350875</v>
      </c>
      <c r="L15" s="121">
        <f t="shared" si="9"/>
        <v>136.41817777777774</v>
      </c>
      <c r="M15" s="130"/>
      <c r="N15" s="130"/>
      <c r="AI15" s="1" t="s">
        <v>95</v>
      </c>
      <c r="AJ15" s="123" t="s">
        <v>123</v>
      </c>
      <c r="AK15" s="123" t="s">
        <v>14</v>
      </c>
      <c r="AL15" s="124">
        <v>5</v>
      </c>
      <c r="AM15" s="115">
        <f t="shared" si="4"/>
        <v>6.7515593220338994</v>
      </c>
      <c r="AN15" s="126">
        <v>1</v>
      </c>
      <c r="AO15" s="118">
        <f t="shared" si="5"/>
        <v>33.7577966101695</v>
      </c>
      <c r="AP15" s="206">
        <f t="shared" si="6"/>
        <v>33.7577966101695</v>
      </c>
      <c r="AQ15" s="1153">
        <f>VLOOKUP(AJ15,Marination_Ordering!$A:$J,6,FALSE)</f>
        <v>1</v>
      </c>
      <c r="AR15" s="1153">
        <f>VLOOKUP(AJ15,Marination_Ordering!$A:$J,10,FALSE)</f>
        <v>14</v>
      </c>
      <c r="AS15" s="174">
        <f t="shared" si="12"/>
        <v>33.7577966101695</v>
      </c>
      <c r="AT15" s="1153">
        <f t="shared" si="13"/>
        <v>0.47260915254237296</v>
      </c>
    </row>
    <row r="16" spans="1:46" ht="14.25" customHeight="1" x14ac:dyDescent="0.3">
      <c r="A16" s="269" t="s">
        <v>206</v>
      </c>
      <c r="B16" s="113" t="s">
        <v>205</v>
      </c>
      <c r="C16" s="123" t="s">
        <v>161</v>
      </c>
      <c r="D16" s="124">
        <v>250</v>
      </c>
      <c r="E16" s="115">
        <f t="shared" si="7"/>
        <v>30.771017543859646</v>
      </c>
      <c r="F16" s="126">
        <v>1</v>
      </c>
      <c r="G16" s="118">
        <f t="shared" si="0"/>
        <v>7692.7543859649113</v>
      </c>
      <c r="H16" s="119">
        <f t="shared" si="1"/>
        <v>7692.7543859649113</v>
      </c>
      <c r="I16" s="80">
        <f>VLOOKUP(B16,All_Ingredients!$A$1:$F$149,6,FALSE())</f>
        <v>1</v>
      </c>
      <c r="J16" s="118">
        <f>VLOOKUP(B16,All_Ingredients!$A$1:$J$149,10,FALSE())</f>
        <v>0</v>
      </c>
      <c r="K16" s="121">
        <f t="shared" si="8"/>
        <v>7.6927543859649115</v>
      </c>
      <c r="L16" s="121">
        <f t="shared" si="9"/>
        <v>0</v>
      </c>
      <c r="M16" s="130"/>
      <c r="N16" s="130"/>
      <c r="AI16" s="1" t="s">
        <v>56</v>
      </c>
      <c r="AJ16" s="123" t="s">
        <v>55</v>
      </c>
      <c r="AK16" s="123" t="s">
        <v>14</v>
      </c>
      <c r="AL16" s="124">
        <v>100</v>
      </c>
      <c r="AM16" s="115">
        <f t="shared" si="4"/>
        <v>6.7515593220338994</v>
      </c>
      <c r="AN16" s="126">
        <v>1</v>
      </c>
      <c r="AO16" s="118">
        <f t="shared" si="5"/>
        <v>675.15593220338997</v>
      </c>
      <c r="AP16" s="206">
        <f t="shared" si="6"/>
        <v>675.15593220338997</v>
      </c>
      <c r="AQ16" s="1153">
        <f>VLOOKUP(AJ16,Marination_Ordering!$A:$J,6,FALSE)</f>
        <v>0.87</v>
      </c>
      <c r="AR16" s="1153">
        <f>VLOOKUP(AJ16,Marination_Ordering!$A:$J,10,FALSE)</f>
        <v>3.2</v>
      </c>
      <c r="AS16" s="174">
        <f t="shared" si="12"/>
        <v>776.04130138320681</v>
      </c>
      <c r="AT16" s="1153">
        <f t="shared" si="13"/>
        <v>2.4833321644262618</v>
      </c>
    </row>
    <row r="17" spans="1:46" ht="14.25" customHeight="1" x14ac:dyDescent="0.3">
      <c r="A17" s="269" t="s">
        <v>154</v>
      </c>
      <c r="B17" s="113" t="s">
        <v>153</v>
      </c>
      <c r="C17" s="123" t="s">
        <v>14</v>
      </c>
      <c r="D17" s="124">
        <v>50</v>
      </c>
      <c r="E17" s="115">
        <f t="shared" si="7"/>
        <v>30.771017543859646</v>
      </c>
      <c r="F17" s="126">
        <v>1</v>
      </c>
      <c r="G17" s="118">
        <f t="shared" si="0"/>
        <v>1538.5508771929824</v>
      </c>
      <c r="H17" s="119">
        <f t="shared" si="1"/>
        <v>1538.5508771929824</v>
      </c>
      <c r="I17" s="80">
        <f>VLOOKUP(B17,All_Ingredients!$A$1:$F$149,6,FALSE())</f>
        <v>1</v>
      </c>
      <c r="J17" s="118">
        <f>VLOOKUP(B17,All_Ingredients!$A$1:$J$149,10,FALSE())</f>
        <v>30</v>
      </c>
      <c r="K17" s="121">
        <f t="shared" si="8"/>
        <v>1.5385508771929823</v>
      </c>
      <c r="L17" s="121">
        <f t="shared" si="9"/>
        <v>46.156526315789471</v>
      </c>
      <c r="M17" s="130"/>
      <c r="N17" s="130"/>
      <c r="AI17" s="1" t="s">
        <v>13</v>
      </c>
      <c r="AJ17" s="123" t="s">
        <v>762</v>
      </c>
      <c r="AK17" s="123" t="s">
        <v>14</v>
      </c>
      <c r="AL17" s="124">
        <v>150</v>
      </c>
      <c r="AM17" s="115">
        <f t="shared" si="4"/>
        <v>6.7515593220338994</v>
      </c>
      <c r="AN17" s="126">
        <v>1</v>
      </c>
      <c r="AO17" s="118">
        <f t="shared" si="5"/>
        <v>1012.7338983050849</v>
      </c>
      <c r="AP17" s="206">
        <f t="shared" si="6"/>
        <v>1012.7338983050849</v>
      </c>
      <c r="AQ17" s="1153">
        <f>VLOOKUP(AJ17,Marination_Ordering!$A:$J,6,FALSE)</f>
        <v>1</v>
      </c>
      <c r="AR17" s="1153">
        <f>VLOOKUP(AJ17,Marination_Ordering!$A:$J,10,FALSE)</f>
        <v>10.5</v>
      </c>
      <c r="AS17" s="174">
        <f t="shared" si="12"/>
        <v>1012.7338983050849</v>
      </c>
      <c r="AT17" s="1153">
        <f t="shared" si="13"/>
        <v>10.633705932203391</v>
      </c>
    </row>
    <row r="18" spans="1:46" ht="14.25" customHeight="1" x14ac:dyDescent="0.3">
      <c r="A18" s="269" t="s">
        <v>215</v>
      </c>
      <c r="B18" s="113" t="s">
        <v>216</v>
      </c>
      <c r="C18" s="123" t="s">
        <v>14</v>
      </c>
      <c r="D18" s="124">
        <v>2</v>
      </c>
      <c r="E18" s="115">
        <f t="shared" si="7"/>
        <v>30.771017543859646</v>
      </c>
      <c r="F18" s="126">
        <v>0.75</v>
      </c>
      <c r="G18" s="118">
        <f t="shared" si="0"/>
        <v>61.542035087719292</v>
      </c>
      <c r="H18" s="119">
        <f t="shared" si="1"/>
        <v>46.156526315789471</v>
      </c>
      <c r="I18" s="80">
        <f>VLOOKUP(B18,All_Ingredients!$A$1:$F$149,6,FALSE())</f>
        <v>1</v>
      </c>
      <c r="J18" s="118">
        <f>VLOOKUP(B18,All_Ingredients!$A$1:$J$149,10,FALSE())</f>
        <v>35</v>
      </c>
      <c r="K18" s="121">
        <f t="shared" si="8"/>
        <v>4.6156526315789467E-2</v>
      </c>
      <c r="L18" s="121">
        <f t="shared" si="9"/>
        <v>1.6154784210526314</v>
      </c>
      <c r="M18" s="130"/>
      <c r="N18" s="130"/>
      <c r="AI18" s="1" t="s">
        <v>206</v>
      </c>
      <c r="AJ18" s="123" t="s">
        <v>214</v>
      </c>
      <c r="AK18" s="123" t="s">
        <v>161</v>
      </c>
      <c r="AL18" s="124">
        <v>300</v>
      </c>
      <c r="AM18" s="115">
        <f t="shared" si="4"/>
        <v>6.7515593220338994</v>
      </c>
      <c r="AN18" s="126">
        <v>1</v>
      </c>
      <c r="AO18" s="118">
        <f t="shared" si="5"/>
        <v>2025.4677966101699</v>
      </c>
      <c r="AP18" s="206">
        <f t="shared" si="6"/>
        <v>2025.4677966101699</v>
      </c>
      <c r="AQ18" s="1153">
        <f>VLOOKUP(AJ18,Marination_Ordering!$A:$J,6,FALSE)</f>
        <v>1</v>
      </c>
      <c r="AR18" s="1153">
        <f>VLOOKUP(AJ18,Marination_Ordering!$A:$J,10,FALSE)</f>
        <v>5</v>
      </c>
      <c r="AS18" s="174">
        <f t="shared" si="12"/>
        <v>2025.4677966101699</v>
      </c>
      <c r="AT18" s="1153">
        <f t="shared" si="13"/>
        <v>10.127338983050848</v>
      </c>
    </row>
    <row r="19" spans="1:46" ht="14.25" customHeight="1" x14ac:dyDescent="0.3">
      <c r="A19" s="269" t="s">
        <v>95</v>
      </c>
      <c r="B19" s="285" t="s">
        <v>759</v>
      </c>
      <c r="C19" s="123" t="s">
        <v>14</v>
      </c>
      <c r="D19" s="124">
        <v>1</v>
      </c>
      <c r="E19" s="115">
        <f t="shared" si="7"/>
        <v>30.771017543859646</v>
      </c>
      <c r="F19" s="126">
        <v>1</v>
      </c>
      <c r="G19" s="118">
        <f t="shared" si="0"/>
        <v>30.771017543859646</v>
      </c>
      <c r="H19" s="119">
        <f t="shared" si="1"/>
        <v>30.771017543859646</v>
      </c>
      <c r="I19" s="80">
        <f>VLOOKUP(B19,All_Ingredients!$A$1:$F$149,6,FALSE())</f>
        <v>1</v>
      </c>
      <c r="J19" s="118">
        <f>VLOOKUP(B19,All_Ingredients!$A$1:$J$149,10,FALSE())</f>
        <v>52</v>
      </c>
      <c r="K19" s="121">
        <f t="shared" si="8"/>
        <v>3.0771017543859646E-2</v>
      </c>
      <c r="L19" s="121">
        <f t="shared" si="9"/>
        <v>1.6000929122807015</v>
      </c>
      <c r="M19" s="130"/>
      <c r="N19" s="130"/>
      <c r="AI19" s="1" t="s">
        <v>206</v>
      </c>
      <c r="AJ19" s="123" t="s">
        <v>210</v>
      </c>
      <c r="AK19" s="123" t="s">
        <v>161</v>
      </c>
      <c r="AL19" s="124">
        <v>50</v>
      </c>
      <c r="AM19" s="115">
        <f t="shared" si="4"/>
        <v>6.7515593220338994</v>
      </c>
      <c r="AN19" s="126">
        <v>1</v>
      </c>
      <c r="AO19" s="118">
        <f t="shared" si="5"/>
        <v>337.57796610169498</v>
      </c>
      <c r="AP19" s="206">
        <f t="shared" si="6"/>
        <v>337.57796610169498</v>
      </c>
      <c r="AQ19" s="1153">
        <f>VLOOKUP(AJ19,Marination_Ordering!$A:$J,6,FALSE)</f>
        <v>1</v>
      </c>
      <c r="AR19" s="1153">
        <f>VLOOKUP(AJ19,Marination_Ordering!$A:$J,10,FALSE)</f>
        <v>2.1621621621621623</v>
      </c>
      <c r="AS19" s="174">
        <f t="shared" si="12"/>
        <v>337.57796610169498</v>
      </c>
      <c r="AT19" s="1153">
        <f t="shared" si="13"/>
        <v>0.72989830508474596</v>
      </c>
    </row>
    <row r="20" spans="1:46" ht="14.25" customHeight="1" x14ac:dyDescent="0.3">
      <c r="A20" s="269" t="s">
        <v>95</v>
      </c>
      <c r="B20" s="285" t="s">
        <v>98</v>
      </c>
      <c r="C20" s="123" t="s">
        <v>14</v>
      </c>
      <c r="D20" s="124">
        <v>1</v>
      </c>
      <c r="E20" s="115">
        <f t="shared" si="7"/>
        <v>30.771017543859646</v>
      </c>
      <c r="F20" s="126">
        <v>1</v>
      </c>
      <c r="G20" s="118">
        <f t="shared" si="0"/>
        <v>30.771017543859646</v>
      </c>
      <c r="H20" s="119">
        <f t="shared" si="1"/>
        <v>30.771017543859646</v>
      </c>
      <c r="I20" s="80">
        <f>VLOOKUP(B20,All_Ingredients!$A$1:$F$149,6,FALSE())</f>
        <v>1</v>
      </c>
      <c r="J20" s="118">
        <f>VLOOKUP(B20,All_Ingredients!$A$1:$J$149,10,FALSE())</f>
        <v>38</v>
      </c>
      <c r="K20" s="121">
        <f t="shared" si="8"/>
        <v>3.0771017543859646E-2</v>
      </c>
      <c r="L20" s="121">
        <f t="shared" si="9"/>
        <v>1.1692986666666665</v>
      </c>
      <c r="M20" s="130"/>
      <c r="N20" s="130"/>
    </row>
    <row r="21" spans="1:46" ht="14.25" customHeight="1" x14ac:dyDescent="0.3">
      <c r="A21" s="269" t="s">
        <v>95</v>
      </c>
      <c r="B21" s="285" t="s">
        <v>104</v>
      </c>
      <c r="C21" s="123" t="s">
        <v>14</v>
      </c>
      <c r="D21" s="124">
        <v>1</v>
      </c>
      <c r="E21" s="115">
        <f t="shared" si="7"/>
        <v>30.771017543859646</v>
      </c>
      <c r="F21" s="126">
        <v>1</v>
      </c>
      <c r="G21" s="118">
        <f t="shared" si="0"/>
        <v>30.771017543859646</v>
      </c>
      <c r="H21" s="119">
        <f t="shared" si="1"/>
        <v>30.771017543859646</v>
      </c>
      <c r="I21" s="80">
        <f>VLOOKUP(B21,All_Ingredients!$A$1:$F$149,6,FALSE())</f>
        <v>1</v>
      </c>
      <c r="J21" s="118">
        <f>VLOOKUP(B21,All_Ingredients!$A$1:$J$149,10,FALSE())</f>
        <v>19</v>
      </c>
      <c r="K21" s="121">
        <f t="shared" si="8"/>
        <v>3.0771017543859646E-2</v>
      </c>
      <c r="L21" s="121">
        <f t="shared" si="9"/>
        <v>0.58464933333333324</v>
      </c>
      <c r="M21" s="130"/>
      <c r="N21" s="130"/>
    </row>
    <row r="22" spans="1:46" ht="14.25" customHeight="1" x14ac:dyDescent="0.3">
      <c r="A22" s="269" t="s">
        <v>95</v>
      </c>
      <c r="B22" s="285" t="s">
        <v>125</v>
      </c>
      <c r="C22" s="123" t="s">
        <v>14</v>
      </c>
      <c r="D22" s="124">
        <v>1</v>
      </c>
      <c r="E22" s="115">
        <f t="shared" si="7"/>
        <v>30.771017543859646</v>
      </c>
      <c r="F22" s="126">
        <v>1</v>
      </c>
      <c r="G22" s="118">
        <f t="shared" si="0"/>
        <v>30.771017543859646</v>
      </c>
      <c r="H22" s="119">
        <f t="shared" si="1"/>
        <v>30.771017543859646</v>
      </c>
      <c r="I22" s="80">
        <f>VLOOKUP(B22,All_Ingredients!$A$1:$F$149,6,FALSE())</f>
        <v>1</v>
      </c>
      <c r="J22" s="118">
        <f>VLOOKUP(B22,All_Ingredients!$A$1:$J$149,10,FALSE())</f>
        <v>37</v>
      </c>
      <c r="K22" s="121">
        <f t="shared" si="8"/>
        <v>3.0771017543859646E-2</v>
      </c>
      <c r="L22" s="121">
        <f t="shared" si="9"/>
        <v>1.1385276491228069</v>
      </c>
      <c r="M22" s="130"/>
      <c r="N22" s="130"/>
    </row>
    <row r="23" spans="1:46" ht="14.25" customHeight="1" x14ac:dyDescent="0.3">
      <c r="A23" s="269" t="s">
        <v>95</v>
      </c>
      <c r="B23" s="285" t="s">
        <v>121</v>
      </c>
      <c r="C23" s="123" t="s">
        <v>14</v>
      </c>
      <c r="D23" s="124">
        <v>0.5</v>
      </c>
      <c r="E23" s="115">
        <f t="shared" si="7"/>
        <v>30.771017543859646</v>
      </c>
      <c r="F23" s="126">
        <v>1</v>
      </c>
      <c r="G23" s="118">
        <f t="shared" si="0"/>
        <v>15.385508771929823</v>
      </c>
      <c r="H23" s="119">
        <f t="shared" si="1"/>
        <v>15.385508771929823</v>
      </c>
      <c r="I23" s="80">
        <f>VLOOKUP(B23,All_Ingredients!$A$1:$F$149,6,FALSE())</f>
        <v>1</v>
      </c>
      <c r="J23" s="118">
        <f>VLOOKUP(B23,All_Ingredients!$A$1:$J$149,10,FALSE())</f>
        <v>15</v>
      </c>
      <c r="K23" s="121">
        <f t="shared" si="8"/>
        <v>1.5385508771929823E-2</v>
      </c>
      <c r="L23" s="121">
        <f t="shared" si="9"/>
        <v>0.23078263157894735</v>
      </c>
      <c r="M23" s="130"/>
      <c r="N23" s="130"/>
    </row>
    <row r="24" spans="1:46" ht="14.25" customHeight="1" x14ac:dyDescent="0.3">
      <c r="A24" s="269" t="s">
        <v>95</v>
      </c>
      <c r="B24" s="122" t="s">
        <v>127</v>
      </c>
      <c r="C24" s="123" t="s">
        <v>14</v>
      </c>
      <c r="D24" s="124">
        <v>0.5</v>
      </c>
      <c r="E24" s="115">
        <f t="shared" si="7"/>
        <v>30.771017543859646</v>
      </c>
      <c r="F24" s="126">
        <v>1</v>
      </c>
      <c r="G24" s="118">
        <f t="shared" si="0"/>
        <v>15.385508771929823</v>
      </c>
      <c r="H24" s="119">
        <f t="shared" si="1"/>
        <v>15.385508771929823</v>
      </c>
      <c r="I24" s="80">
        <f>VLOOKUP(B24,All_Ingredients!$A$1:$F$149,6,FALSE())</f>
        <v>1</v>
      </c>
      <c r="J24" s="118">
        <f>VLOOKUP(B24,All_Ingredients!$A$1:$J$149,10,FALSE())</f>
        <v>125</v>
      </c>
      <c r="K24" s="121">
        <f t="shared" si="8"/>
        <v>1.5385508771929823E-2</v>
      </c>
      <c r="L24" s="121">
        <f t="shared" si="9"/>
        <v>1.9231885964912279</v>
      </c>
      <c r="M24" s="130"/>
      <c r="N24" s="130"/>
      <c r="Z24" s="1265"/>
    </row>
    <row r="25" spans="1:46" ht="14.25" customHeight="1" x14ac:dyDescent="0.35">
      <c r="A25" s="269" t="s">
        <v>192</v>
      </c>
      <c r="B25" s="418" t="s">
        <v>200</v>
      </c>
      <c r="C25" s="992" t="s">
        <v>161</v>
      </c>
      <c r="D25" s="124">
        <v>50</v>
      </c>
      <c r="E25" s="115">
        <f t="shared" si="7"/>
        <v>30.771017543859646</v>
      </c>
      <c r="F25" s="126">
        <v>1</v>
      </c>
      <c r="G25" s="118">
        <f t="shared" si="0"/>
        <v>1538.5508771929824</v>
      </c>
      <c r="H25" s="119">
        <f t="shared" si="1"/>
        <v>1538.5508771929824</v>
      </c>
      <c r="I25" s="80">
        <f>VLOOKUP(B25,All_Ingredients!$A$1:$F$149,6,FALSE())</f>
        <v>1</v>
      </c>
      <c r="J25" s="118">
        <f>VLOOKUP(B25,All_Ingredients!$A$1:$J$149,10,FALSE())</f>
        <v>3.25</v>
      </c>
      <c r="K25" s="121">
        <f t="shared" si="8"/>
        <v>1.5385508771929823</v>
      </c>
      <c r="L25" s="121">
        <f t="shared" si="9"/>
        <v>5.0002903508771928</v>
      </c>
      <c r="M25" s="130"/>
      <c r="N25" s="130"/>
      <c r="R25" s="1440" t="s">
        <v>445</v>
      </c>
      <c r="S25" s="1444"/>
      <c r="T25" s="1444"/>
      <c r="U25" s="1444"/>
      <c r="V25" s="1132"/>
      <c r="Z25" s="140" t="s">
        <v>256</v>
      </c>
      <c r="AA25" s="141">
        <v>1</v>
      </c>
      <c r="AB25" s="140" t="s">
        <v>253</v>
      </c>
      <c r="AC25" s="142">
        <f>(AA25*(4/3))*AF30+(AA30*(AB28/R1))</f>
        <v>3.3088797805770676E-2</v>
      </c>
      <c r="AD25" s="14"/>
    </row>
    <row r="26" spans="1:46" ht="14.25" customHeight="1" x14ac:dyDescent="0.3">
      <c r="B26" s="356"/>
      <c r="C26" s="132"/>
      <c r="D26" s="253"/>
      <c r="E26" s="332"/>
      <c r="F26" s="135"/>
      <c r="G26" s="136"/>
      <c r="H26" s="137"/>
      <c r="I26" s="91"/>
      <c r="J26" s="138"/>
      <c r="K26" s="91"/>
      <c r="L26" s="136"/>
      <c r="M26" s="130"/>
      <c r="N26" s="130"/>
      <c r="R26" s="1459" t="s">
        <v>257</v>
      </c>
      <c r="S26" s="1444"/>
      <c r="T26" s="1444"/>
      <c r="U26" s="1444"/>
      <c r="V26" s="1132"/>
      <c r="Z26" s="14"/>
      <c r="AA26" s="14"/>
      <c r="AB26" s="14"/>
      <c r="AC26" s="14"/>
      <c r="AD26" s="14"/>
    </row>
    <row r="27" spans="1:46" ht="14.25" customHeight="1" thickBot="1" x14ac:dyDescent="0.35">
      <c r="B27" s="132"/>
      <c r="C27" s="132"/>
      <c r="D27" s="253"/>
      <c r="E27" s="332"/>
      <c r="F27" s="135"/>
      <c r="G27" s="136"/>
      <c r="H27" s="137"/>
      <c r="I27" s="91"/>
      <c r="J27" s="138"/>
      <c r="K27" s="91"/>
      <c r="L27" s="136"/>
      <c r="M27" s="130"/>
      <c r="N27" s="130"/>
      <c r="R27" s="144" t="s">
        <v>258</v>
      </c>
      <c r="S27" s="145" t="s">
        <v>259</v>
      </c>
      <c r="T27" s="145" t="s">
        <v>260</v>
      </c>
      <c r="U27" s="145" t="s">
        <v>261</v>
      </c>
      <c r="V27" s="145" t="s">
        <v>808</v>
      </c>
      <c r="W27" s="145" t="s">
        <v>817</v>
      </c>
      <c r="Z27" s="140" t="s">
        <v>262</v>
      </c>
      <c r="AA27" s="146" t="s">
        <v>808</v>
      </c>
      <c r="AB27" s="146" t="s">
        <v>263</v>
      </c>
      <c r="AC27" s="146" t="s">
        <v>264</v>
      </c>
      <c r="AD27" s="146" t="s">
        <v>265</v>
      </c>
      <c r="AE27" s="1167" t="s">
        <v>817</v>
      </c>
      <c r="AF27" s="146" t="s">
        <v>266</v>
      </c>
    </row>
    <row r="28" spans="1:46" ht="14.25" customHeight="1" thickBot="1" x14ac:dyDescent="0.35">
      <c r="I28" s="91"/>
      <c r="J28" s="138"/>
      <c r="K28" s="91"/>
      <c r="L28" s="136"/>
      <c r="M28" s="130"/>
      <c r="N28" s="130"/>
      <c r="R28" s="147" t="s">
        <v>267</v>
      </c>
      <c r="S28" s="754">
        <f>U28*S40</f>
        <v>39065.200000000004</v>
      </c>
      <c r="T28" s="754">
        <f>U28*U40</f>
        <v>11734.800000000001</v>
      </c>
      <c r="U28" s="1344">
        <f>$Z$1</f>
        <v>50800</v>
      </c>
      <c r="V28" s="148">
        <f>SUM(AP5:AP13)</f>
        <v>3936.1590847457633</v>
      </c>
      <c r="W28" s="148">
        <f>SUM(H37:H38)</f>
        <v>373.43</v>
      </c>
      <c r="Z28" s="150"/>
      <c r="AA28" s="1186"/>
      <c r="AB28" s="151">
        <f>AA25*$S$40</f>
        <v>0.76900000000000002</v>
      </c>
      <c r="AC28" s="151">
        <f>AA25*$U$40</f>
        <v>0.23100000000000001</v>
      </c>
      <c r="AD28" s="152">
        <f>AA25*(1/3)</f>
        <v>0.33333333333333331</v>
      </c>
      <c r="AE28" s="1169"/>
      <c r="AF28" s="153">
        <f>SUM(AB28:AD28)</f>
        <v>1.3333333333333333</v>
      </c>
    </row>
    <row r="29" spans="1:46" ht="14.25" customHeight="1" thickBot="1" x14ac:dyDescent="0.35">
      <c r="I29" s="91"/>
      <c r="J29" s="138"/>
      <c r="K29" s="91"/>
      <c r="L29" s="136"/>
      <c r="M29" s="130"/>
      <c r="N29" s="130"/>
      <c r="R29" s="147" t="s">
        <v>268</v>
      </c>
      <c r="S29" s="154"/>
      <c r="T29" s="148">
        <f>U28*(1/3)</f>
        <v>16933.333333333332</v>
      </c>
      <c r="U29" s="754">
        <f>T29</f>
        <v>16933.333333333332</v>
      </c>
      <c r="V29" s="148"/>
      <c r="W29" s="148"/>
      <c r="Z29" s="150"/>
      <c r="AA29" s="1186"/>
      <c r="AB29" s="155">
        <f>AB28/$AF$28</f>
        <v>0.5767500000000001</v>
      </c>
      <c r="AC29" s="155">
        <f>AC28/$AF$28</f>
        <v>0.17325000000000002</v>
      </c>
      <c r="AD29" s="155">
        <f>AD28/$AF$28</f>
        <v>0.25</v>
      </c>
      <c r="AE29" s="1173"/>
      <c r="AF29" s="155">
        <f>AF28/$AF$28</f>
        <v>1</v>
      </c>
    </row>
    <row r="30" spans="1:46" ht="14.25" customHeight="1" thickBot="1" x14ac:dyDescent="0.35">
      <c r="I30" s="91"/>
      <c r="J30" s="138"/>
      <c r="K30" s="91"/>
      <c r="L30" s="136"/>
      <c r="M30" s="130"/>
      <c r="N30" s="130"/>
      <c r="R30" s="147" t="s">
        <v>269</v>
      </c>
      <c r="S30" s="1343">
        <f>U30*S40</f>
        <v>769</v>
      </c>
      <c r="T30" s="754">
        <f>(U30*U40)+(U30*(1/3))</f>
        <v>564.33333333333326</v>
      </c>
      <c r="U30" s="1329">
        <f>$AB$1</f>
        <v>1000</v>
      </c>
      <c r="V30" s="1124"/>
      <c r="W30" s="1124"/>
      <c r="Z30" s="140" t="s">
        <v>270</v>
      </c>
      <c r="AA30" s="1281">
        <f>V35/(S32/R1)</f>
        <v>9.4076242000621312E-4</v>
      </c>
      <c r="AB30" s="156">
        <f>S35/(S32)</f>
        <v>3.3701221915648408E-2</v>
      </c>
      <c r="AC30" s="157">
        <f>T35/T32</f>
        <v>1.0442185298068089E-2</v>
      </c>
      <c r="AD30" s="157">
        <f>T35/T32</f>
        <v>1.0442185298068089E-2</v>
      </c>
      <c r="AE30" s="1180">
        <f>W35/U32</f>
        <v>4.0128558699987281E-5</v>
      </c>
      <c r="AF30" s="1182">
        <f>SUMPRODUCT(AB30:AD30,AB29:AD29)+AE30</f>
        <v>2.3896963225957527E-2</v>
      </c>
    </row>
    <row r="31" spans="1:46" ht="14.25" customHeight="1" thickBot="1" x14ac:dyDescent="0.35">
      <c r="I31" s="91"/>
      <c r="J31" s="138"/>
      <c r="K31" s="91"/>
      <c r="L31" s="136"/>
      <c r="M31" s="130"/>
      <c r="N31" s="130"/>
      <c r="R31" s="757" t="s">
        <v>271</v>
      </c>
      <c r="S31" s="154"/>
      <c r="T31" s="148"/>
      <c r="U31" s="148"/>
      <c r="V31" s="148"/>
      <c r="W31" s="148"/>
    </row>
    <row r="32" spans="1:46" ht="14.25" customHeight="1" thickBot="1" x14ac:dyDescent="0.35">
      <c r="I32" s="91"/>
      <c r="J32" s="138"/>
      <c r="K32" s="91"/>
      <c r="L32" s="136"/>
      <c r="M32" s="130"/>
      <c r="N32" s="130"/>
      <c r="R32" s="159" t="s">
        <v>261</v>
      </c>
      <c r="S32" s="148">
        <f>SUM(S28:S30)</f>
        <v>39834.200000000004</v>
      </c>
      <c r="T32" s="148">
        <f>SUM(T28:T30)</f>
        <v>29232.466666666664</v>
      </c>
      <c r="U32" s="148">
        <f>SUM(S32:T32)</f>
        <v>69066.666666666672</v>
      </c>
      <c r="V32" s="148"/>
      <c r="W32" s="148">
        <f>SUM(W28:W30)</f>
        <v>373.43</v>
      </c>
    </row>
    <row r="33" spans="2:23" ht="14.25" customHeight="1" thickBot="1" x14ac:dyDescent="0.35">
      <c r="I33" s="91"/>
      <c r="J33" s="138"/>
      <c r="K33" s="91"/>
      <c r="L33" s="136"/>
      <c r="M33" s="130"/>
      <c r="N33" s="130"/>
      <c r="R33" s="160" t="s">
        <v>272</v>
      </c>
      <c r="S33" s="154"/>
      <c r="T33" s="154">
        <f>F88+F115+F142</f>
        <v>0</v>
      </c>
      <c r="U33" s="154"/>
      <c r="V33" s="154"/>
      <c r="W33" s="154"/>
    </row>
    <row r="34" spans="2:23" ht="14.25" customHeight="1" thickBot="1" x14ac:dyDescent="0.35">
      <c r="I34" s="91"/>
      <c r="J34" s="138"/>
      <c r="K34" s="91"/>
      <c r="L34" s="136"/>
      <c r="M34" s="130"/>
      <c r="N34" s="130"/>
      <c r="R34" s="161" t="s">
        <v>273</v>
      </c>
      <c r="S34" s="154"/>
      <c r="T34" s="148">
        <f>T33-(T28+T29)</f>
        <v>-28668.133333333331</v>
      </c>
      <c r="U34" s="154"/>
      <c r="V34" s="154"/>
      <c r="W34" s="154"/>
    </row>
    <row r="35" spans="2:23" ht="14.25" customHeight="1" thickBot="1" x14ac:dyDescent="0.35">
      <c r="B35" s="1484" t="s">
        <v>692</v>
      </c>
      <c r="C35" s="1484"/>
      <c r="D35" s="1484"/>
      <c r="E35" s="1484"/>
      <c r="F35" s="1484"/>
      <c r="G35" s="871"/>
      <c r="H35" s="872"/>
      <c r="I35" s="877"/>
      <c r="J35" s="877"/>
      <c r="K35" s="877"/>
      <c r="L35" s="877"/>
      <c r="M35" s="130"/>
      <c r="N35" s="130"/>
      <c r="R35" s="162" t="s">
        <v>253</v>
      </c>
      <c r="S35" s="1125">
        <f>$L$5</f>
        <v>1342.461214032322</v>
      </c>
      <c r="T35" s="1125">
        <f>SUM(L6:L25)</f>
        <v>305.2508336529321</v>
      </c>
      <c r="U35" s="1125">
        <f>S35+T35+V35+W35</f>
        <v>1713.9997263389212</v>
      </c>
      <c r="V35" s="1125">
        <f>SUM(AT6:AT19)</f>
        <v>63.51613286612119</v>
      </c>
      <c r="W35" s="148">
        <f>SUM(L37:L38)</f>
        <v>2.7715457875457883</v>
      </c>
    </row>
    <row r="36" spans="2:23" ht="14.25" customHeight="1" x14ac:dyDescent="0.3">
      <c r="B36" s="848" t="s">
        <v>245</v>
      </c>
      <c r="C36" s="848" t="s">
        <v>321</v>
      </c>
      <c r="D36" s="850" t="s">
        <v>645</v>
      </c>
      <c r="E36" s="847" t="s">
        <v>646</v>
      </c>
      <c r="F36" s="850" t="s">
        <v>647</v>
      </c>
      <c r="G36" s="873"/>
      <c r="H36" s="850" t="s">
        <v>647</v>
      </c>
      <c r="I36" s="850" t="s">
        <v>250</v>
      </c>
      <c r="J36" s="850" t="s">
        <v>251</v>
      </c>
      <c r="K36" s="850" t="s">
        <v>252</v>
      </c>
      <c r="L36" s="850" t="s">
        <v>253</v>
      </c>
      <c r="M36" s="130"/>
      <c r="N36" s="130"/>
    </row>
    <row r="37" spans="2:23" ht="14.25" customHeight="1" x14ac:dyDescent="0.3">
      <c r="B37" s="843" t="s">
        <v>716</v>
      </c>
      <c r="C37" s="844" t="s">
        <v>14</v>
      </c>
      <c r="D37" s="845">
        <v>7.0000000000000007E-2</v>
      </c>
      <c r="E37" s="843">
        <f>$AD$1</f>
        <v>349</v>
      </c>
      <c r="F37" s="843">
        <f>D37*E37</f>
        <v>24.430000000000003</v>
      </c>
      <c r="G37" s="867"/>
      <c r="H37" s="843">
        <f>F37</f>
        <v>24.430000000000003</v>
      </c>
      <c r="I37" s="843">
        <f>VLOOKUP(B37,All_Ingredients!$A$1:$F$149,6,FALSE())</f>
        <v>0.65</v>
      </c>
      <c r="J37" s="843">
        <f>VLOOKUP(B37,All_Ingredients!$A$1:$J$149,10,FALSE())</f>
        <v>45</v>
      </c>
      <c r="K37" s="843">
        <f>(H37/I37)/1000</f>
        <v>3.758461538461539E-2</v>
      </c>
      <c r="L37" s="843">
        <f>K37*J37</f>
        <v>1.6913076923076926</v>
      </c>
      <c r="M37" s="130"/>
      <c r="N37" s="130"/>
    </row>
    <row r="38" spans="2:23" ht="14.25" customHeight="1" x14ac:dyDescent="0.3">
      <c r="B38" s="843" t="s">
        <v>19</v>
      </c>
      <c r="C38" s="844" t="s">
        <v>14</v>
      </c>
      <c r="D38" s="845">
        <v>1</v>
      </c>
      <c r="E38" s="843">
        <f>$AD$1</f>
        <v>349</v>
      </c>
      <c r="F38" s="843">
        <f>D38*E38</f>
        <v>349</v>
      </c>
      <c r="H38" s="843">
        <f>F38</f>
        <v>349</v>
      </c>
      <c r="I38" s="843">
        <f>VLOOKUP(B38,All_Ingredients!$A$1:$F$149,6,FALSE())</f>
        <v>0.84</v>
      </c>
      <c r="J38" s="843">
        <f>VLOOKUP(B38,All_Ingredients!$A$1:$J$149,10,FALSE())</f>
        <v>2.6</v>
      </c>
      <c r="K38" s="843">
        <f>(H38/I38)/1000</f>
        <v>0.4154761904761905</v>
      </c>
      <c r="L38" s="843">
        <f>K38*J38</f>
        <v>1.0802380952380954</v>
      </c>
      <c r="M38" s="130"/>
      <c r="N38" s="130"/>
    </row>
    <row r="39" spans="2:23" ht="14.25" customHeight="1" x14ac:dyDescent="0.3">
      <c r="I39" s="91"/>
      <c r="J39" s="138"/>
      <c r="K39" s="91"/>
      <c r="L39" s="136"/>
      <c r="M39" s="130"/>
      <c r="N39" s="130"/>
      <c r="S39" s="499"/>
      <c r="U39" s="499"/>
    </row>
    <row r="40" spans="2:23" ht="18.75" customHeight="1" x14ac:dyDescent="0.3">
      <c r="I40" s="91"/>
      <c r="J40" s="138"/>
      <c r="K40" s="91"/>
      <c r="L40" s="136"/>
      <c r="M40" s="130"/>
      <c r="N40" s="130"/>
      <c r="Q40" s="14"/>
      <c r="R40" s="164" t="s">
        <v>274</v>
      </c>
      <c r="S40" s="534">
        <v>0.76900000000000002</v>
      </c>
      <c r="T40" s="164" t="s">
        <v>275</v>
      </c>
      <c r="U40" s="534">
        <v>0.23100000000000001</v>
      </c>
      <c r="V40" s="167">
        <f>S40+U40</f>
        <v>1</v>
      </c>
      <c r="W40" s="14"/>
    </row>
    <row r="41" spans="2:23" ht="14.25" customHeight="1" x14ac:dyDescent="0.3">
      <c r="I41" s="91"/>
      <c r="J41" s="138"/>
      <c r="K41" s="91"/>
      <c r="L41" s="136"/>
      <c r="M41" s="130"/>
      <c r="N41" s="130"/>
      <c r="Q41" s="14"/>
      <c r="R41" s="14"/>
      <c r="S41" s="14"/>
      <c r="T41" s="14"/>
      <c r="U41" s="168"/>
      <c r="V41" s="14"/>
      <c r="W41" s="14"/>
    </row>
    <row r="42" spans="2:23" ht="14.25" customHeight="1" x14ac:dyDescent="0.3">
      <c r="I42" s="91"/>
      <c r="J42" s="138"/>
      <c r="K42" s="91"/>
      <c r="L42" s="136"/>
      <c r="M42" s="130"/>
      <c r="N42" s="130"/>
      <c r="Q42" s="14"/>
      <c r="R42" s="14"/>
      <c r="S42" s="14"/>
      <c r="T42" s="14"/>
      <c r="U42" s="14"/>
      <c r="V42" s="14"/>
      <c r="W42" s="14"/>
    </row>
    <row r="43" spans="2:23" ht="14.25" customHeight="1" thickBot="1" x14ac:dyDescent="0.35">
      <c r="I43" s="91"/>
      <c r="J43" s="138"/>
      <c r="K43" s="91"/>
      <c r="L43" s="136"/>
      <c r="M43" s="130"/>
      <c r="N43" s="130"/>
      <c r="Q43" s="169" t="s">
        <v>276</v>
      </c>
      <c r="R43" s="169" t="s">
        <v>277</v>
      </c>
      <c r="S43" s="169" t="s">
        <v>278</v>
      </c>
      <c r="T43" s="169" t="s">
        <v>279</v>
      </c>
      <c r="U43" s="169" t="s">
        <v>280</v>
      </c>
      <c r="V43" s="169" t="s">
        <v>281</v>
      </c>
      <c r="W43" s="257" t="s">
        <v>282</v>
      </c>
    </row>
    <row r="44" spans="2:23" ht="14.25" customHeight="1" thickBot="1" x14ac:dyDescent="0.35">
      <c r="I44" s="91"/>
      <c r="J44" s="138"/>
      <c r="K44" s="91"/>
      <c r="L44" s="136"/>
      <c r="M44" s="130"/>
      <c r="N44" s="130"/>
      <c r="Q44" s="1338">
        <v>17728</v>
      </c>
      <c r="R44" s="172">
        <f>D51</f>
        <v>10000</v>
      </c>
      <c r="S44" s="494">
        <v>0.40909090909090912</v>
      </c>
      <c r="T44" s="494">
        <v>0.59090909090909094</v>
      </c>
      <c r="U44" s="241">
        <f>R44*S44</f>
        <v>4090.909090909091</v>
      </c>
      <c r="V44" s="175">
        <f>R44*T44</f>
        <v>5909.090909090909</v>
      </c>
      <c r="W44" s="259">
        <f>Q44-U44</f>
        <v>13637.090909090908</v>
      </c>
    </row>
    <row r="45" spans="2:23" ht="14.25" customHeight="1" x14ac:dyDescent="0.3">
      <c r="I45" s="91"/>
      <c r="J45" s="138"/>
      <c r="K45" s="91"/>
      <c r="L45" s="136"/>
      <c r="M45" s="130"/>
      <c r="N45" s="130"/>
    </row>
    <row r="46" spans="2:23" ht="14.25" customHeight="1" x14ac:dyDescent="0.3">
      <c r="I46" s="91"/>
      <c r="J46" s="138"/>
      <c r="K46" s="91"/>
      <c r="L46" s="136"/>
      <c r="M46" s="130"/>
      <c r="N46" s="130"/>
    </row>
    <row r="47" spans="2:23" ht="14.25" customHeight="1" x14ac:dyDescent="0.3">
      <c r="B47" s="132"/>
      <c r="C47" s="132"/>
      <c r="D47" s="253"/>
      <c r="E47" s="332"/>
      <c r="F47" s="135"/>
      <c r="G47" s="136"/>
      <c r="H47" s="137"/>
      <c r="I47" s="91"/>
      <c r="J47" s="138"/>
      <c r="K47" s="91"/>
      <c r="L47" s="136"/>
      <c r="M47" s="130"/>
      <c r="N47" s="130"/>
    </row>
    <row r="48" spans="2:23" ht="14.25" customHeight="1" x14ac:dyDescent="0.3">
      <c r="B48" s="132"/>
      <c r="C48" s="132"/>
      <c r="D48" s="253"/>
      <c r="E48" s="332"/>
      <c r="F48" s="135"/>
      <c r="G48" s="136"/>
      <c r="H48" s="137"/>
      <c r="I48" s="91"/>
      <c r="J48" s="138"/>
      <c r="K48" s="91"/>
      <c r="L48" s="136"/>
      <c r="M48" s="130"/>
      <c r="N48" s="130"/>
    </row>
    <row r="49" spans="1:12" ht="14.25" customHeight="1" x14ac:dyDescent="0.3">
      <c r="B49" s="131"/>
      <c r="E49" s="99"/>
      <c r="F49" s="99"/>
      <c r="L49" s="99"/>
    </row>
    <row r="50" spans="1:12" ht="14.25" customHeight="1" x14ac:dyDescent="0.3">
      <c r="B50" s="177"/>
      <c r="C50" s="144" t="s">
        <v>237</v>
      </c>
      <c r="D50" s="144" t="s">
        <v>283</v>
      </c>
      <c r="F50" s="99"/>
      <c r="G50" s="144" t="s">
        <v>284</v>
      </c>
      <c r="H50" s="144" t="s">
        <v>237</v>
      </c>
      <c r="I50" s="144" t="s">
        <v>285</v>
      </c>
      <c r="J50" s="144" t="s">
        <v>286</v>
      </c>
    </row>
    <row r="51" spans="1:12" ht="14.75" customHeight="1" x14ac:dyDescent="0.3">
      <c r="B51" s="179" t="s">
        <v>287</v>
      </c>
      <c r="C51" s="180">
        <f>10/$K$1</f>
        <v>10.526315789473685</v>
      </c>
      <c r="D51" s="181">
        <f>$C$1*10</f>
        <v>10000</v>
      </c>
      <c r="E51" s="182"/>
      <c r="F51" s="99"/>
      <c r="G51" s="179" t="s">
        <v>287</v>
      </c>
      <c r="H51" s="276">
        <f>I51/$D$5</f>
        <v>10</v>
      </c>
      <c r="I51" s="180">
        <f t="shared" ref="I51:I56" si="14">J51/$R$1</f>
        <v>23113.713405238828</v>
      </c>
      <c r="J51" s="180">
        <f>$W$44</f>
        <v>13637.090909090908</v>
      </c>
    </row>
    <row r="52" spans="1:12" ht="14.25" customHeight="1" x14ac:dyDescent="0.3">
      <c r="B52" s="230" t="s">
        <v>266</v>
      </c>
      <c r="C52" s="231">
        <f>$I$1</f>
        <v>30.771017543859646</v>
      </c>
      <c r="D52" s="232">
        <f>$E$1</f>
        <v>29232.466666666664</v>
      </c>
      <c r="E52" s="99"/>
      <c r="F52" s="99"/>
      <c r="G52" s="147" t="s">
        <v>266</v>
      </c>
      <c r="H52" s="209">
        <f>I52/$D$5</f>
        <v>29.210188789931212</v>
      </c>
      <c r="I52" s="175">
        <f t="shared" si="14"/>
        <v>67515.593220338997</v>
      </c>
      <c r="J52" s="183">
        <f>$S$32</f>
        <v>39834.200000000004</v>
      </c>
    </row>
    <row r="53" spans="1:12" ht="14.25" customHeight="1" x14ac:dyDescent="0.3">
      <c r="B53" s="230" t="s">
        <v>288</v>
      </c>
      <c r="C53" s="233">
        <f>MIN(C52, C51)</f>
        <v>10.526315789473685</v>
      </c>
      <c r="D53" s="232">
        <f>(C53*$K$1)*$C$1</f>
        <v>10000</v>
      </c>
      <c r="E53" s="99"/>
      <c r="F53" s="99"/>
      <c r="G53" s="147" t="s">
        <v>288</v>
      </c>
      <c r="H53" s="186">
        <f>MIN(H52,H51)</f>
        <v>10</v>
      </c>
      <c r="I53" s="175">
        <f t="shared" si="14"/>
        <v>23113.713405238828</v>
      </c>
      <c r="J53" s="175">
        <f>MIN(J52,J51)</f>
        <v>13637.090909090908</v>
      </c>
    </row>
    <row r="54" spans="1:12" ht="14.25" customHeight="1" x14ac:dyDescent="0.3">
      <c r="B54" s="230" t="s">
        <v>289</v>
      </c>
      <c r="C54" s="233">
        <f>MIN(MAX(C52-C53,0),C51)</f>
        <v>10.526315789473685</v>
      </c>
      <c r="D54" s="232">
        <f>(C54*$K$1)*$C$1</f>
        <v>10000</v>
      </c>
      <c r="E54" s="99"/>
      <c r="F54" s="99"/>
      <c r="G54" s="147" t="s">
        <v>289</v>
      </c>
      <c r="H54" s="186">
        <f>MIN(MAX(H52-H53),H51)</f>
        <v>10</v>
      </c>
      <c r="I54" s="175">
        <f t="shared" si="14"/>
        <v>23113.713405238828</v>
      </c>
      <c r="J54" s="175">
        <f>MIN(MAX(J52-J53),J51)</f>
        <v>13637.090909090908</v>
      </c>
    </row>
    <row r="55" spans="1:12" ht="14.25" customHeight="1" x14ac:dyDescent="0.3">
      <c r="B55" s="230" t="s">
        <v>290</v>
      </c>
      <c r="C55" s="233">
        <f>MIN(MAX(C52-C53-C54,0),C51)</f>
        <v>9.7183859649122759</v>
      </c>
      <c r="D55" s="232">
        <f>(C55*$K$1)*$C$1</f>
        <v>9232.4666666666617</v>
      </c>
      <c r="E55" s="99"/>
      <c r="F55" s="99"/>
      <c r="G55" s="144" t="s">
        <v>290</v>
      </c>
      <c r="H55" s="186">
        <f>MIN(MAX(H52-H53-H54),H51)</f>
        <v>9.2101887899312125</v>
      </c>
      <c r="I55" s="175">
        <f t="shared" si="14"/>
        <v>21288.166409861336</v>
      </c>
      <c r="J55" s="175">
        <f>MIN(MAX(J52-J53-J54),J51)</f>
        <v>12560.018181818188</v>
      </c>
    </row>
    <row r="56" spans="1:12" ht="14.25" customHeight="1" x14ac:dyDescent="0.3">
      <c r="B56" s="230" t="s">
        <v>297</v>
      </c>
      <c r="C56" s="233">
        <f>MIN(MAX(C52-C53-C54-C55,0),C51)</f>
        <v>0</v>
      </c>
      <c r="D56" s="232">
        <f>(C56*$K$1)*$C$1</f>
        <v>0</v>
      </c>
      <c r="E56" s="99"/>
      <c r="F56" s="99"/>
      <c r="G56" s="144" t="s">
        <v>297</v>
      </c>
      <c r="H56" s="186">
        <f>MIN(MAX(H52-H53-H54-H55),H51)</f>
        <v>0</v>
      </c>
      <c r="I56" s="175">
        <f t="shared" si="14"/>
        <v>0</v>
      </c>
      <c r="J56" s="175">
        <f>MIN(MAX(J52-J53-J54-J55),J51)</f>
        <v>0</v>
      </c>
    </row>
    <row r="57" spans="1:12" ht="14.25" customHeight="1" x14ac:dyDescent="0.3">
      <c r="B57" s="99"/>
      <c r="E57" s="99"/>
      <c r="F57" s="99"/>
    </row>
    <row r="58" spans="1:12" ht="14.75" customHeight="1" x14ac:dyDescent="0.3">
      <c r="B58" s="99"/>
      <c r="E58" s="99"/>
      <c r="F58" s="99"/>
    </row>
    <row r="59" spans="1:12" ht="14.75" customHeight="1" x14ac:dyDescent="0.3">
      <c r="B59" s="99"/>
      <c r="E59" s="99"/>
      <c r="F59" s="99"/>
    </row>
    <row r="60" spans="1:12" ht="14.75" customHeight="1" x14ac:dyDescent="0.3">
      <c r="B60" s="99"/>
      <c r="E60" s="99"/>
      <c r="F60" s="99"/>
    </row>
    <row r="61" spans="1:12" ht="14.75" customHeight="1" x14ac:dyDescent="0.3">
      <c r="B61" s="99"/>
      <c r="E61" s="99"/>
      <c r="F61" s="99"/>
    </row>
    <row r="62" spans="1:12" ht="14.75" customHeight="1" x14ac:dyDescent="0.3">
      <c r="A62" s="923"/>
      <c r="B62" s="1438" t="str">
        <f>"دجاج هندي بالزبدة 1 / " &amp; COUNTIF($C$53:$C$55, "&gt;0")</f>
        <v>دجاج هندي بالزبدة 1 / 3</v>
      </c>
      <c r="C62" s="1439"/>
      <c r="D62" s="1439"/>
      <c r="E62" s="1439"/>
      <c r="F62" s="1439"/>
      <c r="G62" s="1439"/>
      <c r="H62" s="1439"/>
    </row>
    <row r="63" spans="1:12" ht="17.75" customHeight="1" x14ac:dyDescent="0.3">
      <c r="A63" s="923"/>
      <c r="B63" s="1436" t="str">
        <f>"Butter Chicken 1 / " &amp; COUNTIF($C$53:$C$55, "&gt;0")</f>
        <v>Butter Chicken 1 / 3</v>
      </c>
      <c r="C63" s="1437"/>
      <c r="D63" s="1437"/>
      <c r="E63" s="1437"/>
      <c r="F63" s="1437"/>
      <c r="G63" s="1437"/>
      <c r="H63" s="1437"/>
    </row>
    <row r="64" spans="1:12" ht="43.5" customHeight="1" x14ac:dyDescent="0.3">
      <c r="A64" s="90"/>
      <c r="B64" s="242" t="s">
        <v>245</v>
      </c>
      <c r="C64" s="243" t="s">
        <v>246</v>
      </c>
      <c r="D64" s="244" t="s">
        <v>235</v>
      </c>
      <c r="E64" s="217" t="s">
        <v>238</v>
      </c>
      <c r="F64" s="217" t="s">
        <v>247</v>
      </c>
      <c r="G64" s="244" t="s">
        <v>248</v>
      </c>
      <c r="H64" s="217" t="s">
        <v>249</v>
      </c>
    </row>
    <row r="65" spans="1:8" ht="14.25" customHeight="1" x14ac:dyDescent="0.3">
      <c r="A65" s="218" t="s">
        <v>225</v>
      </c>
      <c r="B65" s="122" t="str">
        <f t="shared" ref="B65:D85" si="15">B5</f>
        <v>Chicken - دجاج</v>
      </c>
      <c r="C65" s="122" t="str">
        <f t="shared" si="15"/>
        <v>gm</v>
      </c>
      <c r="D65" s="278">
        <f t="shared" si="15"/>
        <v>2311.3713405238827</v>
      </c>
      <c r="E65" s="115">
        <f>H53</f>
        <v>10</v>
      </c>
      <c r="F65" s="126">
        <f t="shared" ref="F65:F85" si="16">F5</f>
        <v>1</v>
      </c>
      <c r="G65" s="118">
        <f t="shared" ref="G65:G85" si="17">D65*E65</f>
        <v>23113.713405238828</v>
      </c>
      <c r="H65" s="119">
        <f t="shared" ref="H65:H85" si="18">G65*F65</f>
        <v>23113.713405238828</v>
      </c>
    </row>
    <row r="66" spans="1:8" ht="14.25" customHeight="1" x14ac:dyDescent="0.3">
      <c r="A66" s="269" t="s">
        <v>13</v>
      </c>
      <c r="B66" s="122" t="str">
        <f t="shared" si="15"/>
        <v>Onion - بصل</v>
      </c>
      <c r="C66" s="122" t="str">
        <f t="shared" si="15"/>
        <v>gm</v>
      </c>
      <c r="D66" s="122">
        <f t="shared" si="15"/>
        <v>80</v>
      </c>
      <c r="E66" s="115">
        <f t="shared" ref="E66:E85" si="19">$C$53</f>
        <v>10.526315789473685</v>
      </c>
      <c r="F66" s="126">
        <f t="shared" si="16"/>
        <v>1</v>
      </c>
      <c r="G66" s="118">
        <f t="shared" si="17"/>
        <v>842.1052631578948</v>
      </c>
      <c r="H66" s="119">
        <f t="shared" si="18"/>
        <v>842.1052631578948</v>
      </c>
    </row>
    <row r="67" spans="1:8" ht="14.25" customHeight="1" x14ac:dyDescent="0.3">
      <c r="A67" s="269" t="s">
        <v>13</v>
      </c>
      <c r="B67" s="122" t="str">
        <f t="shared" si="15"/>
        <v>Tomato - طماطم</v>
      </c>
      <c r="C67" s="122" t="str">
        <f t="shared" si="15"/>
        <v>gm</v>
      </c>
      <c r="D67" s="122">
        <f t="shared" si="15"/>
        <v>400</v>
      </c>
      <c r="E67" s="115">
        <f t="shared" si="19"/>
        <v>10.526315789473685</v>
      </c>
      <c r="F67" s="126">
        <f t="shared" si="16"/>
        <v>1</v>
      </c>
      <c r="G67" s="118">
        <f t="shared" si="17"/>
        <v>4210.5263157894742</v>
      </c>
      <c r="H67" s="119">
        <f t="shared" si="18"/>
        <v>4210.5263157894742</v>
      </c>
    </row>
    <row r="68" spans="1:8" ht="14.25" customHeight="1" x14ac:dyDescent="0.3">
      <c r="A68" s="269" t="s">
        <v>179</v>
      </c>
      <c r="B68" s="122" t="str">
        <f t="shared" si="15"/>
        <v>Cashew Nut - كاجو</v>
      </c>
      <c r="C68" s="122" t="str">
        <f t="shared" si="15"/>
        <v>gm</v>
      </c>
      <c r="D68" s="122">
        <f t="shared" si="15"/>
        <v>50</v>
      </c>
      <c r="E68" s="115">
        <f t="shared" si="19"/>
        <v>10.526315789473685</v>
      </c>
      <c r="F68" s="126">
        <f t="shared" si="16"/>
        <v>0.5</v>
      </c>
      <c r="G68" s="118">
        <f t="shared" si="17"/>
        <v>526.31578947368428</v>
      </c>
      <c r="H68" s="119">
        <f t="shared" si="18"/>
        <v>263.15789473684214</v>
      </c>
    </row>
    <row r="69" spans="1:8" ht="14.25" customHeight="1" x14ac:dyDescent="0.3">
      <c r="A69" s="269" t="s">
        <v>95</v>
      </c>
      <c r="B69" s="122" t="str">
        <f t="shared" si="15"/>
        <v>Kashmiri Red Chilli Whole - فلفل كشميري أحمر كامل</v>
      </c>
      <c r="C69" s="122" t="str">
        <f t="shared" si="15"/>
        <v>gm</v>
      </c>
      <c r="D69" s="122">
        <f t="shared" si="15"/>
        <v>5</v>
      </c>
      <c r="E69" s="115">
        <f t="shared" si="19"/>
        <v>10.526315789473685</v>
      </c>
      <c r="F69" s="126">
        <f t="shared" si="16"/>
        <v>0.75</v>
      </c>
      <c r="G69" s="118">
        <f t="shared" si="17"/>
        <v>52.631578947368425</v>
      </c>
      <c r="H69" s="119">
        <f t="shared" si="18"/>
        <v>39.473684210526315</v>
      </c>
    </row>
    <row r="70" spans="1:8" ht="14.25" customHeight="1" x14ac:dyDescent="0.3">
      <c r="A70" s="269" t="s">
        <v>56</v>
      </c>
      <c r="B70" s="122" t="str">
        <f t="shared" si="15"/>
        <v>Ginger - زنجبيل</v>
      </c>
      <c r="C70" s="122" t="str">
        <f t="shared" si="15"/>
        <v>gm</v>
      </c>
      <c r="D70" s="122">
        <f t="shared" si="15"/>
        <v>5</v>
      </c>
      <c r="E70" s="115">
        <f t="shared" si="19"/>
        <v>10.526315789473685</v>
      </c>
      <c r="F70" s="126">
        <f t="shared" si="16"/>
        <v>1</v>
      </c>
      <c r="G70" s="118">
        <f t="shared" si="17"/>
        <v>52.631578947368425</v>
      </c>
      <c r="H70" s="119">
        <f t="shared" si="18"/>
        <v>52.631578947368425</v>
      </c>
    </row>
    <row r="71" spans="1:8" ht="14.25" customHeight="1" x14ac:dyDescent="0.3">
      <c r="A71" s="269" t="s">
        <v>13</v>
      </c>
      <c r="B71" s="122" t="str">
        <f t="shared" si="15"/>
        <v>Garlic - ثوم مقشر</v>
      </c>
      <c r="C71" s="122" t="str">
        <f t="shared" si="15"/>
        <v>gm</v>
      </c>
      <c r="D71" s="122">
        <f t="shared" si="15"/>
        <v>20</v>
      </c>
      <c r="E71" s="115">
        <f t="shared" si="19"/>
        <v>10.526315789473685</v>
      </c>
      <c r="F71" s="126">
        <f t="shared" si="16"/>
        <v>1</v>
      </c>
      <c r="G71" s="118">
        <f t="shared" si="17"/>
        <v>210.5263157894737</v>
      </c>
      <c r="H71" s="119">
        <f t="shared" si="18"/>
        <v>210.5263157894737</v>
      </c>
    </row>
    <row r="72" spans="1:8" ht="14.25" customHeight="1" x14ac:dyDescent="0.3">
      <c r="A72" s="269" t="s">
        <v>62</v>
      </c>
      <c r="B72" s="122" t="str">
        <f t="shared" si="15"/>
        <v>Coriander Leaves - كزبرة خضراء</v>
      </c>
      <c r="C72" s="122" t="str">
        <f t="shared" si="15"/>
        <v>gm</v>
      </c>
      <c r="D72" s="122">
        <f t="shared" si="15"/>
        <v>10</v>
      </c>
      <c r="E72" s="115">
        <f t="shared" si="19"/>
        <v>10.526315789473685</v>
      </c>
      <c r="F72" s="126">
        <f t="shared" si="16"/>
        <v>1</v>
      </c>
      <c r="G72" s="118">
        <f t="shared" si="17"/>
        <v>105.26315789473685</v>
      </c>
      <c r="H72" s="119">
        <f t="shared" si="18"/>
        <v>105.26315789473685</v>
      </c>
    </row>
    <row r="73" spans="1:8" ht="14.25" customHeight="1" x14ac:dyDescent="0.3">
      <c r="A73" s="269" t="s">
        <v>182</v>
      </c>
      <c r="B73" s="122" t="str">
        <f t="shared" si="15"/>
        <v>Honey - عسل</v>
      </c>
      <c r="C73" s="122" t="str">
        <f t="shared" si="15"/>
        <v>gm</v>
      </c>
      <c r="D73" s="122">
        <f t="shared" si="15"/>
        <v>30</v>
      </c>
      <c r="E73" s="115">
        <f t="shared" si="19"/>
        <v>10.526315789473685</v>
      </c>
      <c r="F73" s="126">
        <f t="shared" si="16"/>
        <v>1</v>
      </c>
      <c r="G73" s="118">
        <f t="shared" si="17"/>
        <v>315.78947368421052</v>
      </c>
      <c r="H73" s="119">
        <f t="shared" si="18"/>
        <v>315.78947368421052</v>
      </c>
    </row>
    <row r="74" spans="1:8" ht="14.25" customHeight="1" x14ac:dyDescent="0.3">
      <c r="A74" s="269" t="s">
        <v>95</v>
      </c>
      <c r="B74" s="122" t="str">
        <f t="shared" si="15"/>
        <v>Salt - ملح</v>
      </c>
      <c r="C74" s="122" t="str">
        <f t="shared" si="15"/>
        <v>gm</v>
      </c>
      <c r="D74" s="122">
        <f t="shared" si="15"/>
        <v>13</v>
      </c>
      <c r="E74" s="115">
        <f t="shared" si="19"/>
        <v>10.526315789473685</v>
      </c>
      <c r="F74" s="126">
        <f t="shared" si="16"/>
        <v>0.75</v>
      </c>
      <c r="G74" s="118">
        <f t="shared" si="17"/>
        <v>136.84210526315792</v>
      </c>
      <c r="H74" s="119">
        <f t="shared" si="18"/>
        <v>102.63157894736844</v>
      </c>
    </row>
    <row r="75" spans="1:8" ht="14.25" customHeight="1" x14ac:dyDescent="0.3">
      <c r="A75" s="269" t="s">
        <v>154</v>
      </c>
      <c r="B75" s="122" t="str">
        <f t="shared" si="15"/>
        <v>Cooking Cream - كريمة طبخ</v>
      </c>
      <c r="C75" s="122" t="str">
        <f t="shared" si="15"/>
        <v>ml</v>
      </c>
      <c r="D75" s="122">
        <f t="shared" si="15"/>
        <v>350</v>
      </c>
      <c r="E75" s="115">
        <f t="shared" si="19"/>
        <v>10.526315789473685</v>
      </c>
      <c r="F75" s="126">
        <f t="shared" si="16"/>
        <v>1</v>
      </c>
      <c r="G75" s="118">
        <f t="shared" si="17"/>
        <v>3684.2105263157896</v>
      </c>
      <c r="H75" s="119">
        <f t="shared" si="18"/>
        <v>3684.2105263157896</v>
      </c>
    </row>
    <row r="76" spans="1:8" ht="14.25" customHeight="1" x14ac:dyDescent="0.3">
      <c r="A76" s="269" t="s">
        <v>206</v>
      </c>
      <c r="B76" s="122" t="str">
        <f t="shared" si="15"/>
        <v>Water - ماء</v>
      </c>
      <c r="C76" s="122" t="str">
        <f t="shared" si="15"/>
        <v>ml</v>
      </c>
      <c r="D76" s="122">
        <f t="shared" si="15"/>
        <v>250</v>
      </c>
      <c r="E76" s="115">
        <f t="shared" si="19"/>
        <v>10.526315789473685</v>
      </c>
      <c r="F76" s="126">
        <f t="shared" si="16"/>
        <v>1</v>
      </c>
      <c r="G76" s="118">
        <f t="shared" si="17"/>
        <v>2631.5789473684213</v>
      </c>
      <c r="H76" s="119">
        <f t="shared" si="18"/>
        <v>2631.5789473684213</v>
      </c>
    </row>
    <row r="77" spans="1:8" ht="14.25" customHeight="1" x14ac:dyDescent="0.3">
      <c r="A77" s="269" t="s">
        <v>154</v>
      </c>
      <c r="B77" s="122" t="str">
        <f t="shared" si="15"/>
        <v>Butter - زبدة</v>
      </c>
      <c r="C77" s="122" t="str">
        <f t="shared" si="15"/>
        <v>gm</v>
      </c>
      <c r="D77" s="122">
        <f t="shared" si="15"/>
        <v>50</v>
      </c>
      <c r="E77" s="115">
        <f t="shared" si="19"/>
        <v>10.526315789473685</v>
      </c>
      <c r="F77" s="126">
        <f t="shared" si="16"/>
        <v>1</v>
      </c>
      <c r="G77" s="118">
        <f t="shared" si="17"/>
        <v>526.31578947368428</v>
      </c>
      <c r="H77" s="119">
        <f t="shared" si="18"/>
        <v>526.31578947368428</v>
      </c>
    </row>
    <row r="78" spans="1:8" ht="14.25" customHeight="1" x14ac:dyDescent="0.3">
      <c r="A78" s="269" t="s">
        <v>215</v>
      </c>
      <c r="B78" s="122" t="str">
        <f t="shared" si="15"/>
        <v>Orange Color - لون برتقالي</v>
      </c>
      <c r="C78" s="122" t="str">
        <f t="shared" si="15"/>
        <v>gm</v>
      </c>
      <c r="D78" s="122">
        <f t="shared" si="15"/>
        <v>2</v>
      </c>
      <c r="E78" s="115">
        <f t="shared" si="19"/>
        <v>10.526315789473685</v>
      </c>
      <c r="F78" s="126">
        <f t="shared" si="16"/>
        <v>0.75</v>
      </c>
      <c r="G78" s="118">
        <f t="shared" si="17"/>
        <v>21.05263157894737</v>
      </c>
      <c r="H78" s="119">
        <f t="shared" si="18"/>
        <v>15.789473684210527</v>
      </c>
    </row>
    <row r="79" spans="1:8" ht="14.25" customHeight="1" x14ac:dyDescent="0.3">
      <c r="A79" s="269" t="s">
        <v>95</v>
      </c>
      <c r="B79" s="122" t="str">
        <f t="shared" si="15"/>
        <v>Kasuri Methi - ورق حلبة مجففة</v>
      </c>
      <c r="C79" s="122" t="str">
        <f t="shared" si="15"/>
        <v>gm</v>
      </c>
      <c r="D79" s="122">
        <f t="shared" si="15"/>
        <v>1</v>
      </c>
      <c r="E79" s="115">
        <f t="shared" si="19"/>
        <v>10.526315789473685</v>
      </c>
      <c r="F79" s="126">
        <f t="shared" si="16"/>
        <v>1</v>
      </c>
      <c r="G79" s="118">
        <f t="shared" si="17"/>
        <v>10.526315789473685</v>
      </c>
      <c r="H79" s="119">
        <f t="shared" si="18"/>
        <v>10.526315789473685</v>
      </c>
    </row>
    <row r="80" spans="1:8" ht="14.25" customHeight="1" x14ac:dyDescent="0.3">
      <c r="A80" s="269" t="s">
        <v>95</v>
      </c>
      <c r="B80" s="122" t="str">
        <f t="shared" si="15"/>
        <v>Black Pepper Whole - فلفل أسود حب</v>
      </c>
      <c r="C80" s="122" t="str">
        <f t="shared" si="15"/>
        <v>gm</v>
      </c>
      <c r="D80" s="122">
        <f t="shared" si="15"/>
        <v>1</v>
      </c>
      <c r="E80" s="115">
        <f t="shared" si="19"/>
        <v>10.526315789473685</v>
      </c>
      <c r="F80" s="126">
        <f t="shared" si="16"/>
        <v>1</v>
      </c>
      <c r="G80" s="118">
        <f t="shared" si="17"/>
        <v>10.526315789473685</v>
      </c>
      <c r="H80" s="119">
        <f t="shared" si="18"/>
        <v>10.526315789473685</v>
      </c>
    </row>
    <row r="81" spans="1:8" ht="14.25" customHeight="1" x14ac:dyDescent="0.3">
      <c r="A81" s="269" t="s">
        <v>95</v>
      </c>
      <c r="B81" s="122" t="str">
        <f t="shared" si="15"/>
        <v>Cumin Whole - كمون حب</v>
      </c>
      <c r="C81" s="122" t="str">
        <f t="shared" si="15"/>
        <v>gm</v>
      </c>
      <c r="D81" s="122">
        <f t="shared" si="15"/>
        <v>1</v>
      </c>
      <c r="E81" s="115">
        <f t="shared" si="19"/>
        <v>10.526315789473685</v>
      </c>
      <c r="F81" s="126">
        <f t="shared" si="16"/>
        <v>1</v>
      </c>
      <c r="G81" s="118">
        <f t="shared" si="17"/>
        <v>10.526315789473685</v>
      </c>
      <c r="H81" s="119">
        <f t="shared" si="18"/>
        <v>10.526315789473685</v>
      </c>
    </row>
    <row r="82" spans="1:8" ht="14.25" customHeight="1" x14ac:dyDescent="0.3">
      <c r="A82" s="269" t="s">
        <v>95</v>
      </c>
      <c r="B82" s="122" t="str">
        <f t="shared" si="15"/>
        <v>Cloves Whole - قرنفل حب</v>
      </c>
      <c r="C82" s="122" t="str">
        <f t="shared" si="15"/>
        <v>gm</v>
      </c>
      <c r="D82" s="122">
        <f t="shared" si="15"/>
        <v>1</v>
      </c>
      <c r="E82" s="115">
        <f t="shared" si="19"/>
        <v>10.526315789473685</v>
      </c>
      <c r="F82" s="126">
        <f t="shared" si="16"/>
        <v>1</v>
      </c>
      <c r="G82" s="118">
        <f t="shared" si="17"/>
        <v>10.526315789473685</v>
      </c>
      <c r="H82" s="119">
        <f t="shared" si="18"/>
        <v>10.526315789473685</v>
      </c>
    </row>
    <row r="83" spans="1:8" ht="14.25" customHeight="1" x14ac:dyDescent="0.3">
      <c r="A83" s="269" t="s">
        <v>95</v>
      </c>
      <c r="B83" s="122" t="str">
        <f t="shared" si="15"/>
        <v>Cinnamon Whole - قرفة أعواد</v>
      </c>
      <c r="C83" s="122" t="str">
        <f t="shared" si="15"/>
        <v>gm</v>
      </c>
      <c r="D83" s="122">
        <f t="shared" si="15"/>
        <v>0.5</v>
      </c>
      <c r="E83" s="115">
        <f t="shared" si="19"/>
        <v>10.526315789473685</v>
      </c>
      <c r="F83" s="126">
        <f t="shared" si="16"/>
        <v>1</v>
      </c>
      <c r="G83" s="118">
        <f t="shared" si="17"/>
        <v>5.2631578947368425</v>
      </c>
      <c r="H83" s="119">
        <f t="shared" si="18"/>
        <v>5.2631578947368425</v>
      </c>
    </row>
    <row r="84" spans="1:8" ht="14.25" customHeight="1" x14ac:dyDescent="0.3">
      <c r="A84" s="269" t="s">
        <v>95</v>
      </c>
      <c r="B84" s="122" t="str">
        <f t="shared" si="15"/>
        <v>Cardamom Whole - هيل حب</v>
      </c>
      <c r="C84" s="122" t="str">
        <f t="shared" si="15"/>
        <v>gm</v>
      </c>
      <c r="D84" s="122">
        <f t="shared" si="15"/>
        <v>0.5</v>
      </c>
      <c r="E84" s="115">
        <f t="shared" si="19"/>
        <v>10.526315789473685</v>
      </c>
      <c r="F84" s="126">
        <f t="shared" si="16"/>
        <v>1</v>
      </c>
      <c r="G84" s="118">
        <f t="shared" si="17"/>
        <v>5.2631578947368425</v>
      </c>
      <c r="H84" s="119">
        <f t="shared" si="18"/>
        <v>5.2631578947368425</v>
      </c>
    </row>
    <row r="85" spans="1:8" ht="14.25" customHeight="1" x14ac:dyDescent="0.3">
      <c r="A85" s="269" t="s">
        <v>95</v>
      </c>
      <c r="B85" s="122" t="str">
        <f t="shared" si="15"/>
        <v>Tomato Ketchup - كاتشب طماطم</v>
      </c>
      <c r="C85" s="122" t="str">
        <f t="shared" si="15"/>
        <v>ml</v>
      </c>
      <c r="D85" s="122">
        <f t="shared" si="15"/>
        <v>50</v>
      </c>
      <c r="E85" s="115">
        <f t="shared" si="19"/>
        <v>10.526315789473685</v>
      </c>
      <c r="F85" s="126">
        <f t="shared" si="16"/>
        <v>1</v>
      </c>
      <c r="G85" s="118">
        <f t="shared" si="17"/>
        <v>526.31578947368428</v>
      </c>
      <c r="H85" s="119">
        <f t="shared" si="18"/>
        <v>526.31578947368428</v>
      </c>
    </row>
    <row r="86" spans="1:8" ht="20.25" customHeight="1" x14ac:dyDescent="0.3">
      <c r="A86" s="210"/>
      <c r="B86" s="197" t="s">
        <v>291</v>
      </c>
      <c r="C86" s="199" t="s">
        <v>277</v>
      </c>
      <c r="D86" s="14"/>
      <c r="E86" s="199" t="s">
        <v>292</v>
      </c>
      <c r="F86" s="14"/>
      <c r="G86" s="878" t="s">
        <v>268</v>
      </c>
      <c r="H86" s="878" t="s">
        <v>703</v>
      </c>
    </row>
    <row r="87" spans="1:8" ht="24" customHeight="1" x14ac:dyDescent="0.4">
      <c r="A87" s="210"/>
      <c r="B87" s="198">
        <f>$J$53</f>
        <v>13637.090909090908</v>
      </c>
      <c r="C87" s="198">
        <f>E87+G87</f>
        <v>10000</v>
      </c>
      <c r="D87" s="915"/>
      <c r="E87" s="198">
        <f>$D$53*$S$44</f>
        <v>4090.909090909091</v>
      </c>
      <c r="F87" s="919"/>
      <c r="G87" s="198">
        <f>$D$53*$T$44</f>
        <v>5909.090909090909</v>
      </c>
      <c r="H87" s="198">
        <f>B87+E87</f>
        <v>17728</v>
      </c>
    </row>
    <row r="88" spans="1:8" ht="14.25" customHeight="1" x14ac:dyDescent="0.3">
      <c r="B88" s="99"/>
      <c r="C88" s="915"/>
      <c r="D88" s="915"/>
      <c r="E88" s="915"/>
      <c r="F88" s="919"/>
      <c r="G88" s="915"/>
      <c r="H88" s="915"/>
    </row>
    <row r="90" spans="1:8" ht="17.75" customHeight="1" x14ac:dyDescent="0.3">
      <c r="A90" s="923"/>
      <c r="B90" s="1438" t="str">
        <f>"دجاج هندي بالزبدة 2 / " &amp; COUNTIF($C$53:$C$55, "&gt;0")</f>
        <v>دجاج هندي بالزبدة 2 / 3</v>
      </c>
      <c r="C90" s="1439"/>
      <c r="D90" s="1439"/>
      <c r="E90" s="1439"/>
      <c r="F90" s="1439"/>
      <c r="G90" s="1439"/>
      <c r="H90" s="1439"/>
    </row>
    <row r="91" spans="1:8" ht="17.75" customHeight="1" x14ac:dyDescent="0.3">
      <c r="A91" s="923"/>
      <c r="B91" s="1436" t="str">
        <f>"Butter Chicken 2 / " &amp; COUNTIF($C$53:$C$55, "&gt;0")</f>
        <v>Butter Chicken 2 / 3</v>
      </c>
      <c r="C91" s="1437"/>
      <c r="D91" s="1437"/>
      <c r="E91" s="1437"/>
      <c r="F91" s="1437"/>
      <c r="G91" s="1437"/>
      <c r="H91" s="1437"/>
    </row>
    <row r="92" spans="1:8" ht="34.5" customHeight="1" x14ac:dyDescent="0.3">
      <c r="A92" s="90"/>
      <c r="B92" s="242" t="s">
        <v>245</v>
      </c>
      <c r="C92" s="243" t="s">
        <v>246</v>
      </c>
      <c r="D92" s="244" t="s">
        <v>235</v>
      </c>
      <c r="E92" s="217" t="s">
        <v>238</v>
      </c>
      <c r="F92" s="217" t="s">
        <v>247</v>
      </c>
      <c r="G92" s="244" t="s">
        <v>248</v>
      </c>
      <c r="H92" s="217" t="s">
        <v>249</v>
      </c>
    </row>
    <row r="93" spans="1:8" ht="14.25" customHeight="1" x14ac:dyDescent="0.3">
      <c r="A93" s="269" t="s">
        <v>225</v>
      </c>
      <c r="B93" s="122" t="str">
        <f t="shared" ref="B93:D113" si="20">B5</f>
        <v>Chicken - دجاج</v>
      </c>
      <c r="C93" s="122" t="str">
        <f t="shared" si="20"/>
        <v>gm</v>
      </c>
      <c r="D93" s="122">
        <f t="shared" si="20"/>
        <v>2311.3713405238827</v>
      </c>
      <c r="E93" s="115">
        <f>H54</f>
        <v>10</v>
      </c>
      <c r="F93" s="126">
        <f t="shared" ref="F93:F113" si="21">F5</f>
        <v>1</v>
      </c>
      <c r="G93" s="118">
        <f t="shared" ref="G93:G113" si="22">D93*E93</f>
        <v>23113.713405238828</v>
      </c>
      <c r="H93" s="119">
        <f t="shared" ref="H93:H113" si="23">G93*F93</f>
        <v>23113.713405238828</v>
      </c>
    </row>
    <row r="94" spans="1:8" ht="14.25" customHeight="1" x14ac:dyDescent="0.3">
      <c r="A94" s="269" t="s">
        <v>13</v>
      </c>
      <c r="B94" s="122" t="str">
        <f t="shared" si="20"/>
        <v>Onion - بصل</v>
      </c>
      <c r="C94" s="122" t="str">
        <f t="shared" si="20"/>
        <v>gm</v>
      </c>
      <c r="D94" s="122">
        <f t="shared" si="20"/>
        <v>80</v>
      </c>
      <c r="E94" s="115">
        <f t="shared" ref="E94:E113" si="24">$C$54</f>
        <v>10.526315789473685</v>
      </c>
      <c r="F94" s="126">
        <f t="shared" si="21"/>
        <v>1</v>
      </c>
      <c r="G94" s="118">
        <f t="shared" si="22"/>
        <v>842.1052631578948</v>
      </c>
      <c r="H94" s="119">
        <f t="shared" si="23"/>
        <v>842.1052631578948</v>
      </c>
    </row>
    <row r="95" spans="1:8" ht="14.25" customHeight="1" x14ac:dyDescent="0.3">
      <c r="A95" s="269" t="s">
        <v>13</v>
      </c>
      <c r="B95" s="122" t="str">
        <f t="shared" si="20"/>
        <v>Tomato - طماطم</v>
      </c>
      <c r="C95" s="122" t="str">
        <f t="shared" si="20"/>
        <v>gm</v>
      </c>
      <c r="D95" s="122">
        <f t="shared" si="20"/>
        <v>400</v>
      </c>
      <c r="E95" s="115">
        <f t="shared" si="24"/>
        <v>10.526315789473685</v>
      </c>
      <c r="F95" s="126">
        <f t="shared" si="21"/>
        <v>1</v>
      </c>
      <c r="G95" s="118">
        <f t="shared" si="22"/>
        <v>4210.5263157894742</v>
      </c>
      <c r="H95" s="119">
        <f t="shared" si="23"/>
        <v>4210.5263157894742</v>
      </c>
    </row>
    <row r="96" spans="1:8" ht="14.25" customHeight="1" x14ac:dyDescent="0.3">
      <c r="A96" s="269" t="s">
        <v>179</v>
      </c>
      <c r="B96" s="122" t="str">
        <f t="shared" si="20"/>
        <v>Cashew Nut - كاجو</v>
      </c>
      <c r="C96" s="122" t="str">
        <f t="shared" si="20"/>
        <v>gm</v>
      </c>
      <c r="D96" s="122">
        <f t="shared" si="20"/>
        <v>50</v>
      </c>
      <c r="E96" s="115">
        <f t="shared" si="24"/>
        <v>10.526315789473685</v>
      </c>
      <c r="F96" s="126">
        <f t="shared" si="21"/>
        <v>0.5</v>
      </c>
      <c r="G96" s="118">
        <f t="shared" si="22"/>
        <v>526.31578947368428</v>
      </c>
      <c r="H96" s="119">
        <f t="shared" si="23"/>
        <v>263.15789473684214</v>
      </c>
    </row>
    <row r="97" spans="1:8" ht="14.25" customHeight="1" x14ac:dyDescent="0.3">
      <c r="A97" s="269" t="s">
        <v>95</v>
      </c>
      <c r="B97" s="122" t="str">
        <f t="shared" si="20"/>
        <v>Kashmiri Red Chilli Whole - فلفل كشميري أحمر كامل</v>
      </c>
      <c r="C97" s="122" t="str">
        <f t="shared" si="20"/>
        <v>gm</v>
      </c>
      <c r="D97" s="122">
        <f t="shared" si="20"/>
        <v>5</v>
      </c>
      <c r="E97" s="115">
        <f t="shared" si="24"/>
        <v>10.526315789473685</v>
      </c>
      <c r="F97" s="126">
        <f t="shared" si="21"/>
        <v>0.75</v>
      </c>
      <c r="G97" s="118">
        <f t="shared" si="22"/>
        <v>52.631578947368425</v>
      </c>
      <c r="H97" s="119">
        <f t="shared" si="23"/>
        <v>39.473684210526315</v>
      </c>
    </row>
    <row r="98" spans="1:8" ht="14.25" customHeight="1" x14ac:dyDescent="0.3">
      <c r="A98" s="269" t="s">
        <v>56</v>
      </c>
      <c r="B98" s="122" t="str">
        <f t="shared" si="20"/>
        <v>Ginger - زنجبيل</v>
      </c>
      <c r="C98" s="122" t="str">
        <f t="shared" si="20"/>
        <v>gm</v>
      </c>
      <c r="D98" s="122">
        <f t="shared" si="20"/>
        <v>5</v>
      </c>
      <c r="E98" s="115">
        <f t="shared" si="24"/>
        <v>10.526315789473685</v>
      </c>
      <c r="F98" s="126">
        <f t="shared" si="21"/>
        <v>1</v>
      </c>
      <c r="G98" s="118">
        <f t="shared" si="22"/>
        <v>52.631578947368425</v>
      </c>
      <c r="H98" s="119">
        <f t="shared" si="23"/>
        <v>52.631578947368425</v>
      </c>
    </row>
    <row r="99" spans="1:8" ht="14.25" customHeight="1" x14ac:dyDescent="0.3">
      <c r="A99" s="269" t="s">
        <v>13</v>
      </c>
      <c r="B99" s="122" t="str">
        <f t="shared" si="20"/>
        <v>Garlic - ثوم مقشر</v>
      </c>
      <c r="C99" s="122" t="str">
        <f t="shared" si="20"/>
        <v>gm</v>
      </c>
      <c r="D99" s="122">
        <f t="shared" si="20"/>
        <v>20</v>
      </c>
      <c r="E99" s="115">
        <f t="shared" si="24"/>
        <v>10.526315789473685</v>
      </c>
      <c r="F99" s="126">
        <f t="shared" si="21"/>
        <v>1</v>
      </c>
      <c r="G99" s="118">
        <f t="shared" si="22"/>
        <v>210.5263157894737</v>
      </c>
      <c r="H99" s="119">
        <f t="shared" si="23"/>
        <v>210.5263157894737</v>
      </c>
    </row>
    <row r="100" spans="1:8" ht="14.25" customHeight="1" x14ac:dyDescent="0.3">
      <c r="A100" s="269" t="s">
        <v>62</v>
      </c>
      <c r="B100" s="122" t="str">
        <f t="shared" si="20"/>
        <v>Coriander Leaves - كزبرة خضراء</v>
      </c>
      <c r="C100" s="122" t="str">
        <f t="shared" si="20"/>
        <v>gm</v>
      </c>
      <c r="D100" s="122">
        <f t="shared" si="20"/>
        <v>10</v>
      </c>
      <c r="E100" s="115">
        <f t="shared" si="24"/>
        <v>10.526315789473685</v>
      </c>
      <c r="F100" s="126">
        <f t="shared" si="21"/>
        <v>1</v>
      </c>
      <c r="G100" s="118">
        <f t="shared" si="22"/>
        <v>105.26315789473685</v>
      </c>
      <c r="H100" s="119">
        <f t="shared" si="23"/>
        <v>105.26315789473685</v>
      </c>
    </row>
    <row r="101" spans="1:8" ht="14.25" customHeight="1" x14ac:dyDescent="0.3">
      <c r="A101" s="269" t="s">
        <v>182</v>
      </c>
      <c r="B101" s="122" t="str">
        <f t="shared" si="20"/>
        <v>Honey - عسل</v>
      </c>
      <c r="C101" s="122" t="str">
        <f t="shared" si="20"/>
        <v>gm</v>
      </c>
      <c r="D101" s="122">
        <f t="shared" si="20"/>
        <v>30</v>
      </c>
      <c r="E101" s="115">
        <f t="shared" si="24"/>
        <v>10.526315789473685</v>
      </c>
      <c r="F101" s="126">
        <f t="shared" si="21"/>
        <v>1</v>
      </c>
      <c r="G101" s="118">
        <f t="shared" si="22"/>
        <v>315.78947368421052</v>
      </c>
      <c r="H101" s="119">
        <f t="shared" si="23"/>
        <v>315.78947368421052</v>
      </c>
    </row>
    <row r="102" spans="1:8" ht="14.25" customHeight="1" x14ac:dyDescent="0.3">
      <c r="A102" s="269" t="s">
        <v>95</v>
      </c>
      <c r="B102" s="122" t="str">
        <f t="shared" si="20"/>
        <v>Salt - ملح</v>
      </c>
      <c r="C102" s="122" t="str">
        <f t="shared" si="20"/>
        <v>gm</v>
      </c>
      <c r="D102" s="122">
        <f t="shared" si="20"/>
        <v>13</v>
      </c>
      <c r="E102" s="115">
        <f t="shared" si="24"/>
        <v>10.526315789473685</v>
      </c>
      <c r="F102" s="126">
        <f t="shared" si="21"/>
        <v>0.75</v>
      </c>
      <c r="G102" s="118">
        <f t="shared" si="22"/>
        <v>136.84210526315792</v>
      </c>
      <c r="H102" s="119">
        <f t="shared" si="23"/>
        <v>102.63157894736844</v>
      </c>
    </row>
    <row r="103" spans="1:8" ht="14.25" customHeight="1" x14ac:dyDescent="0.3">
      <c r="A103" s="269" t="s">
        <v>154</v>
      </c>
      <c r="B103" s="122" t="str">
        <f t="shared" si="20"/>
        <v>Cooking Cream - كريمة طبخ</v>
      </c>
      <c r="C103" s="122" t="str">
        <f t="shared" si="20"/>
        <v>ml</v>
      </c>
      <c r="D103" s="122">
        <f t="shared" si="20"/>
        <v>350</v>
      </c>
      <c r="E103" s="115">
        <f t="shared" si="24"/>
        <v>10.526315789473685</v>
      </c>
      <c r="F103" s="126">
        <f t="shared" si="21"/>
        <v>1</v>
      </c>
      <c r="G103" s="118">
        <f t="shared" si="22"/>
        <v>3684.2105263157896</v>
      </c>
      <c r="H103" s="119">
        <f t="shared" si="23"/>
        <v>3684.2105263157896</v>
      </c>
    </row>
    <row r="104" spans="1:8" ht="14.25" customHeight="1" x14ac:dyDescent="0.3">
      <c r="A104" s="269" t="s">
        <v>206</v>
      </c>
      <c r="B104" s="122" t="str">
        <f t="shared" si="20"/>
        <v>Water - ماء</v>
      </c>
      <c r="C104" s="122" t="str">
        <f t="shared" si="20"/>
        <v>ml</v>
      </c>
      <c r="D104" s="122">
        <f t="shared" si="20"/>
        <v>250</v>
      </c>
      <c r="E104" s="115">
        <f t="shared" si="24"/>
        <v>10.526315789473685</v>
      </c>
      <c r="F104" s="126">
        <f t="shared" si="21"/>
        <v>1</v>
      </c>
      <c r="G104" s="118">
        <f t="shared" si="22"/>
        <v>2631.5789473684213</v>
      </c>
      <c r="H104" s="119">
        <f t="shared" si="23"/>
        <v>2631.5789473684213</v>
      </c>
    </row>
    <row r="105" spans="1:8" ht="14.25" customHeight="1" x14ac:dyDescent="0.3">
      <c r="A105" s="269" t="s">
        <v>154</v>
      </c>
      <c r="B105" s="122" t="str">
        <f t="shared" si="20"/>
        <v>Butter - زبدة</v>
      </c>
      <c r="C105" s="122" t="str">
        <f t="shared" si="20"/>
        <v>gm</v>
      </c>
      <c r="D105" s="122">
        <f t="shared" si="20"/>
        <v>50</v>
      </c>
      <c r="E105" s="115">
        <f t="shared" si="24"/>
        <v>10.526315789473685</v>
      </c>
      <c r="F105" s="126">
        <f t="shared" si="21"/>
        <v>1</v>
      </c>
      <c r="G105" s="118">
        <f t="shared" si="22"/>
        <v>526.31578947368428</v>
      </c>
      <c r="H105" s="119">
        <f t="shared" si="23"/>
        <v>526.31578947368428</v>
      </c>
    </row>
    <row r="106" spans="1:8" ht="14.25" customHeight="1" x14ac:dyDescent="0.3">
      <c r="A106" s="269" t="s">
        <v>215</v>
      </c>
      <c r="B106" s="122" t="str">
        <f t="shared" si="20"/>
        <v>Orange Color - لون برتقالي</v>
      </c>
      <c r="C106" s="122" t="str">
        <f t="shared" si="20"/>
        <v>gm</v>
      </c>
      <c r="D106" s="122">
        <f t="shared" si="20"/>
        <v>2</v>
      </c>
      <c r="E106" s="115">
        <f t="shared" si="24"/>
        <v>10.526315789473685</v>
      </c>
      <c r="F106" s="126">
        <f t="shared" si="21"/>
        <v>0.75</v>
      </c>
      <c r="G106" s="118">
        <f t="shared" si="22"/>
        <v>21.05263157894737</v>
      </c>
      <c r="H106" s="119">
        <f t="shared" si="23"/>
        <v>15.789473684210527</v>
      </c>
    </row>
    <row r="107" spans="1:8" ht="14.25" customHeight="1" x14ac:dyDescent="0.3">
      <c r="A107" s="269" t="s">
        <v>95</v>
      </c>
      <c r="B107" s="122" t="str">
        <f t="shared" si="20"/>
        <v>Kasuri Methi - ورق حلبة مجففة</v>
      </c>
      <c r="C107" s="122" t="str">
        <f t="shared" si="20"/>
        <v>gm</v>
      </c>
      <c r="D107" s="122">
        <f t="shared" si="20"/>
        <v>1</v>
      </c>
      <c r="E107" s="115">
        <f t="shared" si="24"/>
        <v>10.526315789473685</v>
      </c>
      <c r="F107" s="126">
        <f t="shared" si="21"/>
        <v>1</v>
      </c>
      <c r="G107" s="118">
        <f t="shared" si="22"/>
        <v>10.526315789473685</v>
      </c>
      <c r="H107" s="119">
        <f t="shared" si="23"/>
        <v>10.526315789473685</v>
      </c>
    </row>
    <row r="108" spans="1:8" ht="14.25" customHeight="1" x14ac:dyDescent="0.3">
      <c r="A108" s="269" t="s">
        <v>95</v>
      </c>
      <c r="B108" s="122" t="str">
        <f t="shared" si="20"/>
        <v>Black Pepper Whole - فلفل أسود حب</v>
      </c>
      <c r="C108" s="122" t="str">
        <f t="shared" si="20"/>
        <v>gm</v>
      </c>
      <c r="D108" s="122">
        <f t="shared" si="20"/>
        <v>1</v>
      </c>
      <c r="E108" s="115">
        <f t="shared" si="24"/>
        <v>10.526315789473685</v>
      </c>
      <c r="F108" s="126">
        <f t="shared" si="21"/>
        <v>1</v>
      </c>
      <c r="G108" s="118">
        <f t="shared" si="22"/>
        <v>10.526315789473685</v>
      </c>
      <c r="H108" s="119">
        <f t="shared" si="23"/>
        <v>10.526315789473685</v>
      </c>
    </row>
    <row r="109" spans="1:8" ht="14.25" customHeight="1" x14ac:dyDescent="0.3">
      <c r="A109" s="269" t="s">
        <v>95</v>
      </c>
      <c r="B109" s="122" t="str">
        <f t="shared" si="20"/>
        <v>Cumin Whole - كمون حب</v>
      </c>
      <c r="C109" s="122" t="str">
        <f t="shared" si="20"/>
        <v>gm</v>
      </c>
      <c r="D109" s="122">
        <f t="shared" si="20"/>
        <v>1</v>
      </c>
      <c r="E109" s="115">
        <f t="shared" si="24"/>
        <v>10.526315789473685</v>
      </c>
      <c r="F109" s="126">
        <f t="shared" si="21"/>
        <v>1</v>
      </c>
      <c r="G109" s="118">
        <f t="shared" si="22"/>
        <v>10.526315789473685</v>
      </c>
      <c r="H109" s="119">
        <f t="shared" si="23"/>
        <v>10.526315789473685</v>
      </c>
    </row>
    <row r="110" spans="1:8" ht="14.25" customHeight="1" x14ac:dyDescent="0.3">
      <c r="A110" s="269" t="s">
        <v>95</v>
      </c>
      <c r="B110" s="122" t="str">
        <f t="shared" si="20"/>
        <v>Cloves Whole - قرنفل حب</v>
      </c>
      <c r="C110" s="122" t="str">
        <f t="shared" si="20"/>
        <v>gm</v>
      </c>
      <c r="D110" s="122">
        <f t="shared" si="20"/>
        <v>1</v>
      </c>
      <c r="E110" s="115">
        <f t="shared" si="24"/>
        <v>10.526315789473685</v>
      </c>
      <c r="F110" s="126">
        <f t="shared" si="21"/>
        <v>1</v>
      </c>
      <c r="G110" s="118">
        <f t="shared" si="22"/>
        <v>10.526315789473685</v>
      </c>
      <c r="H110" s="119">
        <f t="shared" si="23"/>
        <v>10.526315789473685</v>
      </c>
    </row>
    <row r="111" spans="1:8" ht="14.25" customHeight="1" x14ac:dyDescent="0.3">
      <c r="A111" s="269" t="s">
        <v>95</v>
      </c>
      <c r="B111" s="122" t="str">
        <f t="shared" si="20"/>
        <v>Cinnamon Whole - قرفة أعواد</v>
      </c>
      <c r="C111" s="122" t="str">
        <f t="shared" si="20"/>
        <v>gm</v>
      </c>
      <c r="D111" s="122">
        <f t="shared" si="20"/>
        <v>0.5</v>
      </c>
      <c r="E111" s="115">
        <f t="shared" si="24"/>
        <v>10.526315789473685</v>
      </c>
      <c r="F111" s="126">
        <f t="shared" si="21"/>
        <v>1</v>
      </c>
      <c r="G111" s="118">
        <f t="shared" si="22"/>
        <v>5.2631578947368425</v>
      </c>
      <c r="H111" s="119">
        <f t="shared" si="23"/>
        <v>5.2631578947368425</v>
      </c>
    </row>
    <row r="112" spans="1:8" ht="14.25" customHeight="1" x14ac:dyDescent="0.3">
      <c r="A112" s="269" t="s">
        <v>95</v>
      </c>
      <c r="B112" s="122" t="str">
        <f t="shared" si="20"/>
        <v>Cardamom Whole - هيل حب</v>
      </c>
      <c r="C112" s="122" t="str">
        <f t="shared" si="20"/>
        <v>gm</v>
      </c>
      <c r="D112" s="122">
        <f t="shared" si="20"/>
        <v>0.5</v>
      </c>
      <c r="E112" s="115">
        <f t="shared" si="24"/>
        <v>10.526315789473685</v>
      </c>
      <c r="F112" s="126">
        <f t="shared" si="21"/>
        <v>1</v>
      </c>
      <c r="G112" s="118">
        <f t="shared" si="22"/>
        <v>5.2631578947368425</v>
      </c>
      <c r="H112" s="119">
        <f t="shared" si="23"/>
        <v>5.2631578947368425</v>
      </c>
    </row>
    <row r="113" spans="1:8" ht="14.25" customHeight="1" x14ac:dyDescent="0.3">
      <c r="A113" s="269" t="s">
        <v>95</v>
      </c>
      <c r="B113" s="122" t="str">
        <f t="shared" si="20"/>
        <v>Tomato Ketchup - كاتشب طماطم</v>
      </c>
      <c r="C113" s="122" t="str">
        <f t="shared" si="20"/>
        <v>ml</v>
      </c>
      <c r="D113" s="122">
        <f t="shared" si="20"/>
        <v>50</v>
      </c>
      <c r="E113" s="115">
        <f t="shared" si="24"/>
        <v>10.526315789473685</v>
      </c>
      <c r="F113" s="126">
        <f t="shared" si="21"/>
        <v>1</v>
      </c>
      <c r="G113" s="118">
        <f t="shared" si="22"/>
        <v>526.31578947368428</v>
      </c>
      <c r="H113" s="119">
        <f t="shared" si="23"/>
        <v>526.31578947368428</v>
      </c>
    </row>
    <row r="114" spans="1:8" ht="20.25" customHeight="1" x14ac:dyDescent="0.3">
      <c r="A114" s="210"/>
      <c r="B114" s="197" t="s">
        <v>291</v>
      </c>
      <c r="C114" s="199" t="s">
        <v>277</v>
      </c>
      <c r="D114" s="14"/>
      <c r="E114" s="199" t="s">
        <v>292</v>
      </c>
      <c r="F114" s="14"/>
      <c r="G114" s="878" t="s">
        <v>268</v>
      </c>
      <c r="H114" s="878" t="s">
        <v>703</v>
      </c>
    </row>
    <row r="115" spans="1:8" ht="26" customHeight="1" x14ac:dyDescent="0.4">
      <c r="A115" s="210"/>
      <c r="B115" s="198">
        <f>$J$54</f>
        <v>13637.090909090908</v>
      </c>
      <c r="C115" s="198">
        <f>E115+G115</f>
        <v>10000</v>
      </c>
      <c r="D115" s="915"/>
      <c r="E115" s="198">
        <f>$D$54*$S$44</f>
        <v>4090.909090909091</v>
      </c>
      <c r="F115" s="919"/>
      <c r="G115" s="198">
        <f>$D$54*$T$44</f>
        <v>5909.090909090909</v>
      </c>
      <c r="H115" s="198">
        <f>B115+E115</f>
        <v>17728</v>
      </c>
    </row>
    <row r="116" spans="1:8" ht="14.25" customHeight="1" x14ac:dyDescent="0.3">
      <c r="C116" s="261"/>
      <c r="D116" s="261"/>
      <c r="E116" s="261"/>
      <c r="F116" s="261"/>
      <c r="G116" s="261"/>
      <c r="H116" s="261"/>
    </row>
    <row r="117" spans="1:8" ht="14.25" customHeight="1" x14ac:dyDescent="0.3">
      <c r="A117" s="923"/>
      <c r="B117" s="1438" t="str">
        <f>"دجاج هندي بالزبدة  3 / " &amp; COUNTIF($C$53:$C$55, "&gt;0")</f>
        <v>دجاج هندي بالزبدة  3 / 3</v>
      </c>
      <c r="C117" s="1439"/>
      <c r="D117" s="1439"/>
      <c r="E117" s="1439"/>
      <c r="F117" s="1439"/>
      <c r="G117" s="1439"/>
      <c r="H117" s="1439"/>
    </row>
    <row r="118" spans="1:8" ht="17.75" customHeight="1" x14ac:dyDescent="0.3">
      <c r="A118" s="923"/>
      <c r="B118" s="1436" t="str">
        <f>"Butter Chicken 3 / " &amp; COUNTIF($C$53:$C$55, "&gt;0")</f>
        <v>Butter Chicken 3 / 3</v>
      </c>
      <c r="C118" s="1437"/>
      <c r="D118" s="1437"/>
      <c r="E118" s="1437"/>
      <c r="F118" s="1437"/>
      <c r="G118" s="1437"/>
      <c r="H118" s="1437"/>
    </row>
    <row r="119" spans="1:8" ht="52.5" customHeight="1" x14ac:dyDescent="0.3">
      <c r="A119" s="90"/>
      <c r="B119" s="242" t="s">
        <v>245</v>
      </c>
      <c r="C119" s="243" t="s">
        <v>246</v>
      </c>
      <c r="D119" s="244" t="s">
        <v>235</v>
      </c>
      <c r="E119" s="217" t="s">
        <v>238</v>
      </c>
      <c r="F119" s="217" t="s">
        <v>247</v>
      </c>
      <c r="G119" s="244" t="s">
        <v>248</v>
      </c>
      <c r="H119" s="217" t="s">
        <v>249</v>
      </c>
    </row>
    <row r="120" spans="1:8" ht="14.25" customHeight="1" x14ac:dyDescent="0.3">
      <c r="A120" s="269" t="s">
        <v>225</v>
      </c>
      <c r="B120" s="122" t="str">
        <f t="shared" ref="B120:D140" si="25">B5</f>
        <v>Chicken - دجاج</v>
      </c>
      <c r="C120" s="122" t="str">
        <f t="shared" si="25"/>
        <v>gm</v>
      </c>
      <c r="D120" s="122">
        <f t="shared" si="25"/>
        <v>2311.3713405238827</v>
      </c>
      <c r="E120" s="196">
        <f>H55</f>
        <v>9.2101887899312125</v>
      </c>
      <c r="F120" s="126">
        <f t="shared" ref="F120:F140" si="26">F5</f>
        <v>1</v>
      </c>
      <c r="G120" s="118">
        <f t="shared" ref="G120:G140" si="27">D120*E120</f>
        <v>21288.166409861344</v>
      </c>
      <c r="H120" s="119">
        <f t="shared" ref="H120:H140" si="28">G120*F120</f>
        <v>21288.166409861344</v>
      </c>
    </row>
    <row r="121" spans="1:8" ht="14.25" customHeight="1" x14ac:dyDescent="0.3">
      <c r="A121" s="269" t="s">
        <v>13</v>
      </c>
      <c r="B121" s="122" t="str">
        <f t="shared" si="25"/>
        <v>Onion - بصل</v>
      </c>
      <c r="C121" s="122" t="str">
        <f t="shared" si="25"/>
        <v>gm</v>
      </c>
      <c r="D121" s="122">
        <f t="shared" si="25"/>
        <v>80</v>
      </c>
      <c r="E121" s="196">
        <f t="shared" ref="E121:E140" si="29">$C$55</f>
        <v>9.7183859649122759</v>
      </c>
      <c r="F121" s="126">
        <f t="shared" si="26"/>
        <v>1</v>
      </c>
      <c r="G121" s="118">
        <f t="shared" si="27"/>
        <v>777.47087719298202</v>
      </c>
      <c r="H121" s="119">
        <f t="shared" si="28"/>
        <v>777.47087719298202</v>
      </c>
    </row>
    <row r="122" spans="1:8" ht="14.25" customHeight="1" x14ac:dyDescent="0.3">
      <c r="A122" s="269" t="s">
        <v>13</v>
      </c>
      <c r="B122" s="122" t="str">
        <f t="shared" si="25"/>
        <v>Tomato - طماطم</v>
      </c>
      <c r="C122" s="122" t="str">
        <f t="shared" si="25"/>
        <v>gm</v>
      </c>
      <c r="D122" s="122">
        <f t="shared" si="25"/>
        <v>400</v>
      </c>
      <c r="E122" s="196">
        <f t="shared" si="29"/>
        <v>9.7183859649122759</v>
      </c>
      <c r="F122" s="126">
        <f t="shared" si="26"/>
        <v>1</v>
      </c>
      <c r="G122" s="118">
        <f t="shared" si="27"/>
        <v>3887.3543859649103</v>
      </c>
      <c r="H122" s="119">
        <f t="shared" si="28"/>
        <v>3887.3543859649103</v>
      </c>
    </row>
    <row r="123" spans="1:8" ht="14.25" customHeight="1" x14ac:dyDescent="0.3">
      <c r="A123" s="269" t="s">
        <v>179</v>
      </c>
      <c r="B123" s="122" t="str">
        <f t="shared" si="25"/>
        <v>Cashew Nut - كاجو</v>
      </c>
      <c r="C123" s="122" t="str">
        <f t="shared" si="25"/>
        <v>gm</v>
      </c>
      <c r="D123" s="122">
        <f t="shared" si="25"/>
        <v>50</v>
      </c>
      <c r="E123" s="196">
        <f t="shared" si="29"/>
        <v>9.7183859649122759</v>
      </c>
      <c r="F123" s="126">
        <f t="shared" si="26"/>
        <v>0.5</v>
      </c>
      <c r="G123" s="118">
        <f t="shared" si="27"/>
        <v>485.91929824561379</v>
      </c>
      <c r="H123" s="119">
        <f t="shared" si="28"/>
        <v>242.95964912280689</v>
      </c>
    </row>
    <row r="124" spans="1:8" ht="14.25" customHeight="1" x14ac:dyDescent="0.3">
      <c r="A124" s="269" t="s">
        <v>95</v>
      </c>
      <c r="B124" s="122" t="str">
        <f t="shared" si="25"/>
        <v>Kashmiri Red Chilli Whole - فلفل كشميري أحمر كامل</v>
      </c>
      <c r="C124" s="122" t="str">
        <f t="shared" si="25"/>
        <v>gm</v>
      </c>
      <c r="D124" s="122">
        <f t="shared" si="25"/>
        <v>5</v>
      </c>
      <c r="E124" s="196">
        <f t="shared" si="29"/>
        <v>9.7183859649122759</v>
      </c>
      <c r="F124" s="126">
        <f t="shared" si="26"/>
        <v>0.75</v>
      </c>
      <c r="G124" s="118">
        <f t="shared" si="27"/>
        <v>48.591929824561376</v>
      </c>
      <c r="H124" s="119">
        <f t="shared" si="28"/>
        <v>36.443947368421036</v>
      </c>
    </row>
    <row r="125" spans="1:8" ht="14.25" customHeight="1" x14ac:dyDescent="0.3">
      <c r="A125" s="269" t="s">
        <v>56</v>
      </c>
      <c r="B125" s="122" t="str">
        <f t="shared" si="25"/>
        <v>Ginger - زنجبيل</v>
      </c>
      <c r="C125" s="122" t="str">
        <f t="shared" si="25"/>
        <v>gm</v>
      </c>
      <c r="D125" s="122">
        <f t="shared" si="25"/>
        <v>5</v>
      </c>
      <c r="E125" s="196">
        <f t="shared" si="29"/>
        <v>9.7183859649122759</v>
      </c>
      <c r="F125" s="126">
        <f t="shared" si="26"/>
        <v>1</v>
      </c>
      <c r="G125" s="118">
        <f t="shared" si="27"/>
        <v>48.591929824561376</v>
      </c>
      <c r="H125" s="119">
        <f t="shared" si="28"/>
        <v>48.591929824561376</v>
      </c>
    </row>
    <row r="126" spans="1:8" ht="14.25" customHeight="1" x14ac:dyDescent="0.3">
      <c r="A126" s="269" t="s">
        <v>13</v>
      </c>
      <c r="B126" s="122" t="str">
        <f t="shared" si="25"/>
        <v>Garlic - ثوم مقشر</v>
      </c>
      <c r="C126" s="122" t="str">
        <f t="shared" si="25"/>
        <v>gm</v>
      </c>
      <c r="D126" s="122">
        <f t="shared" si="25"/>
        <v>20</v>
      </c>
      <c r="E126" s="196">
        <f t="shared" si="29"/>
        <v>9.7183859649122759</v>
      </c>
      <c r="F126" s="126">
        <f t="shared" si="26"/>
        <v>1</v>
      </c>
      <c r="G126" s="118">
        <f t="shared" si="27"/>
        <v>194.3677192982455</v>
      </c>
      <c r="H126" s="119">
        <f t="shared" si="28"/>
        <v>194.3677192982455</v>
      </c>
    </row>
    <row r="127" spans="1:8" ht="14.25" customHeight="1" x14ac:dyDescent="0.3">
      <c r="A127" s="269" t="s">
        <v>62</v>
      </c>
      <c r="B127" s="122" t="str">
        <f t="shared" si="25"/>
        <v>Coriander Leaves - كزبرة خضراء</v>
      </c>
      <c r="C127" s="122" t="str">
        <f t="shared" si="25"/>
        <v>gm</v>
      </c>
      <c r="D127" s="122">
        <f t="shared" si="25"/>
        <v>10</v>
      </c>
      <c r="E127" s="196">
        <f t="shared" si="29"/>
        <v>9.7183859649122759</v>
      </c>
      <c r="F127" s="126">
        <f t="shared" si="26"/>
        <v>1</v>
      </c>
      <c r="G127" s="118">
        <f t="shared" si="27"/>
        <v>97.183859649122752</v>
      </c>
      <c r="H127" s="119">
        <f t="shared" si="28"/>
        <v>97.183859649122752</v>
      </c>
    </row>
    <row r="128" spans="1:8" ht="14.25" customHeight="1" x14ac:dyDescent="0.3">
      <c r="A128" s="269" t="s">
        <v>62</v>
      </c>
      <c r="B128" s="122" t="str">
        <f t="shared" si="25"/>
        <v>Honey - عسل</v>
      </c>
      <c r="C128" s="122" t="str">
        <f t="shared" si="25"/>
        <v>gm</v>
      </c>
      <c r="D128" s="122">
        <f t="shared" si="25"/>
        <v>30</v>
      </c>
      <c r="E128" s="196">
        <f t="shared" si="29"/>
        <v>9.7183859649122759</v>
      </c>
      <c r="F128" s="126">
        <f t="shared" si="26"/>
        <v>1</v>
      </c>
      <c r="G128" s="118">
        <f t="shared" si="27"/>
        <v>291.55157894736828</v>
      </c>
      <c r="H128" s="119">
        <f t="shared" si="28"/>
        <v>291.55157894736828</v>
      </c>
    </row>
    <row r="129" spans="1:8" ht="14.25" customHeight="1" x14ac:dyDescent="0.3">
      <c r="A129" s="269" t="s">
        <v>62</v>
      </c>
      <c r="B129" s="122" t="str">
        <f t="shared" si="25"/>
        <v>Salt - ملح</v>
      </c>
      <c r="C129" s="122" t="str">
        <f t="shared" si="25"/>
        <v>gm</v>
      </c>
      <c r="D129" s="122">
        <f t="shared" si="25"/>
        <v>13</v>
      </c>
      <c r="E129" s="196">
        <f t="shared" si="29"/>
        <v>9.7183859649122759</v>
      </c>
      <c r="F129" s="126">
        <f t="shared" si="26"/>
        <v>0.75</v>
      </c>
      <c r="G129" s="118">
        <f t="shared" si="27"/>
        <v>126.33901754385958</v>
      </c>
      <c r="H129" s="119">
        <f t="shared" si="28"/>
        <v>94.754263157894684</v>
      </c>
    </row>
    <row r="130" spans="1:8" ht="14.25" customHeight="1" x14ac:dyDescent="0.3">
      <c r="A130" s="269" t="s">
        <v>182</v>
      </c>
      <c r="B130" s="122" t="str">
        <f t="shared" si="25"/>
        <v>Cooking Cream - كريمة طبخ</v>
      </c>
      <c r="C130" s="122" t="str">
        <f t="shared" si="25"/>
        <v>ml</v>
      </c>
      <c r="D130" s="122">
        <f t="shared" si="25"/>
        <v>350</v>
      </c>
      <c r="E130" s="196">
        <f t="shared" si="29"/>
        <v>9.7183859649122759</v>
      </c>
      <c r="F130" s="126">
        <f t="shared" si="26"/>
        <v>1</v>
      </c>
      <c r="G130" s="118">
        <f t="shared" si="27"/>
        <v>3401.4350877192965</v>
      </c>
      <c r="H130" s="119">
        <f t="shared" si="28"/>
        <v>3401.4350877192965</v>
      </c>
    </row>
    <row r="131" spans="1:8" ht="14.25" customHeight="1" x14ac:dyDescent="0.3">
      <c r="A131" s="269" t="s">
        <v>95</v>
      </c>
      <c r="B131" s="122" t="str">
        <f t="shared" si="25"/>
        <v>Water - ماء</v>
      </c>
      <c r="C131" s="122" t="str">
        <f t="shared" si="25"/>
        <v>ml</v>
      </c>
      <c r="D131" s="122">
        <f t="shared" si="25"/>
        <v>250</v>
      </c>
      <c r="E131" s="196">
        <f t="shared" si="29"/>
        <v>9.7183859649122759</v>
      </c>
      <c r="F131" s="126">
        <f t="shared" si="26"/>
        <v>1</v>
      </c>
      <c r="G131" s="118">
        <f t="shared" si="27"/>
        <v>2429.5964912280688</v>
      </c>
      <c r="H131" s="119">
        <f t="shared" si="28"/>
        <v>2429.5964912280688</v>
      </c>
    </row>
    <row r="132" spans="1:8" ht="14.25" customHeight="1" x14ac:dyDescent="0.3">
      <c r="A132" s="269" t="s">
        <v>154</v>
      </c>
      <c r="B132" s="122" t="str">
        <f t="shared" si="25"/>
        <v>Butter - زبدة</v>
      </c>
      <c r="C132" s="122" t="str">
        <f t="shared" si="25"/>
        <v>gm</v>
      </c>
      <c r="D132" s="122">
        <f t="shared" si="25"/>
        <v>50</v>
      </c>
      <c r="E132" s="196">
        <f t="shared" si="29"/>
        <v>9.7183859649122759</v>
      </c>
      <c r="F132" s="126">
        <f t="shared" si="26"/>
        <v>1</v>
      </c>
      <c r="G132" s="118">
        <f t="shared" si="27"/>
        <v>485.91929824561379</v>
      </c>
      <c r="H132" s="119">
        <f t="shared" si="28"/>
        <v>485.91929824561379</v>
      </c>
    </row>
    <row r="133" spans="1:8" ht="14.25" customHeight="1" x14ac:dyDescent="0.3">
      <c r="A133" s="269" t="s">
        <v>206</v>
      </c>
      <c r="B133" s="122" t="str">
        <f t="shared" si="25"/>
        <v>Orange Color - لون برتقالي</v>
      </c>
      <c r="C133" s="122" t="str">
        <f t="shared" si="25"/>
        <v>gm</v>
      </c>
      <c r="D133" s="122">
        <f t="shared" si="25"/>
        <v>2</v>
      </c>
      <c r="E133" s="196">
        <f t="shared" si="29"/>
        <v>9.7183859649122759</v>
      </c>
      <c r="F133" s="126">
        <f t="shared" si="26"/>
        <v>0.75</v>
      </c>
      <c r="G133" s="118">
        <f t="shared" si="27"/>
        <v>19.436771929824552</v>
      </c>
      <c r="H133" s="119">
        <f t="shared" si="28"/>
        <v>14.577578947368414</v>
      </c>
    </row>
    <row r="134" spans="1:8" ht="14.25" customHeight="1" x14ac:dyDescent="0.3">
      <c r="A134" s="269" t="s">
        <v>154</v>
      </c>
      <c r="B134" s="122" t="str">
        <f t="shared" si="25"/>
        <v>Kasuri Methi - ورق حلبة مجففة</v>
      </c>
      <c r="C134" s="122" t="str">
        <f t="shared" si="25"/>
        <v>gm</v>
      </c>
      <c r="D134" s="122">
        <f t="shared" si="25"/>
        <v>1</v>
      </c>
      <c r="E134" s="196">
        <f t="shared" si="29"/>
        <v>9.7183859649122759</v>
      </c>
      <c r="F134" s="126">
        <f t="shared" si="26"/>
        <v>1</v>
      </c>
      <c r="G134" s="118">
        <f t="shared" si="27"/>
        <v>9.7183859649122759</v>
      </c>
      <c r="H134" s="119">
        <f t="shared" si="28"/>
        <v>9.7183859649122759</v>
      </c>
    </row>
    <row r="135" spans="1:8" ht="14.25" customHeight="1" x14ac:dyDescent="0.3">
      <c r="A135" s="269" t="s">
        <v>215</v>
      </c>
      <c r="B135" s="122" t="str">
        <f t="shared" si="25"/>
        <v>Black Pepper Whole - فلفل أسود حب</v>
      </c>
      <c r="C135" s="122" t="str">
        <f t="shared" si="25"/>
        <v>gm</v>
      </c>
      <c r="D135" s="122">
        <f t="shared" si="25"/>
        <v>1</v>
      </c>
      <c r="E135" s="196">
        <f t="shared" si="29"/>
        <v>9.7183859649122759</v>
      </c>
      <c r="F135" s="126">
        <f t="shared" si="26"/>
        <v>1</v>
      </c>
      <c r="G135" s="118">
        <f t="shared" si="27"/>
        <v>9.7183859649122759</v>
      </c>
      <c r="H135" s="119">
        <f t="shared" si="28"/>
        <v>9.7183859649122759</v>
      </c>
    </row>
    <row r="136" spans="1:8" ht="14.25" customHeight="1" x14ac:dyDescent="0.3">
      <c r="A136" s="269" t="s">
        <v>95</v>
      </c>
      <c r="B136" s="122" t="str">
        <f t="shared" si="25"/>
        <v>Cumin Whole - كمون حب</v>
      </c>
      <c r="C136" s="122" t="str">
        <f t="shared" si="25"/>
        <v>gm</v>
      </c>
      <c r="D136" s="122">
        <f t="shared" si="25"/>
        <v>1</v>
      </c>
      <c r="E136" s="196">
        <f t="shared" si="29"/>
        <v>9.7183859649122759</v>
      </c>
      <c r="F136" s="126">
        <f t="shared" si="26"/>
        <v>1</v>
      </c>
      <c r="G136" s="118">
        <f t="shared" si="27"/>
        <v>9.7183859649122759</v>
      </c>
      <c r="H136" s="119">
        <f t="shared" si="28"/>
        <v>9.7183859649122759</v>
      </c>
    </row>
    <row r="137" spans="1:8" ht="14.25" customHeight="1" x14ac:dyDescent="0.3">
      <c r="A137" s="269" t="s">
        <v>95</v>
      </c>
      <c r="B137" s="122" t="str">
        <f t="shared" si="25"/>
        <v>Cloves Whole - قرنفل حب</v>
      </c>
      <c r="C137" s="122" t="str">
        <f t="shared" si="25"/>
        <v>gm</v>
      </c>
      <c r="D137" s="122">
        <f t="shared" si="25"/>
        <v>1</v>
      </c>
      <c r="E137" s="196">
        <f t="shared" si="29"/>
        <v>9.7183859649122759</v>
      </c>
      <c r="F137" s="126">
        <f t="shared" si="26"/>
        <v>1</v>
      </c>
      <c r="G137" s="118">
        <f t="shared" si="27"/>
        <v>9.7183859649122759</v>
      </c>
      <c r="H137" s="119">
        <f t="shared" si="28"/>
        <v>9.7183859649122759</v>
      </c>
    </row>
    <row r="138" spans="1:8" ht="14.25" customHeight="1" x14ac:dyDescent="0.3">
      <c r="A138" s="269" t="s">
        <v>215</v>
      </c>
      <c r="B138" s="122" t="str">
        <f t="shared" si="25"/>
        <v>Cinnamon Whole - قرفة أعواد</v>
      </c>
      <c r="C138" s="122" t="str">
        <f t="shared" si="25"/>
        <v>gm</v>
      </c>
      <c r="D138" s="122">
        <f t="shared" si="25"/>
        <v>0.5</v>
      </c>
      <c r="E138" s="196">
        <f t="shared" si="29"/>
        <v>9.7183859649122759</v>
      </c>
      <c r="F138" s="126">
        <f t="shared" si="26"/>
        <v>1</v>
      </c>
      <c r="G138" s="118">
        <f t="shared" si="27"/>
        <v>4.859192982456138</v>
      </c>
      <c r="H138" s="119">
        <f t="shared" si="28"/>
        <v>4.859192982456138</v>
      </c>
    </row>
    <row r="139" spans="1:8" ht="14.25" customHeight="1" x14ac:dyDescent="0.3">
      <c r="A139" s="269" t="s">
        <v>95</v>
      </c>
      <c r="B139" s="122" t="str">
        <f t="shared" si="25"/>
        <v>Cardamom Whole - هيل حب</v>
      </c>
      <c r="C139" s="122" t="str">
        <f t="shared" si="25"/>
        <v>gm</v>
      </c>
      <c r="D139" s="122">
        <f t="shared" si="25"/>
        <v>0.5</v>
      </c>
      <c r="E139" s="196">
        <f t="shared" si="29"/>
        <v>9.7183859649122759</v>
      </c>
      <c r="F139" s="126">
        <f t="shared" si="26"/>
        <v>1</v>
      </c>
      <c r="G139" s="118">
        <f t="shared" si="27"/>
        <v>4.859192982456138</v>
      </c>
      <c r="H139" s="119">
        <f t="shared" si="28"/>
        <v>4.859192982456138</v>
      </c>
    </row>
    <row r="140" spans="1:8" ht="14.25" customHeight="1" x14ac:dyDescent="0.3">
      <c r="A140" s="269" t="s">
        <v>95</v>
      </c>
      <c r="B140" s="122" t="str">
        <f t="shared" si="25"/>
        <v>Tomato Ketchup - كاتشب طماطم</v>
      </c>
      <c r="C140" s="122" t="str">
        <f t="shared" si="25"/>
        <v>ml</v>
      </c>
      <c r="D140" s="122">
        <f t="shared" si="25"/>
        <v>50</v>
      </c>
      <c r="E140" s="196">
        <f t="shared" si="29"/>
        <v>9.7183859649122759</v>
      </c>
      <c r="F140" s="126">
        <f t="shared" si="26"/>
        <v>1</v>
      </c>
      <c r="G140" s="118">
        <f t="shared" si="27"/>
        <v>485.91929824561379</v>
      </c>
      <c r="H140" s="119">
        <f t="shared" si="28"/>
        <v>485.91929824561379</v>
      </c>
    </row>
    <row r="141" spans="1:8" ht="20.25" customHeight="1" x14ac:dyDescent="0.3">
      <c r="A141" s="210"/>
      <c r="B141" s="197" t="s">
        <v>291</v>
      </c>
      <c r="C141" s="199" t="s">
        <v>277</v>
      </c>
      <c r="D141" s="14"/>
      <c r="E141" s="199" t="s">
        <v>292</v>
      </c>
      <c r="F141" s="14"/>
      <c r="G141" s="878" t="s">
        <v>268</v>
      </c>
      <c r="H141" s="878" t="s">
        <v>703</v>
      </c>
    </row>
    <row r="142" spans="1:8" ht="20" x14ac:dyDescent="0.4">
      <c r="A142" s="210"/>
      <c r="B142" s="198">
        <f>$J$55</f>
        <v>12560.018181818188</v>
      </c>
      <c r="C142" s="198">
        <f>E142+G142</f>
        <v>9232.4666666666617</v>
      </c>
      <c r="D142" s="915"/>
      <c r="E142" s="198">
        <f>$D$55*$S$44</f>
        <v>3776.9181818181801</v>
      </c>
      <c r="F142" s="919"/>
      <c r="G142" s="198">
        <f>$D$55*$T$44</f>
        <v>5455.5484848484821</v>
      </c>
      <c r="H142" s="198">
        <f>B142+E142</f>
        <v>16336.936363636369</v>
      </c>
    </row>
    <row r="144" spans="1:8" x14ac:dyDescent="0.3">
      <c r="A144" s="923"/>
      <c r="B144" s="1438" t="str">
        <f>"دجاج هندي بالزبدة  4 / " &amp; COUNTIF($C$53:$C$55, "&gt;0")</f>
        <v>دجاج هندي بالزبدة  4 / 3</v>
      </c>
      <c r="C144" s="1439"/>
      <c r="D144" s="1439"/>
      <c r="E144" s="1439"/>
      <c r="F144" s="1439"/>
      <c r="G144" s="1439"/>
      <c r="H144" s="1439"/>
    </row>
    <row r="145" spans="1:8" x14ac:dyDescent="0.3">
      <c r="A145" s="923"/>
      <c r="B145" s="1436" t="str">
        <f>"Butter Chicken 4 / " &amp; COUNTIF($C$53:$C$55, "&gt;0")</f>
        <v>Butter Chicken 4 / 3</v>
      </c>
      <c r="C145" s="1437"/>
      <c r="D145" s="1437"/>
      <c r="E145" s="1437"/>
      <c r="F145" s="1437"/>
      <c r="G145" s="1437"/>
      <c r="H145" s="1437"/>
    </row>
    <row r="146" spans="1:8" ht="38" customHeight="1" x14ac:dyDescent="0.3">
      <c r="A146" s="90"/>
      <c r="B146" s="242" t="s">
        <v>245</v>
      </c>
      <c r="C146" s="243" t="s">
        <v>246</v>
      </c>
      <c r="D146" s="244" t="s">
        <v>235</v>
      </c>
      <c r="E146" s="217" t="s">
        <v>238</v>
      </c>
      <c r="F146" s="217" t="s">
        <v>247</v>
      </c>
      <c r="G146" s="244" t="s">
        <v>248</v>
      </c>
      <c r="H146" s="217" t="s">
        <v>249</v>
      </c>
    </row>
    <row r="147" spans="1:8" x14ac:dyDescent="0.3">
      <c r="A147" s="269" t="s">
        <v>225</v>
      </c>
      <c r="B147" s="122" t="str">
        <f>B5</f>
        <v>Chicken - دجاج</v>
      </c>
      <c r="C147" s="122" t="str">
        <f t="shared" ref="C147:D147" si="30">C5</f>
        <v>gm</v>
      </c>
      <c r="D147" s="122">
        <f t="shared" si="30"/>
        <v>2311.3713405238827</v>
      </c>
      <c r="E147" s="196">
        <f>H56</f>
        <v>0</v>
      </c>
      <c r="F147" s="126">
        <f>F5</f>
        <v>1</v>
      </c>
      <c r="G147" s="118">
        <f t="shared" ref="G147:G167" si="31">D147*E147</f>
        <v>0</v>
      </c>
      <c r="H147" s="119">
        <f t="shared" ref="H147:H167" si="32">G147*F147</f>
        <v>0</v>
      </c>
    </row>
    <row r="148" spans="1:8" x14ac:dyDescent="0.3">
      <c r="A148" s="269" t="s">
        <v>13</v>
      </c>
      <c r="B148" s="122" t="str">
        <f t="shared" ref="B148:D148" si="33">B6</f>
        <v>Onion - بصل</v>
      </c>
      <c r="C148" s="122" t="str">
        <f t="shared" si="33"/>
        <v>gm</v>
      </c>
      <c r="D148" s="122">
        <f t="shared" si="33"/>
        <v>80</v>
      </c>
      <c r="E148" s="196">
        <f>$C$56</f>
        <v>0</v>
      </c>
      <c r="F148" s="126">
        <f t="shared" ref="F148:F167" si="34">F6</f>
        <v>1</v>
      </c>
      <c r="G148" s="118">
        <f t="shared" si="31"/>
        <v>0</v>
      </c>
      <c r="H148" s="119">
        <f t="shared" si="32"/>
        <v>0</v>
      </c>
    </row>
    <row r="149" spans="1:8" x14ac:dyDescent="0.3">
      <c r="A149" s="269" t="s">
        <v>13</v>
      </c>
      <c r="B149" s="122" t="str">
        <f t="shared" ref="B149:D149" si="35">B7</f>
        <v>Tomato - طماطم</v>
      </c>
      <c r="C149" s="122" t="str">
        <f t="shared" si="35"/>
        <v>gm</v>
      </c>
      <c r="D149" s="122">
        <f t="shared" si="35"/>
        <v>400</v>
      </c>
      <c r="E149" s="196">
        <f t="shared" ref="E149:E167" si="36">$C$56</f>
        <v>0</v>
      </c>
      <c r="F149" s="126">
        <f t="shared" si="34"/>
        <v>1</v>
      </c>
      <c r="G149" s="118">
        <f t="shared" si="31"/>
        <v>0</v>
      </c>
      <c r="H149" s="119">
        <f t="shared" si="32"/>
        <v>0</v>
      </c>
    </row>
    <row r="150" spans="1:8" x14ac:dyDescent="0.3">
      <c r="A150" s="269" t="s">
        <v>179</v>
      </c>
      <c r="B150" s="122" t="str">
        <f t="shared" ref="B150:D150" si="37">B8</f>
        <v>Cashew Nut - كاجو</v>
      </c>
      <c r="C150" s="122" t="str">
        <f t="shared" si="37"/>
        <v>gm</v>
      </c>
      <c r="D150" s="122">
        <f t="shared" si="37"/>
        <v>50</v>
      </c>
      <c r="E150" s="196">
        <f t="shared" si="36"/>
        <v>0</v>
      </c>
      <c r="F150" s="126">
        <f t="shared" si="34"/>
        <v>0.5</v>
      </c>
      <c r="G150" s="118">
        <f t="shared" si="31"/>
        <v>0</v>
      </c>
      <c r="H150" s="119">
        <f t="shared" si="32"/>
        <v>0</v>
      </c>
    </row>
    <row r="151" spans="1:8" x14ac:dyDescent="0.3">
      <c r="A151" s="269" t="s">
        <v>95</v>
      </c>
      <c r="B151" s="122" t="str">
        <f t="shared" ref="B151:D151" si="38">B9</f>
        <v>Kashmiri Red Chilli Whole - فلفل كشميري أحمر كامل</v>
      </c>
      <c r="C151" s="122" t="str">
        <f t="shared" si="38"/>
        <v>gm</v>
      </c>
      <c r="D151" s="122">
        <f t="shared" si="38"/>
        <v>5</v>
      </c>
      <c r="E151" s="196">
        <f t="shared" si="36"/>
        <v>0</v>
      </c>
      <c r="F151" s="126">
        <f t="shared" si="34"/>
        <v>0.75</v>
      </c>
      <c r="G151" s="118">
        <f t="shared" si="31"/>
        <v>0</v>
      </c>
      <c r="H151" s="119">
        <f t="shared" si="32"/>
        <v>0</v>
      </c>
    </row>
    <row r="152" spans="1:8" x14ac:dyDescent="0.3">
      <c r="A152" s="269" t="s">
        <v>56</v>
      </c>
      <c r="B152" s="122" t="str">
        <f t="shared" ref="B152:D152" si="39">B10</f>
        <v>Ginger - زنجبيل</v>
      </c>
      <c r="C152" s="122" t="str">
        <f t="shared" si="39"/>
        <v>gm</v>
      </c>
      <c r="D152" s="122">
        <f t="shared" si="39"/>
        <v>5</v>
      </c>
      <c r="E152" s="196">
        <f t="shared" si="36"/>
        <v>0</v>
      </c>
      <c r="F152" s="126">
        <f t="shared" si="34"/>
        <v>1</v>
      </c>
      <c r="G152" s="118">
        <f t="shared" si="31"/>
        <v>0</v>
      </c>
      <c r="H152" s="119">
        <f t="shared" si="32"/>
        <v>0</v>
      </c>
    </row>
    <row r="153" spans="1:8" x14ac:dyDescent="0.3">
      <c r="A153" s="269" t="s">
        <v>13</v>
      </c>
      <c r="B153" s="122" t="str">
        <f t="shared" ref="B153:D153" si="40">B11</f>
        <v>Garlic - ثوم مقشر</v>
      </c>
      <c r="C153" s="122" t="str">
        <f t="shared" si="40"/>
        <v>gm</v>
      </c>
      <c r="D153" s="122">
        <f t="shared" si="40"/>
        <v>20</v>
      </c>
      <c r="E153" s="196">
        <f t="shared" si="36"/>
        <v>0</v>
      </c>
      <c r="F153" s="126">
        <f t="shared" si="34"/>
        <v>1</v>
      </c>
      <c r="G153" s="118">
        <f t="shared" si="31"/>
        <v>0</v>
      </c>
      <c r="H153" s="119">
        <f t="shared" si="32"/>
        <v>0</v>
      </c>
    </row>
    <row r="154" spans="1:8" x14ac:dyDescent="0.3">
      <c r="A154" s="269" t="s">
        <v>62</v>
      </c>
      <c r="B154" s="122" t="str">
        <f t="shared" ref="B154:D154" si="41">B12</f>
        <v>Coriander Leaves - كزبرة خضراء</v>
      </c>
      <c r="C154" s="122" t="str">
        <f t="shared" si="41"/>
        <v>gm</v>
      </c>
      <c r="D154" s="122">
        <f t="shared" si="41"/>
        <v>10</v>
      </c>
      <c r="E154" s="196">
        <f t="shared" si="36"/>
        <v>0</v>
      </c>
      <c r="F154" s="126">
        <f t="shared" si="34"/>
        <v>1</v>
      </c>
      <c r="G154" s="118">
        <f t="shared" si="31"/>
        <v>0</v>
      </c>
      <c r="H154" s="119">
        <f t="shared" si="32"/>
        <v>0</v>
      </c>
    </row>
    <row r="155" spans="1:8" x14ac:dyDescent="0.3">
      <c r="A155" s="269" t="s">
        <v>62</v>
      </c>
      <c r="B155" s="122" t="str">
        <f t="shared" ref="B155:D155" si="42">B13</f>
        <v>Honey - عسل</v>
      </c>
      <c r="C155" s="122" t="str">
        <f t="shared" si="42"/>
        <v>gm</v>
      </c>
      <c r="D155" s="122">
        <f t="shared" si="42"/>
        <v>30</v>
      </c>
      <c r="E155" s="196">
        <f t="shared" si="36"/>
        <v>0</v>
      </c>
      <c r="F155" s="126">
        <f t="shared" si="34"/>
        <v>1</v>
      </c>
      <c r="G155" s="118">
        <f t="shared" si="31"/>
        <v>0</v>
      </c>
      <c r="H155" s="119">
        <f t="shared" si="32"/>
        <v>0</v>
      </c>
    </row>
    <row r="156" spans="1:8" x14ac:dyDescent="0.3">
      <c r="A156" s="269" t="s">
        <v>62</v>
      </c>
      <c r="B156" s="122" t="str">
        <f t="shared" ref="B156:D156" si="43">B14</f>
        <v>Salt - ملح</v>
      </c>
      <c r="C156" s="122" t="str">
        <f t="shared" si="43"/>
        <v>gm</v>
      </c>
      <c r="D156" s="122">
        <f t="shared" si="43"/>
        <v>13</v>
      </c>
      <c r="E156" s="196">
        <f t="shared" si="36"/>
        <v>0</v>
      </c>
      <c r="F156" s="126">
        <f t="shared" si="34"/>
        <v>0.75</v>
      </c>
      <c r="G156" s="118">
        <f t="shared" si="31"/>
        <v>0</v>
      </c>
      <c r="H156" s="119">
        <f t="shared" si="32"/>
        <v>0</v>
      </c>
    </row>
    <row r="157" spans="1:8" x14ac:dyDescent="0.3">
      <c r="A157" s="269" t="s">
        <v>182</v>
      </c>
      <c r="B157" s="122" t="str">
        <f t="shared" ref="B157:D157" si="44">B15</f>
        <v>Cooking Cream - كريمة طبخ</v>
      </c>
      <c r="C157" s="122" t="str">
        <f t="shared" si="44"/>
        <v>ml</v>
      </c>
      <c r="D157" s="122">
        <f t="shared" si="44"/>
        <v>350</v>
      </c>
      <c r="E157" s="196">
        <f t="shared" si="36"/>
        <v>0</v>
      </c>
      <c r="F157" s="126">
        <f t="shared" si="34"/>
        <v>1</v>
      </c>
      <c r="G157" s="118">
        <f t="shared" si="31"/>
        <v>0</v>
      </c>
      <c r="H157" s="119">
        <f t="shared" si="32"/>
        <v>0</v>
      </c>
    </row>
    <row r="158" spans="1:8" x14ac:dyDescent="0.3">
      <c r="A158" s="269" t="s">
        <v>95</v>
      </c>
      <c r="B158" s="122" t="str">
        <f t="shared" ref="B158:D158" si="45">B16</f>
        <v>Water - ماء</v>
      </c>
      <c r="C158" s="122" t="str">
        <f t="shared" si="45"/>
        <v>ml</v>
      </c>
      <c r="D158" s="122">
        <f t="shared" si="45"/>
        <v>250</v>
      </c>
      <c r="E158" s="196">
        <f t="shared" si="36"/>
        <v>0</v>
      </c>
      <c r="F158" s="126">
        <f t="shared" si="34"/>
        <v>1</v>
      </c>
      <c r="G158" s="118">
        <f t="shared" si="31"/>
        <v>0</v>
      </c>
      <c r="H158" s="119">
        <f t="shared" si="32"/>
        <v>0</v>
      </c>
    </row>
    <row r="159" spans="1:8" x14ac:dyDescent="0.3">
      <c r="A159" s="269" t="s">
        <v>154</v>
      </c>
      <c r="B159" s="122" t="str">
        <f t="shared" ref="B159:D159" si="46">B17</f>
        <v>Butter - زبدة</v>
      </c>
      <c r="C159" s="122" t="str">
        <f t="shared" si="46"/>
        <v>gm</v>
      </c>
      <c r="D159" s="122">
        <f t="shared" si="46"/>
        <v>50</v>
      </c>
      <c r="E159" s="196">
        <f t="shared" si="36"/>
        <v>0</v>
      </c>
      <c r="F159" s="126">
        <f t="shared" si="34"/>
        <v>1</v>
      </c>
      <c r="G159" s="118">
        <f t="shared" si="31"/>
        <v>0</v>
      </c>
      <c r="H159" s="119">
        <f t="shared" si="32"/>
        <v>0</v>
      </c>
    </row>
    <row r="160" spans="1:8" x14ac:dyDescent="0.3">
      <c r="A160" s="269" t="s">
        <v>206</v>
      </c>
      <c r="B160" s="122" t="str">
        <f t="shared" ref="B160:D160" si="47">B18</f>
        <v>Orange Color - لون برتقالي</v>
      </c>
      <c r="C160" s="122" t="str">
        <f t="shared" si="47"/>
        <v>gm</v>
      </c>
      <c r="D160" s="122">
        <f t="shared" si="47"/>
        <v>2</v>
      </c>
      <c r="E160" s="196">
        <f t="shared" si="36"/>
        <v>0</v>
      </c>
      <c r="F160" s="126">
        <f t="shared" si="34"/>
        <v>0.75</v>
      </c>
      <c r="G160" s="118">
        <f t="shared" si="31"/>
        <v>0</v>
      </c>
      <c r="H160" s="119">
        <f t="shared" si="32"/>
        <v>0</v>
      </c>
    </row>
    <row r="161" spans="1:8" x14ac:dyDescent="0.3">
      <c r="A161" s="269" t="s">
        <v>154</v>
      </c>
      <c r="B161" s="122" t="str">
        <f t="shared" ref="B161:D161" si="48">B19</f>
        <v>Kasuri Methi - ورق حلبة مجففة</v>
      </c>
      <c r="C161" s="122" t="str">
        <f t="shared" si="48"/>
        <v>gm</v>
      </c>
      <c r="D161" s="122">
        <f t="shared" si="48"/>
        <v>1</v>
      </c>
      <c r="E161" s="196">
        <f t="shared" si="36"/>
        <v>0</v>
      </c>
      <c r="F161" s="126">
        <f t="shared" si="34"/>
        <v>1</v>
      </c>
      <c r="G161" s="118">
        <f t="shared" si="31"/>
        <v>0</v>
      </c>
      <c r="H161" s="119">
        <f t="shared" si="32"/>
        <v>0</v>
      </c>
    </row>
    <row r="162" spans="1:8" x14ac:dyDescent="0.3">
      <c r="A162" s="269" t="s">
        <v>215</v>
      </c>
      <c r="B162" s="122" t="str">
        <f t="shared" ref="B162:D162" si="49">B20</f>
        <v>Black Pepper Whole - فلفل أسود حب</v>
      </c>
      <c r="C162" s="122" t="str">
        <f t="shared" si="49"/>
        <v>gm</v>
      </c>
      <c r="D162" s="122">
        <f t="shared" si="49"/>
        <v>1</v>
      </c>
      <c r="E162" s="196">
        <f t="shared" si="36"/>
        <v>0</v>
      </c>
      <c r="F162" s="126">
        <f t="shared" si="34"/>
        <v>1</v>
      </c>
      <c r="G162" s="118">
        <f t="shared" si="31"/>
        <v>0</v>
      </c>
      <c r="H162" s="119">
        <f t="shared" si="32"/>
        <v>0</v>
      </c>
    </row>
    <row r="163" spans="1:8" x14ac:dyDescent="0.3">
      <c r="A163" s="269" t="s">
        <v>95</v>
      </c>
      <c r="B163" s="122" t="str">
        <f t="shared" ref="B163:D163" si="50">B21</f>
        <v>Cumin Whole - كمون حب</v>
      </c>
      <c r="C163" s="122" t="str">
        <f t="shared" si="50"/>
        <v>gm</v>
      </c>
      <c r="D163" s="122">
        <f t="shared" si="50"/>
        <v>1</v>
      </c>
      <c r="E163" s="196">
        <f t="shared" si="36"/>
        <v>0</v>
      </c>
      <c r="F163" s="126">
        <f t="shared" si="34"/>
        <v>1</v>
      </c>
      <c r="G163" s="118">
        <f t="shared" si="31"/>
        <v>0</v>
      </c>
      <c r="H163" s="119">
        <f t="shared" si="32"/>
        <v>0</v>
      </c>
    </row>
    <row r="164" spans="1:8" x14ac:dyDescent="0.3">
      <c r="A164" s="269" t="s">
        <v>95</v>
      </c>
      <c r="B164" s="122" t="str">
        <f t="shared" ref="B164:D164" si="51">B22</f>
        <v>Cloves Whole - قرنفل حب</v>
      </c>
      <c r="C164" s="122" t="str">
        <f t="shared" si="51"/>
        <v>gm</v>
      </c>
      <c r="D164" s="122">
        <f t="shared" si="51"/>
        <v>1</v>
      </c>
      <c r="E164" s="196">
        <f t="shared" si="36"/>
        <v>0</v>
      </c>
      <c r="F164" s="126">
        <f t="shared" si="34"/>
        <v>1</v>
      </c>
      <c r="G164" s="118">
        <f t="shared" si="31"/>
        <v>0</v>
      </c>
      <c r="H164" s="119">
        <f t="shared" si="32"/>
        <v>0</v>
      </c>
    </row>
    <row r="165" spans="1:8" x14ac:dyDescent="0.3">
      <c r="A165" s="269" t="s">
        <v>215</v>
      </c>
      <c r="B165" s="122" t="str">
        <f t="shared" ref="B165:D165" si="52">B23</f>
        <v>Cinnamon Whole - قرفة أعواد</v>
      </c>
      <c r="C165" s="122" t="str">
        <f t="shared" si="52"/>
        <v>gm</v>
      </c>
      <c r="D165" s="122">
        <f t="shared" si="52"/>
        <v>0.5</v>
      </c>
      <c r="E165" s="196">
        <f t="shared" si="36"/>
        <v>0</v>
      </c>
      <c r="F165" s="126">
        <f t="shared" si="34"/>
        <v>1</v>
      </c>
      <c r="G165" s="118">
        <f t="shared" si="31"/>
        <v>0</v>
      </c>
      <c r="H165" s="119">
        <f t="shared" si="32"/>
        <v>0</v>
      </c>
    </row>
    <row r="166" spans="1:8" x14ac:dyDescent="0.3">
      <c r="A166" s="269" t="s">
        <v>95</v>
      </c>
      <c r="B166" s="122" t="str">
        <f t="shared" ref="B166:D166" si="53">B24</f>
        <v>Cardamom Whole - هيل حب</v>
      </c>
      <c r="C166" s="122" t="str">
        <f t="shared" si="53"/>
        <v>gm</v>
      </c>
      <c r="D166" s="122">
        <f t="shared" si="53"/>
        <v>0.5</v>
      </c>
      <c r="E166" s="196">
        <f t="shared" si="36"/>
        <v>0</v>
      </c>
      <c r="F166" s="126">
        <f t="shared" si="34"/>
        <v>1</v>
      </c>
      <c r="G166" s="118">
        <f t="shared" si="31"/>
        <v>0</v>
      </c>
      <c r="H166" s="119">
        <f t="shared" si="32"/>
        <v>0</v>
      </c>
    </row>
    <row r="167" spans="1:8" x14ac:dyDescent="0.3">
      <c r="A167" s="269" t="s">
        <v>95</v>
      </c>
      <c r="B167" s="122" t="str">
        <f t="shared" ref="B167:D167" si="54">B25</f>
        <v>Tomato Ketchup - كاتشب طماطم</v>
      </c>
      <c r="C167" s="122" t="str">
        <f t="shared" si="54"/>
        <v>ml</v>
      </c>
      <c r="D167" s="122">
        <f t="shared" si="54"/>
        <v>50</v>
      </c>
      <c r="E167" s="196">
        <f t="shared" si="36"/>
        <v>0</v>
      </c>
      <c r="F167" s="126">
        <f t="shared" si="34"/>
        <v>1</v>
      </c>
      <c r="G167" s="118">
        <f t="shared" si="31"/>
        <v>0</v>
      </c>
      <c r="H167" s="119">
        <f t="shared" si="32"/>
        <v>0</v>
      </c>
    </row>
    <row r="168" spans="1:8" ht="18" x14ac:dyDescent="0.3">
      <c r="A168" s="210"/>
      <c r="B168" s="197" t="s">
        <v>291</v>
      </c>
      <c r="C168" s="199" t="s">
        <v>277</v>
      </c>
      <c r="D168" s="14"/>
      <c r="E168" s="199" t="s">
        <v>292</v>
      </c>
      <c r="F168" s="14"/>
      <c r="G168" s="878" t="s">
        <v>268</v>
      </c>
      <c r="H168" s="878" t="s">
        <v>703</v>
      </c>
    </row>
    <row r="169" spans="1:8" ht="20" x14ac:dyDescent="0.4">
      <c r="A169" s="210"/>
      <c r="B169" s="198">
        <f>$J$56</f>
        <v>0</v>
      </c>
      <c r="C169" s="198">
        <f>E169+G169</f>
        <v>0</v>
      </c>
      <c r="D169" s="915"/>
      <c r="E169" s="198">
        <f>$D$56*$S$44</f>
        <v>0</v>
      </c>
      <c r="F169" s="919"/>
      <c r="G169" s="198">
        <f>$D$56*$T$44</f>
        <v>0</v>
      </c>
      <c r="H169" s="198">
        <f>B169+E169</f>
        <v>0</v>
      </c>
    </row>
  </sheetData>
  <mergeCells count="15">
    <mergeCell ref="AN2:AN3"/>
    <mergeCell ref="R25:U25"/>
    <mergeCell ref="B62:H62"/>
    <mergeCell ref="B117:H117"/>
    <mergeCell ref="B90:H90"/>
    <mergeCell ref="F2:F3"/>
    <mergeCell ref="B63:H63"/>
    <mergeCell ref="AK2:AM2"/>
    <mergeCell ref="B35:F35"/>
    <mergeCell ref="B144:H144"/>
    <mergeCell ref="B145:H145"/>
    <mergeCell ref="AE2:AG3"/>
    <mergeCell ref="B118:H118"/>
    <mergeCell ref="R26:U26"/>
    <mergeCell ref="B91:H91"/>
  </mergeCells>
  <phoneticPr fontId="67" type="noConversion"/>
  <printOptions horizontalCentered="1"/>
  <pageMargins left="0.5" right="0.5" top="1" bottom="0.5" header="0.3" footer="0.511811023622047"/>
  <pageSetup paperSize="9" scale="43" orientation="portrait" r:id="rId1"/>
  <legacyDrawing r:id="rId2"/>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rgb="FFC55A11"/>
    <pageSetUpPr fitToPage="1"/>
  </sheetPr>
  <dimension ref="A1:AT106"/>
  <sheetViews>
    <sheetView zoomScale="63" zoomScaleNormal="63" workbookViewId="0">
      <selection activeCell="Q43" sqref="Q43:T44"/>
    </sheetView>
  </sheetViews>
  <sheetFormatPr defaultColWidth="12.5" defaultRowHeight="14" x14ac:dyDescent="0.3"/>
  <cols>
    <col min="1" max="1" width="12.5" style="1" customWidth="1"/>
    <col min="2" max="2" width="38.33203125" customWidth="1"/>
    <col min="3" max="3" width="14.5" customWidth="1"/>
    <col min="4" max="4" width="25.83203125" customWidth="1"/>
    <col min="5" max="5" width="16.1640625" customWidth="1"/>
    <col min="6" max="6" width="23.08203125" customWidth="1"/>
    <col min="7" max="7" width="25.1640625" customWidth="1"/>
    <col min="8" max="8" width="36.1640625" customWidth="1"/>
    <col min="12" max="12" width="8.33203125" customWidth="1"/>
    <col min="13" max="13" width="31.83203125" customWidth="1"/>
    <col min="18" max="18" width="38.83203125" bestFit="1" customWidth="1"/>
    <col min="28" max="29" width="13.25" bestFit="1" customWidth="1"/>
    <col min="30" max="30" width="11.33203125" bestFit="1" customWidth="1"/>
    <col min="31" max="34" width="4.1640625" customWidth="1"/>
    <col min="36" max="36" width="37.1640625" customWidth="1"/>
  </cols>
  <sheetData>
    <row r="1" spans="1:46" s="132" customFormat="1" ht="35.25" customHeight="1" x14ac:dyDescent="0.3">
      <c r="A1" s="263"/>
      <c r="B1" s="79" t="s">
        <v>235</v>
      </c>
      <c r="C1" s="80">
        <v>1000</v>
      </c>
      <c r="D1" s="81" t="s">
        <v>236</v>
      </c>
      <c r="E1" s="82">
        <f>T32</f>
        <v>10687.5</v>
      </c>
      <c r="F1" s="79" t="s">
        <v>237</v>
      </c>
      <c r="G1" s="83">
        <f>E1/C1</f>
        <v>10.6875</v>
      </c>
      <c r="H1" s="79" t="s">
        <v>238</v>
      </c>
      <c r="I1" s="84">
        <f>(G1/K1)</f>
        <v>11.1328125</v>
      </c>
      <c r="J1" s="85" t="s">
        <v>239</v>
      </c>
      <c r="K1" s="386">
        <v>0.96</v>
      </c>
      <c r="L1" s="386"/>
      <c r="M1" s="88"/>
      <c r="N1" s="89"/>
      <c r="O1" s="90" t="s">
        <v>240</v>
      </c>
      <c r="P1" s="91" t="s">
        <v>303</v>
      </c>
      <c r="Q1" s="92" t="s">
        <v>242</v>
      </c>
      <c r="R1" s="91">
        <v>0.57999999999999996</v>
      </c>
      <c r="Y1" s="90" t="s">
        <v>463</v>
      </c>
      <c r="Z1" s="835">
        <v>22750</v>
      </c>
      <c r="AA1" s="90" t="s">
        <v>578</v>
      </c>
      <c r="AB1" s="835">
        <v>1000</v>
      </c>
      <c r="AC1" s="90" t="s">
        <v>567</v>
      </c>
      <c r="AD1" s="835">
        <v>156</v>
      </c>
      <c r="AE1" s="249"/>
      <c r="AF1" s="251"/>
      <c r="AG1" s="91"/>
      <c r="AI1" s="1"/>
      <c r="AJ1" s="93" t="s">
        <v>254</v>
      </c>
      <c r="AK1" s="93">
        <v>10000</v>
      </c>
      <c r="AL1" s="623" t="s">
        <v>505</v>
      </c>
      <c r="AM1" s="624">
        <f>$S$32</f>
        <v>23750</v>
      </c>
      <c r="AN1" s="93" t="s">
        <v>243</v>
      </c>
      <c r="AO1" s="328">
        <f>((S32)/$R$1)/$AK$1</f>
        <v>4.0948275862068968</v>
      </c>
      <c r="AP1" s="95"/>
    </row>
    <row r="2" spans="1:46" ht="15.75" customHeight="1" x14ac:dyDescent="0.3">
      <c r="A2" s="264"/>
      <c r="B2" s="97"/>
      <c r="C2" s="97"/>
      <c r="D2" s="97"/>
      <c r="E2" s="97"/>
      <c r="F2" s="1443" t="s">
        <v>128</v>
      </c>
      <c r="G2" s="97"/>
      <c r="H2" s="97"/>
      <c r="I2" s="97"/>
      <c r="J2" s="97"/>
      <c r="K2" s="97"/>
      <c r="L2" s="292"/>
      <c r="M2" s="99"/>
      <c r="N2" s="99"/>
      <c r="O2" s="99"/>
      <c r="P2" s="99"/>
      <c r="Q2" s="99"/>
      <c r="R2" s="99"/>
      <c r="AC2" s="98"/>
      <c r="AD2" s="98"/>
      <c r="AE2" s="1457"/>
      <c r="AF2" s="1458"/>
      <c r="AG2" s="1458"/>
      <c r="AI2" s="1"/>
      <c r="AJ2" s="100"/>
      <c r="AK2" s="1442" t="s">
        <v>446</v>
      </c>
      <c r="AL2" s="1442"/>
      <c r="AM2" s="1442"/>
      <c r="AN2" s="1442"/>
      <c r="AO2" s="100"/>
      <c r="AP2" s="100"/>
    </row>
    <row r="3" spans="1:46" ht="15.75" customHeight="1" x14ac:dyDescent="0.3">
      <c r="A3" s="264"/>
      <c r="B3" s="102"/>
      <c r="C3" s="102"/>
      <c r="D3" s="102"/>
      <c r="E3" s="102"/>
      <c r="F3" s="1444"/>
      <c r="G3" s="102"/>
      <c r="H3" s="102"/>
      <c r="I3" s="102"/>
      <c r="J3" s="102"/>
      <c r="K3" s="102"/>
      <c r="L3" s="292"/>
      <c r="M3" s="99"/>
      <c r="N3" s="99"/>
      <c r="O3" s="99"/>
      <c r="P3" s="99"/>
      <c r="Q3" s="99"/>
      <c r="R3" s="99"/>
      <c r="AC3" s="98"/>
      <c r="AD3" s="98"/>
      <c r="AE3" s="1458"/>
      <c r="AF3" s="1458"/>
      <c r="AG3" s="1458"/>
      <c r="AI3" s="1"/>
      <c r="AJ3" s="100"/>
      <c r="AK3" s="100"/>
      <c r="AL3" s="100"/>
      <c r="AM3" s="100"/>
      <c r="AN3" s="1458"/>
      <c r="AO3" s="100"/>
      <c r="AP3" s="100"/>
    </row>
    <row r="4" spans="1:46" ht="46.5" customHeight="1" x14ac:dyDescent="0.3">
      <c r="A4" s="90" t="s">
        <v>1</v>
      </c>
      <c r="B4" s="90" t="s">
        <v>245</v>
      </c>
      <c r="C4" s="106" t="s">
        <v>246</v>
      </c>
      <c r="D4" s="90" t="s">
        <v>235</v>
      </c>
      <c r="E4" s="107" t="s">
        <v>238</v>
      </c>
      <c r="F4" s="107" t="s">
        <v>247</v>
      </c>
      <c r="G4" s="90" t="s">
        <v>248</v>
      </c>
      <c r="H4" s="330" t="s">
        <v>339</v>
      </c>
      <c r="I4" s="90" t="s">
        <v>250</v>
      </c>
      <c r="J4" s="90" t="s">
        <v>251</v>
      </c>
      <c r="K4" s="90" t="s">
        <v>252</v>
      </c>
      <c r="L4" s="90" t="s">
        <v>253</v>
      </c>
      <c r="M4" s="99"/>
      <c r="N4" s="99"/>
      <c r="O4" s="99"/>
      <c r="P4" s="99"/>
      <c r="Q4" s="99"/>
      <c r="R4" s="99"/>
      <c r="AC4" s="250"/>
      <c r="AD4" s="252"/>
      <c r="AE4" s="250"/>
      <c r="AF4" s="250"/>
      <c r="AG4" s="250"/>
      <c r="AI4" s="1"/>
      <c r="AJ4" s="93" t="s">
        <v>245</v>
      </c>
      <c r="AK4" s="527" t="s">
        <v>246</v>
      </c>
      <c r="AL4" s="93" t="s">
        <v>254</v>
      </c>
      <c r="AM4" s="93" t="s">
        <v>238</v>
      </c>
      <c r="AN4" s="93" t="s">
        <v>247</v>
      </c>
      <c r="AO4" s="93" t="s">
        <v>248</v>
      </c>
      <c r="AP4" s="93" t="s">
        <v>339</v>
      </c>
      <c r="AQ4" s="90" t="s">
        <v>250</v>
      </c>
      <c r="AR4" s="90" t="s">
        <v>251</v>
      </c>
      <c r="AS4" s="90" t="s">
        <v>252</v>
      </c>
      <c r="AT4" s="90" t="s">
        <v>253</v>
      </c>
    </row>
    <row r="5" spans="1:46" ht="14.25" customHeight="1" x14ac:dyDescent="0.3">
      <c r="A5" s="265" t="s">
        <v>225</v>
      </c>
      <c r="B5" s="266" t="s">
        <v>230</v>
      </c>
      <c r="C5" s="114" t="s">
        <v>14</v>
      </c>
      <c r="D5" s="120">
        <f>I51/10</f>
        <v>3831.3793103448274</v>
      </c>
      <c r="E5" s="116">
        <f>H52</f>
        <v>10.687606876068763</v>
      </c>
      <c r="F5" s="126">
        <v>1</v>
      </c>
      <c r="G5" s="118">
        <f t="shared" ref="G5:G21" si="0">D5*E5</f>
        <v>40948.275862068971</v>
      </c>
      <c r="H5" s="119">
        <f t="shared" ref="H5:H21" si="1">G5*F5</f>
        <v>40948.275862068971</v>
      </c>
      <c r="I5" s="80">
        <f>VLOOKUP(B5,All_Ingredients!$A$1:$F$149,6,FALSE())</f>
        <v>0.99</v>
      </c>
      <c r="J5" s="118">
        <f>VLOOKUP(B5,All_Ingredients!$A$1:$J$149,10,FALSE())</f>
        <v>11.75</v>
      </c>
      <c r="K5" s="121">
        <f t="shared" ref="K5" si="2">(H5/I5)/1000</f>
        <v>41.361894810170675</v>
      </c>
      <c r="L5" s="121">
        <f t="shared" ref="L5" si="3">K5*J5</f>
        <v>486.00226401950545</v>
      </c>
      <c r="M5" s="99"/>
      <c r="N5" s="99"/>
      <c r="O5" s="99"/>
      <c r="P5" s="99"/>
      <c r="Q5" s="99"/>
      <c r="R5" s="99"/>
      <c r="AC5" s="91"/>
      <c r="AD5" s="132"/>
      <c r="AE5" s="253"/>
      <c r="AF5" s="134"/>
      <c r="AG5" s="135"/>
      <c r="AI5" s="1"/>
      <c r="AJ5" s="266" t="s">
        <v>230</v>
      </c>
      <c r="AK5" s="123" t="s">
        <v>231</v>
      </c>
      <c r="AL5" s="124">
        <v>10</v>
      </c>
      <c r="AM5" s="535">
        <f t="shared" ref="AM5:AM15" si="4">$AO$1</f>
        <v>4.0948275862068968</v>
      </c>
      <c r="AN5" s="126">
        <v>1</v>
      </c>
      <c r="AO5" s="118">
        <f t="shared" ref="AO5:AO15" si="5">AL5*AM5</f>
        <v>40.948275862068968</v>
      </c>
      <c r="AP5" s="119">
        <f t="shared" ref="AP5:AP15" si="6">AO5*AN5</f>
        <v>40.948275862068968</v>
      </c>
      <c r="AQ5" s="294"/>
      <c r="AR5" s="1152"/>
      <c r="AS5" s="174"/>
      <c r="AT5" s="1153"/>
    </row>
    <row r="6" spans="1:46" x14ac:dyDescent="0.3">
      <c r="A6" s="269" t="s">
        <v>13</v>
      </c>
      <c r="B6" s="113" t="s">
        <v>12</v>
      </c>
      <c r="C6" s="123" t="s">
        <v>14</v>
      </c>
      <c r="D6" s="124">
        <v>580</v>
      </c>
      <c r="E6" s="125">
        <f t="shared" ref="E6:E21" si="7">$I$1</f>
        <v>11.1328125</v>
      </c>
      <c r="F6" s="126">
        <v>0.95</v>
      </c>
      <c r="G6" s="118">
        <f t="shared" si="0"/>
        <v>6457.03125</v>
      </c>
      <c r="H6" s="119">
        <f t="shared" si="1"/>
        <v>6134.1796875</v>
      </c>
      <c r="I6" s="80">
        <f>VLOOKUP(B6,All_Ingredients!$A$1:$F$149,6,FALSE())</f>
        <v>0.9</v>
      </c>
      <c r="J6" s="118">
        <f>VLOOKUP(B6,All_Ingredients!$A$1:$J$149,10,FALSE())</f>
        <v>3</v>
      </c>
      <c r="K6" s="121">
        <f t="shared" ref="K6:K21" si="8">(H6/I6)/1000</f>
        <v>6.815755208333333</v>
      </c>
      <c r="L6" s="121">
        <f t="shared" ref="L6:L21" si="9">K6*J6</f>
        <v>20.447265625</v>
      </c>
      <c r="AI6" s="1" t="s">
        <v>95</v>
      </c>
      <c r="AJ6" s="326" t="s">
        <v>145</v>
      </c>
      <c r="AK6" s="123" t="s">
        <v>14</v>
      </c>
      <c r="AL6" s="124">
        <v>50</v>
      </c>
      <c r="AM6" s="535">
        <f t="shared" si="4"/>
        <v>4.0948275862068968</v>
      </c>
      <c r="AN6" s="126">
        <v>1</v>
      </c>
      <c r="AO6" s="118">
        <f t="shared" si="5"/>
        <v>204.74137931034483</v>
      </c>
      <c r="AP6" s="119">
        <f t="shared" si="6"/>
        <v>204.74137931034483</v>
      </c>
      <c r="AQ6" s="1153">
        <f>VLOOKUP(AJ6,Marination_Ordering!$A:$J,6,FALSE)</f>
        <v>1</v>
      </c>
      <c r="AR6" s="1153">
        <f>VLOOKUP(AJ6,Marination_Ordering!$A:$J,10,FALSE)</f>
        <v>18</v>
      </c>
      <c r="AS6" s="174">
        <f>AP6/AQ6</f>
        <v>204.74137931034483</v>
      </c>
      <c r="AT6" s="1153">
        <f>AR6*(AS6/1000)</f>
        <v>3.6853448275862069</v>
      </c>
    </row>
    <row r="7" spans="1:46" x14ac:dyDescent="0.3">
      <c r="A7" s="269" t="s">
        <v>13</v>
      </c>
      <c r="B7" s="113" t="s">
        <v>762</v>
      </c>
      <c r="C7" s="123" t="s">
        <v>14</v>
      </c>
      <c r="D7" s="124">
        <v>15</v>
      </c>
      <c r="E7" s="125">
        <f t="shared" si="7"/>
        <v>11.1328125</v>
      </c>
      <c r="F7" s="126">
        <v>0.95</v>
      </c>
      <c r="G7" s="118">
        <f t="shared" si="0"/>
        <v>166.9921875</v>
      </c>
      <c r="H7" s="119">
        <f t="shared" si="1"/>
        <v>158.642578125</v>
      </c>
      <c r="I7" s="80">
        <f>VLOOKUP(B7,All_Ingredients!$A$1:$F$149,6,FALSE())</f>
        <v>1</v>
      </c>
      <c r="J7" s="118">
        <f>VLOOKUP(B7,All_Ingredients!$A$1:$J$149,10,FALSE())</f>
        <v>10.5</v>
      </c>
      <c r="K7" s="121">
        <f t="shared" si="8"/>
        <v>0.15864257812499999</v>
      </c>
      <c r="L7" s="121">
        <f t="shared" si="9"/>
        <v>1.6657470703124999</v>
      </c>
      <c r="AI7" s="1" t="s">
        <v>95</v>
      </c>
      <c r="AJ7" s="326" t="s">
        <v>150</v>
      </c>
      <c r="AK7" s="123" t="s">
        <v>14</v>
      </c>
      <c r="AL7" s="124">
        <v>50</v>
      </c>
      <c r="AM7" s="535">
        <f t="shared" si="4"/>
        <v>4.0948275862068968</v>
      </c>
      <c r="AN7" s="126">
        <v>1</v>
      </c>
      <c r="AO7" s="118">
        <f t="shared" si="5"/>
        <v>204.74137931034483</v>
      </c>
      <c r="AP7" s="119">
        <f t="shared" si="6"/>
        <v>204.74137931034483</v>
      </c>
      <c r="AQ7" s="1153">
        <f>VLOOKUP(AJ7,Marination_Ordering!$A:$J,6,FALSE)</f>
        <v>1</v>
      </c>
      <c r="AR7" s="1153">
        <f>VLOOKUP(AJ7,Marination_Ordering!$A:$J,10,FALSE)</f>
        <v>10</v>
      </c>
      <c r="AS7" s="174">
        <f t="shared" ref="AS7:AS8" si="10">AP7/AQ7</f>
        <v>204.74137931034483</v>
      </c>
      <c r="AT7" s="1153">
        <f t="shared" ref="AT7:AT8" si="11">AR7*(AS7/1000)</f>
        <v>2.0474137931034484</v>
      </c>
    </row>
    <row r="8" spans="1:46" ht="14.25" customHeight="1" x14ac:dyDescent="0.3">
      <c r="A8" s="269" t="s">
        <v>95</v>
      </c>
      <c r="B8" s="113" t="s">
        <v>109</v>
      </c>
      <c r="C8" s="123" t="s">
        <v>14</v>
      </c>
      <c r="D8" s="124">
        <v>10</v>
      </c>
      <c r="E8" s="125">
        <f t="shared" si="7"/>
        <v>11.1328125</v>
      </c>
      <c r="F8" s="126">
        <v>0.75</v>
      </c>
      <c r="G8" s="118">
        <f t="shared" si="0"/>
        <v>111.328125</v>
      </c>
      <c r="H8" s="119">
        <f t="shared" si="1"/>
        <v>83.49609375</v>
      </c>
      <c r="I8" s="80">
        <f>VLOOKUP(B8,All_Ingredients!$A$1:$F$149,6,FALSE())</f>
        <v>1</v>
      </c>
      <c r="J8" s="118">
        <f>VLOOKUP(B8,All_Ingredients!$A$1:$J$149,10,FALSE())</f>
        <v>26.5</v>
      </c>
      <c r="K8" s="121">
        <f t="shared" si="8"/>
        <v>8.349609375E-2</v>
      </c>
      <c r="L8" s="121">
        <f t="shared" si="9"/>
        <v>2.212646484375</v>
      </c>
      <c r="AI8" s="1" t="s">
        <v>62</v>
      </c>
      <c r="AJ8" s="326" t="s">
        <v>65</v>
      </c>
      <c r="AK8" s="123" t="s">
        <v>14</v>
      </c>
      <c r="AL8" s="124">
        <v>50</v>
      </c>
      <c r="AM8" s="535">
        <f t="shared" si="4"/>
        <v>4.0948275862068968</v>
      </c>
      <c r="AN8" s="126">
        <v>1</v>
      </c>
      <c r="AO8" s="118">
        <f t="shared" si="5"/>
        <v>204.74137931034483</v>
      </c>
      <c r="AP8" s="119">
        <f t="shared" si="6"/>
        <v>204.74137931034483</v>
      </c>
      <c r="AQ8" s="1153">
        <f>VLOOKUP(AJ8,Marination_Ordering!$A:$J,6,FALSE)</f>
        <v>0.65</v>
      </c>
      <c r="AR8" s="1153">
        <f>VLOOKUP(AJ8,Marination_Ordering!$A:$J,10,FALSE)</f>
        <v>3.5</v>
      </c>
      <c r="AS8" s="174">
        <f t="shared" si="10"/>
        <v>314.9867374005305</v>
      </c>
      <c r="AT8" s="1153">
        <f t="shared" si="11"/>
        <v>1.1024535809018567</v>
      </c>
    </row>
    <row r="9" spans="1:46" x14ac:dyDescent="0.3">
      <c r="A9" s="269" t="s">
        <v>95</v>
      </c>
      <c r="B9" s="113" t="s">
        <v>102</v>
      </c>
      <c r="C9" s="123" t="s">
        <v>14</v>
      </c>
      <c r="D9" s="124">
        <v>3</v>
      </c>
      <c r="E9" s="125">
        <f t="shared" si="7"/>
        <v>11.1328125</v>
      </c>
      <c r="F9" s="126">
        <v>0.75</v>
      </c>
      <c r="G9" s="118">
        <f t="shared" si="0"/>
        <v>33.3984375</v>
      </c>
      <c r="H9" s="119">
        <f t="shared" si="1"/>
        <v>25.048828125</v>
      </c>
      <c r="I9" s="80">
        <f>VLOOKUP(B9,All_Ingredients!$A$1:$F$149,6,FALSE())</f>
        <v>1</v>
      </c>
      <c r="J9" s="118">
        <f>VLOOKUP(B9,All_Ingredients!$A$1:$J$149,10,FALSE())</f>
        <v>47</v>
      </c>
      <c r="K9" s="121">
        <f t="shared" si="8"/>
        <v>2.5048828124999999E-2</v>
      </c>
      <c r="L9" s="121">
        <f t="shared" si="9"/>
        <v>1.177294921875</v>
      </c>
      <c r="AI9" s="1" t="s">
        <v>95</v>
      </c>
      <c r="AJ9" s="326" t="s">
        <v>760</v>
      </c>
      <c r="AK9" s="123" t="s">
        <v>14</v>
      </c>
      <c r="AL9" s="124">
        <v>100</v>
      </c>
      <c r="AM9" s="535">
        <f t="shared" si="4"/>
        <v>4.0948275862068968</v>
      </c>
      <c r="AN9" s="126">
        <v>1</v>
      </c>
      <c r="AO9" s="118">
        <f t="shared" si="5"/>
        <v>409.48275862068965</v>
      </c>
      <c r="AP9" s="119">
        <f t="shared" si="6"/>
        <v>409.48275862068965</v>
      </c>
      <c r="AQ9" s="1153">
        <f>VLOOKUP(AJ9,Marination_Ordering!$A:$J,6,FALSE)</f>
        <v>1</v>
      </c>
      <c r="AR9" s="1153">
        <f>VLOOKUP(AJ9,Marination_Ordering!$A:$J,10,FALSE)</f>
        <v>43.333333333333336</v>
      </c>
      <c r="AS9" s="174">
        <f t="shared" ref="AS9:AS15" si="12">AP9/AQ9</f>
        <v>409.48275862068965</v>
      </c>
      <c r="AT9" s="1153">
        <f t="shared" ref="AT9:AT15" si="13">AR9*(AS9/1000)</f>
        <v>17.744252873563219</v>
      </c>
    </row>
    <row r="10" spans="1:46" ht="14.25" customHeight="1" x14ac:dyDescent="0.3">
      <c r="A10" s="269" t="s">
        <v>95</v>
      </c>
      <c r="B10" s="113" t="s">
        <v>106</v>
      </c>
      <c r="C10" s="123" t="s">
        <v>14</v>
      </c>
      <c r="D10" s="124">
        <v>5</v>
      </c>
      <c r="E10" s="125">
        <f t="shared" si="7"/>
        <v>11.1328125</v>
      </c>
      <c r="F10" s="126">
        <v>0.9</v>
      </c>
      <c r="G10" s="118">
        <f t="shared" si="0"/>
        <v>55.6640625</v>
      </c>
      <c r="H10" s="119">
        <f t="shared" si="1"/>
        <v>50.09765625</v>
      </c>
      <c r="I10" s="80">
        <f>VLOOKUP(B10,All_Ingredients!$A$1:$F$149,6,FALSE())</f>
        <v>1</v>
      </c>
      <c r="J10" s="118">
        <f>VLOOKUP(B10,All_Ingredients!$A$1:$J$149,10,FALSE())</f>
        <v>15</v>
      </c>
      <c r="K10" s="121">
        <f t="shared" si="8"/>
        <v>5.0097656249999997E-2</v>
      </c>
      <c r="L10" s="121">
        <f t="shared" si="9"/>
        <v>0.75146484375</v>
      </c>
      <c r="AI10" s="1" t="s">
        <v>95</v>
      </c>
      <c r="AJ10" s="326" t="s">
        <v>94</v>
      </c>
      <c r="AK10" s="123" t="s">
        <v>14</v>
      </c>
      <c r="AL10" s="124">
        <v>25</v>
      </c>
      <c r="AM10" s="535">
        <f t="shared" si="4"/>
        <v>4.0948275862068968</v>
      </c>
      <c r="AN10" s="126">
        <v>1</v>
      </c>
      <c r="AO10" s="118">
        <f t="shared" si="5"/>
        <v>102.37068965517241</v>
      </c>
      <c r="AP10" s="119">
        <f t="shared" si="6"/>
        <v>102.37068965517241</v>
      </c>
      <c r="AQ10" s="1153">
        <f>VLOOKUP(AJ10,Marination_Ordering!$A:$J,6,FALSE)</f>
        <v>1</v>
      </c>
      <c r="AR10" s="1153">
        <f>VLOOKUP(AJ10,Marination_Ordering!$A:$J,10,FALSE)</f>
        <v>0.74</v>
      </c>
      <c r="AS10" s="174">
        <f t="shared" si="12"/>
        <v>102.37068965517241</v>
      </c>
      <c r="AT10" s="1153">
        <f t="shared" si="13"/>
        <v>7.5754310344827588E-2</v>
      </c>
    </row>
    <row r="11" spans="1:46" x14ac:dyDescent="0.3">
      <c r="A11" s="269" t="s">
        <v>95</v>
      </c>
      <c r="B11" s="113" t="s">
        <v>108</v>
      </c>
      <c r="C11" s="123" t="s">
        <v>14</v>
      </c>
      <c r="D11" s="124">
        <v>5</v>
      </c>
      <c r="E11" s="125">
        <f t="shared" si="7"/>
        <v>11.1328125</v>
      </c>
      <c r="F11" s="126">
        <v>0.9</v>
      </c>
      <c r="G11" s="118">
        <f t="shared" si="0"/>
        <v>55.6640625</v>
      </c>
      <c r="H11" s="119">
        <f t="shared" si="1"/>
        <v>50.09765625</v>
      </c>
      <c r="I11" s="80">
        <f>VLOOKUP(B11,All_Ingredients!$A$1:$F$149,6,FALSE())</f>
        <v>1</v>
      </c>
      <c r="J11" s="118">
        <f>VLOOKUP(B11,All_Ingredients!$A$1:$J$149,10,FALSE())</f>
        <v>8</v>
      </c>
      <c r="K11" s="121">
        <f t="shared" si="8"/>
        <v>5.0097656249999997E-2</v>
      </c>
      <c r="L11" s="121">
        <f t="shared" si="9"/>
        <v>0.40078124999999998</v>
      </c>
      <c r="AI11" s="1" t="s">
        <v>95</v>
      </c>
      <c r="AJ11" s="326" t="s">
        <v>98</v>
      </c>
      <c r="AK11" s="123" t="s">
        <v>14</v>
      </c>
      <c r="AL11" s="124">
        <v>25</v>
      </c>
      <c r="AM11" s="535">
        <f t="shared" si="4"/>
        <v>4.0948275862068968</v>
      </c>
      <c r="AN11" s="126">
        <v>1</v>
      </c>
      <c r="AO11" s="118">
        <f t="shared" si="5"/>
        <v>102.37068965517241</v>
      </c>
      <c r="AP11" s="119">
        <f t="shared" si="6"/>
        <v>102.37068965517241</v>
      </c>
      <c r="AQ11" s="1153">
        <f>VLOOKUP(AJ11,Marination_Ordering!$A:$J,6,FALSE)</f>
        <v>1</v>
      </c>
      <c r="AR11" s="1153">
        <f>VLOOKUP(AJ11,Marination_Ordering!$A:$J,10,FALSE)</f>
        <v>38</v>
      </c>
      <c r="AS11" s="174">
        <f t="shared" si="12"/>
        <v>102.37068965517241</v>
      </c>
      <c r="AT11" s="1153">
        <f t="shared" si="13"/>
        <v>3.890086206896552</v>
      </c>
    </row>
    <row r="12" spans="1:46" x14ac:dyDescent="0.3">
      <c r="A12" s="269" t="s">
        <v>62</v>
      </c>
      <c r="B12" s="113" t="s">
        <v>61</v>
      </c>
      <c r="C12" s="123" t="s">
        <v>14</v>
      </c>
      <c r="D12" s="124">
        <v>10</v>
      </c>
      <c r="E12" s="125">
        <f t="shared" si="7"/>
        <v>11.1328125</v>
      </c>
      <c r="F12" s="126">
        <v>1</v>
      </c>
      <c r="G12" s="118">
        <f t="shared" si="0"/>
        <v>111.328125</v>
      </c>
      <c r="H12" s="119">
        <f t="shared" si="1"/>
        <v>111.328125</v>
      </c>
      <c r="I12" s="80">
        <f>VLOOKUP(B12,All_Ingredients!$A$1:$F$149,6,FALSE())</f>
        <v>0.94</v>
      </c>
      <c r="J12" s="118">
        <f>VLOOKUP(B12,All_Ingredients!$A$1:$J$149,10,FALSE())</f>
        <v>3.6363636363636367</v>
      </c>
      <c r="K12" s="121">
        <f t="shared" si="8"/>
        <v>0.1184341755319149</v>
      </c>
      <c r="L12" s="121">
        <f t="shared" si="9"/>
        <v>0.43066972920696334</v>
      </c>
      <c r="AI12" s="1" t="s">
        <v>95</v>
      </c>
      <c r="AJ12" s="326" t="s">
        <v>108</v>
      </c>
      <c r="AK12" s="123" t="s">
        <v>14</v>
      </c>
      <c r="AL12" s="124">
        <v>50</v>
      </c>
      <c r="AM12" s="535">
        <f t="shared" si="4"/>
        <v>4.0948275862068968</v>
      </c>
      <c r="AN12" s="126">
        <v>1</v>
      </c>
      <c r="AO12" s="118">
        <f t="shared" si="5"/>
        <v>204.74137931034483</v>
      </c>
      <c r="AP12" s="119">
        <f t="shared" si="6"/>
        <v>204.74137931034483</v>
      </c>
      <c r="AQ12" s="1153">
        <f>VLOOKUP(AJ12,Marination_Ordering!$A:$J,6,FALSE)</f>
        <v>1</v>
      </c>
      <c r="AR12" s="1153">
        <f>VLOOKUP(AJ12,Marination_Ordering!$A:$J,10,FALSE)</f>
        <v>8</v>
      </c>
      <c r="AS12" s="174">
        <f t="shared" si="12"/>
        <v>204.74137931034483</v>
      </c>
      <c r="AT12" s="1153">
        <f t="shared" si="13"/>
        <v>1.6379310344827587</v>
      </c>
    </row>
    <row r="13" spans="1:46" ht="14.25" customHeight="1" x14ac:dyDescent="0.3">
      <c r="A13" s="269" t="s">
        <v>154</v>
      </c>
      <c r="B13" s="113" t="s">
        <v>164</v>
      </c>
      <c r="C13" s="123" t="s">
        <v>14</v>
      </c>
      <c r="D13" s="124">
        <v>400</v>
      </c>
      <c r="E13" s="125">
        <f t="shared" si="7"/>
        <v>11.1328125</v>
      </c>
      <c r="F13" s="126">
        <v>1</v>
      </c>
      <c r="G13" s="118">
        <f t="shared" si="0"/>
        <v>4453.125</v>
      </c>
      <c r="H13" s="119">
        <f t="shared" si="1"/>
        <v>4453.125</v>
      </c>
      <c r="I13" s="80">
        <f>VLOOKUP(B13,All_Ingredients!$A$1:$F$149,6,FALSE())</f>
        <v>1</v>
      </c>
      <c r="J13" s="118">
        <f>VLOOKUP(B13,All_Ingredients!$A$1:$J$149,10,FALSE())</f>
        <v>6.6959999999999997</v>
      </c>
      <c r="K13" s="121">
        <f t="shared" si="8"/>
        <v>4.453125</v>
      </c>
      <c r="L13" s="121">
        <f t="shared" si="9"/>
        <v>29.818124999999998</v>
      </c>
      <c r="AI13" s="1" t="s">
        <v>95</v>
      </c>
      <c r="AJ13" s="326" t="s">
        <v>119</v>
      </c>
      <c r="AK13" s="123" t="s">
        <v>14</v>
      </c>
      <c r="AL13" s="124">
        <v>50</v>
      </c>
      <c r="AM13" s="535">
        <f t="shared" si="4"/>
        <v>4.0948275862068968</v>
      </c>
      <c r="AN13" s="126">
        <v>1</v>
      </c>
      <c r="AO13" s="118">
        <f t="shared" si="5"/>
        <v>204.74137931034483</v>
      </c>
      <c r="AP13" s="119">
        <f t="shared" si="6"/>
        <v>204.74137931034483</v>
      </c>
      <c r="AQ13" s="1153">
        <f>VLOOKUP(AJ13,Marination_Ordering!$A:$J,6,FALSE)</f>
        <v>1</v>
      </c>
      <c r="AR13" s="1153">
        <f>VLOOKUP(AJ13,Marination_Ordering!$A:$J,10,FALSE)</f>
        <v>15</v>
      </c>
      <c r="AS13" s="174">
        <f t="shared" si="12"/>
        <v>204.74137931034483</v>
      </c>
      <c r="AT13" s="1153">
        <f t="shared" si="13"/>
        <v>3.0711206896551726</v>
      </c>
    </row>
    <row r="14" spans="1:46" x14ac:dyDescent="0.3">
      <c r="A14" s="269" t="s">
        <v>154</v>
      </c>
      <c r="B14" s="113" t="s">
        <v>167</v>
      </c>
      <c r="C14" s="123" t="s">
        <v>161</v>
      </c>
      <c r="D14" s="124">
        <v>450</v>
      </c>
      <c r="E14" s="125">
        <f t="shared" si="7"/>
        <v>11.1328125</v>
      </c>
      <c r="F14" s="126">
        <v>1</v>
      </c>
      <c r="G14" s="118">
        <f t="shared" si="0"/>
        <v>5009.765625</v>
      </c>
      <c r="H14" s="119">
        <f t="shared" si="1"/>
        <v>5009.765625</v>
      </c>
      <c r="I14" s="80">
        <f>VLOOKUP(B14,All_Ingredients!$A$1:$F$149,6,FALSE())</f>
        <v>1</v>
      </c>
      <c r="J14" s="118">
        <f>VLOOKUP(B14,All_Ingredients!$A$1:$J$149,10,FALSE())</f>
        <v>12.666666666666666</v>
      </c>
      <c r="K14" s="121">
        <f t="shared" si="8"/>
        <v>5.009765625</v>
      </c>
      <c r="L14" s="121">
        <f t="shared" si="9"/>
        <v>63.45703125</v>
      </c>
      <c r="AI14" s="1" t="s">
        <v>95</v>
      </c>
      <c r="AJ14" s="326" t="s">
        <v>106</v>
      </c>
      <c r="AK14" s="123" t="s">
        <v>14</v>
      </c>
      <c r="AL14" s="124">
        <v>50</v>
      </c>
      <c r="AM14" s="535">
        <f t="shared" si="4"/>
        <v>4.0948275862068968</v>
      </c>
      <c r="AN14" s="126">
        <v>1</v>
      </c>
      <c r="AO14" s="118">
        <f t="shared" si="5"/>
        <v>204.74137931034483</v>
      </c>
      <c r="AP14" s="119">
        <f t="shared" si="6"/>
        <v>204.74137931034483</v>
      </c>
      <c r="AQ14" s="1153">
        <f>VLOOKUP(AJ14,Marination_Ordering!$A:$J,6,FALSE)</f>
        <v>1</v>
      </c>
      <c r="AR14" s="1153">
        <f>VLOOKUP(AJ14,Marination_Ordering!$A:$J,10,FALSE)</f>
        <v>15</v>
      </c>
      <c r="AS14" s="174">
        <f t="shared" si="12"/>
        <v>204.74137931034483</v>
      </c>
      <c r="AT14" s="1153">
        <f t="shared" si="13"/>
        <v>3.0711206896551726</v>
      </c>
    </row>
    <row r="15" spans="1:46" x14ac:dyDescent="0.3">
      <c r="A15" s="269" t="s">
        <v>95</v>
      </c>
      <c r="B15" s="113" t="s">
        <v>94</v>
      </c>
      <c r="C15" s="123" t="s">
        <v>14</v>
      </c>
      <c r="D15" s="124">
        <v>11</v>
      </c>
      <c r="E15" s="125">
        <f t="shared" si="7"/>
        <v>11.1328125</v>
      </c>
      <c r="F15" s="126">
        <v>1</v>
      </c>
      <c r="G15" s="118">
        <f t="shared" si="0"/>
        <v>122.4609375</v>
      </c>
      <c r="H15" s="119">
        <f t="shared" si="1"/>
        <v>122.4609375</v>
      </c>
      <c r="I15" s="80">
        <f>VLOOKUP(B15,All_Ingredients!$A$1:$F$149,6,FALSE())</f>
        <v>1</v>
      </c>
      <c r="J15" s="118">
        <f>VLOOKUP(B15,All_Ingredients!$A$1:$J$149,10,FALSE())</f>
        <v>0.74</v>
      </c>
      <c r="K15" s="121">
        <f t="shared" si="8"/>
        <v>0.12246093750000001</v>
      </c>
      <c r="L15" s="121">
        <f t="shared" si="9"/>
        <v>9.0621093750000006E-2</v>
      </c>
      <c r="AI15" s="1" t="s">
        <v>215</v>
      </c>
      <c r="AJ15" s="368" t="s">
        <v>216</v>
      </c>
      <c r="AK15" s="123" t="s">
        <v>14</v>
      </c>
      <c r="AL15" s="124">
        <v>4</v>
      </c>
      <c r="AM15" s="536">
        <f t="shared" si="4"/>
        <v>4.0948275862068968</v>
      </c>
      <c r="AN15" s="444">
        <v>1</v>
      </c>
      <c r="AO15" s="452">
        <f t="shared" si="5"/>
        <v>16.379310344827587</v>
      </c>
      <c r="AP15" s="446">
        <f t="shared" si="6"/>
        <v>16.379310344827587</v>
      </c>
      <c r="AQ15" s="1153">
        <f>VLOOKUP(AJ15,Marination_Ordering!$A:$J,6,FALSE)</f>
        <v>1</v>
      </c>
      <c r="AR15" s="1153">
        <f>VLOOKUP(AJ15,Marination_Ordering!$A:$J,10,FALSE)</f>
        <v>35</v>
      </c>
      <c r="AS15" s="174">
        <f t="shared" si="12"/>
        <v>16.379310344827587</v>
      </c>
      <c r="AT15" s="1153">
        <f t="shared" si="13"/>
        <v>0.57327586206896552</v>
      </c>
    </row>
    <row r="16" spans="1:46" ht="14.25" customHeight="1" x14ac:dyDescent="0.3">
      <c r="A16" s="269" t="s">
        <v>154</v>
      </c>
      <c r="B16" s="113" t="s">
        <v>153</v>
      </c>
      <c r="C16" s="123" t="s">
        <v>14</v>
      </c>
      <c r="D16" s="124">
        <v>50</v>
      </c>
      <c r="E16" s="125">
        <f t="shared" si="7"/>
        <v>11.1328125</v>
      </c>
      <c r="F16" s="126">
        <v>1</v>
      </c>
      <c r="G16" s="118">
        <f t="shared" si="0"/>
        <v>556.640625</v>
      </c>
      <c r="H16" s="119">
        <f t="shared" si="1"/>
        <v>556.640625</v>
      </c>
      <c r="I16" s="80">
        <f>VLOOKUP(B16,All_Ingredients!$A$1:$F$149,6,FALSE())</f>
        <v>1</v>
      </c>
      <c r="J16" s="118">
        <f>VLOOKUP(B16,All_Ingredients!$A$1:$J$149,10,FALSE())</f>
        <v>30</v>
      </c>
      <c r="K16" s="121">
        <f t="shared" si="8"/>
        <v>0.556640625</v>
      </c>
      <c r="L16" s="121">
        <f t="shared" si="9"/>
        <v>16.69921875</v>
      </c>
    </row>
    <row r="17" spans="1:30" ht="14.25" customHeight="1" x14ac:dyDescent="0.3">
      <c r="A17" s="269" t="s">
        <v>95</v>
      </c>
      <c r="B17" s="113" t="s">
        <v>129</v>
      </c>
      <c r="C17" s="123" t="s">
        <v>14</v>
      </c>
      <c r="D17" s="124">
        <v>3</v>
      </c>
      <c r="E17" s="125">
        <f t="shared" si="7"/>
        <v>11.1328125</v>
      </c>
      <c r="F17" s="126">
        <v>0.75</v>
      </c>
      <c r="G17" s="118">
        <f t="shared" si="0"/>
        <v>33.3984375</v>
      </c>
      <c r="H17" s="119">
        <f t="shared" si="1"/>
        <v>25.048828125</v>
      </c>
      <c r="I17" s="80">
        <f>VLOOKUP(B17,All_Ingredients!$A$1:$F$149,6,FALSE())</f>
        <v>1</v>
      </c>
      <c r="J17" s="118">
        <f>VLOOKUP(B17,All_Ingredients!$A$1:$J$149,10,FALSE())</f>
        <v>107</v>
      </c>
      <c r="K17" s="121">
        <f t="shared" si="8"/>
        <v>2.5048828124999999E-2</v>
      </c>
      <c r="L17" s="121">
        <f t="shared" si="9"/>
        <v>2.6802246093749997</v>
      </c>
    </row>
    <row r="18" spans="1:30" ht="14.25" customHeight="1" x14ac:dyDescent="0.3">
      <c r="A18" s="269" t="s">
        <v>95</v>
      </c>
      <c r="B18" s="113" t="s">
        <v>123</v>
      </c>
      <c r="C18" s="123" t="s">
        <v>14</v>
      </c>
      <c r="D18" s="124">
        <v>2</v>
      </c>
      <c r="E18" s="125">
        <f t="shared" si="7"/>
        <v>11.1328125</v>
      </c>
      <c r="F18" s="126">
        <v>0.75</v>
      </c>
      <c r="G18" s="118">
        <f t="shared" si="0"/>
        <v>22.265625</v>
      </c>
      <c r="H18" s="119">
        <f t="shared" si="1"/>
        <v>16.69921875</v>
      </c>
      <c r="I18" s="80">
        <f>VLOOKUP(B18,All_Ingredients!$A$1:$F$149,6,FALSE())</f>
        <v>1</v>
      </c>
      <c r="J18" s="118">
        <f>VLOOKUP(B18,All_Ingredients!$A$1:$J$149,10,FALSE())</f>
        <v>14</v>
      </c>
      <c r="K18" s="121">
        <f t="shared" si="8"/>
        <v>1.6699218750000001E-2</v>
      </c>
      <c r="L18" s="121">
        <f t="shared" si="9"/>
        <v>0.23378906250000003</v>
      </c>
    </row>
    <row r="19" spans="1:30" ht="14.25" customHeight="1" x14ac:dyDescent="0.3">
      <c r="A19" s="269" t="s">
        <v>62</v>
      </c>
      <c r="B19" s="122" t="s">
        <v>69</v>
      </c>
      <c r="C19" s="123" t="s">
        <v>14</v>
      </c>
      <c r="D19" s="124">
        <v>15</v>
      </c>
      <c r="E19" s="125">
        <f t="shared" si="7"/>
        <v>11.1328125</v>
      </c>
      <c r="F19" s="126">
        <v>0.85</v>
      </c>
      <c r="G19" s="118">
        <f t="shared" si="0"/>
        <v>166.9921875</v>
      </c>
      <c r="H19" s="119">
        <f t="shared" si="1"/>
        <v>141.943359375</v>
      </c>
      <c r="I19" s="80">
        <f>VLOOKUP(B19,All_Ingredients!$A$1:$F$149,6,FALSE())</f>
        <v>0.43</v>
      </c>
      <c r="J19" s="118">
        <f>VLOOKUP(B19,All_Ingredients!$A$1:$J$149,10,FALSE())</f>
        <v>3.333333333333333</v>
      </c>
      <c r="K19" s="121">
        <f t="shared" si="8"/>
        <v>0.33010083575581395</v>
      </c>
      <c r="L19" s="121">
        <f t="shared" si="9"/>
        <v>1.1003361191860463</v>
      </c>
    </row>
    <row r="20" spans="1:30" ht="14.25" customHeight="1" x14ac:dyDescent="0.3">
      <c r="A20" s="269" t="s">
        <v>81</v>
      </c>
      <c r="B20" s="122" t="s">
        <v>88</v>
      </c>
      <c r="C20" s="123" t="s">
        <v>14</v>
      </c>
      <c r="D20" s="124">
        <v>1</v>
      </c>
      <c r="E20" s="125">
        <f t="shared" si="7"/>
        <v>11.1328125</v>
      </c>
      <c r="F20" s="126">
        <v>0.75</v>
      </c>
      <c r="G20" s="118">
        <f t="shared" si="0"/>
        <v>11.1328125</v>
      </c>
      <c r="H20" s="119">
        <f t="shared" si="1"/>
        <v>8.349609375</v>
      </c>
      <c r="I20" s="80">
        <f>VLOOKUP(B20,All_Ingredients!$A$1:$F$149,6,FALSE())</f>
        <v>1</v>
      </c>
      <c r="J20" s="118">
        <f>VLOOKUP(B20,All_Ingredients!$A$1:$J$149,10,FALSE())</f>
        <v>20</v>
      </c>
      <c r="K20" s="121">
        <f t="shared" si="8"/>
        <v>8.3496093750000007E-3</v>
      </c>
      <c r="L20" s="121">
        <f t="shared" si="9"/>
        <v>0.1669921875</v>
      </c>
    </row>
    <row r="21" spans="1:30" ht="14.25" customHeight="1" x14ac:dyDescent="0.3">
      <c r="A21" s="269" t="s">
        <v>215</v>
      </c>
      <c r="B21" s="80" t="s">
        <v>877</v>
      </c>
      <c r="C21" s="123" t="s">
        <v>14</v>
      </c>
      <c r="D21" s="124">
        <v>1</v>
      </c>
      <c r="E21" s="125">
        <f t="shared" si="7"/>
        <v>11.1328125</v>
      </c>
      <c r="F21" s="126">
        <v>1</v>
      </c>
      <c r="G21" s="118">
        <f t="shared" si="0"/>
        <v>11.1328125</v>
      </c>
      <c r="H21" s="119">
        <f t="shared" si="1"/>
        <v>11.1328125</v>
      </c>
      <c r="I21" s="80">
        <f>VLOOKUP(B21,All_Ingredients!$A$1:$F$149,6,FALSE())</f>
        <v>1</v>
      </c>
      <c r="J21" s="118">
        <f>VLOOKUP(B21,All_Ingredients!$A$1:$J$149,10,FALSE())</f>
        <v>22.5</v>
      </c>
      <c r="K21" s="121">
        <f t="shared" si="8"/>
        <v>1.11328125E-2</v>
      </c>
      <c r="L21" s="121">
        <f t="shared" si="9"/>
        <v>0.25048828125</v>
      </c>
    </row>
    <row r="22" spans="1:30" ht="14.25" customHeight="1" x14ac:dyDescent="0.3">
      <c r="B22" s="99"/>
      <c r="E22" s="99"/>
      <c r="F22" s="99"/>
      <c r="L22" s="208"/>
    </row>
    <row r="23" spans="1:30" ht="14.25" customHeight="1" x14ac:dyDescent="0.3">
      <c r="B23" s="99"/>
      <c r="E23" s="99"/>
      <c r="F23" s="99"/>
      <c r="L23" s="208"/>
    </row>
    <row r="24" spans="1:30" ht="14.25" customHeight="1" x14ac:dyDescent="0.3">
      <c r="L24" s="208"/>
      <c r="Z24" s="1265"/>
    </row>
    <row r="25" spans="1:30" ht="14.25" customHeight="1" x14ac:dyDescent="0.35">
      <c r="L25" s="208"/>
      <c r="R25" s="1440" t="s">
        <v>446</v>
      </c>
      <c r="S25" s="1444"/>
      <c r="T25" s="1444"/>
      <c r="U25" s="1444"/>
      <c r="V25" s="1132"/>
      <c r="Z25" s="140" t="s">
        <v>256</v>
      </c>
      <c r="AA25" s="141">
        <v>1</v>
      </c>
      <c r="AB25" s="140" t="s">
        <v>253</v>
      </c>
      <c r="AC25" s="142">
        <f>(AA25*(1.45))*AD30+(Z30*(AA28/R1))</f>
        <v>2.7824813373226107E-2</v>
      </c>
      <c r="AD25" s="14"/>
    </row>
    <row r="26" spans="1:30" ht="14.25" customHeight="1" x14ac:dyDescent="0.3">
      <c r="L26" s="208"/>
      <c r="R26" s="1459" t="s">
        <v>257</v>
      </c>
      <c r="S26" s="1444"/>
      <c r="T26" s="1444"/>
      <c r="U26" s="1444"/>
      <c r="V26" s="1132"/>
      <c r="Z26" s="14"/>
      <c r="AA26" s="14"/>
      <c r="AB26" s="14"/>
      <c r="AC26" s="14"/>
      <c r="AD26" s="14"/>
    </row>
    <row r="27" spans="1:30" ht="14.25" customHeight="1" thickBot="1" x14ac:dyDescent="0.35">
      <c r="L27" s="208"/>
      <c r="R27" s="144" t="s">
        <v>258</v>
      </c>
      <c r="S27" s="145" t="s">
        <v>387</v>
      </c>
      <c r="T27" s="145" t="s">
        <v>260</v>
      </c>
      <c r="U27" s="145" t="s">
        <v>261</v>
      </c>
      <c r="V27" s="145" t="s">
        <v>808</v>
      </c>
      <c r="W27" s="145" t="s">
        <v>817</v>
      </c>
      <c r="Y27" s="140" t="s">
        <v>262</v>
      </c>
      <c r="Z27" s="1166" t="s">
        <v>316</v>
      </c>
      <c r="AA27" s="146" t="s">
        <v>263</v>
      </c>
      <c r="AB27" s="146" t="s">
        <v>265</v>
      </c>
      <c r="AC27" s="1167" t="s">
        <v>817</v>
      </c>
      <c r="AD27" s="146" t="s">
        <v>266</v>
      </c>
    </row>
    <row r="28" spans="1:30" ht="14.25" customHeight="1" thickBot="1" x14ac:dyDescent="0.35">
      <c r="L28" s="208"/>
      <c r="R28" s="147" t="s">
        <v>267</v>
      </c>
      <c r="S28" s="760">
        <f>$Z$1</f>
        <v>22750</v>
      </c>
      <c r="T28" s="148"/>
      <c r="U28" s="1330">
        <f>T28+S28</f>
        <v>22750</v>
      </c>
      <c r="V28" s="148">
        <f>SUM(AP5:AP13)</f>
        <v>1678.8793103448274</v>
      </c>
      <c r="W28" s="148">
        <f>H37</f>
        <v>0</v>
      </c>
      <c r="Y28" s="150"/>
      <c r="Z28" s="1169"/>
      <c r="AA28" s="151">
        <f>AA25*$S$40</f>
        <v>1</v>
      </c>
      <c r="AB28" s="152">
        <f>AA25*0.45</f>
        <v>0.45</v>
      </c>
      <c r="AC28" s="1169"/>
      <c r="AD28" s="153">
        <f>SUM(AA28:AB28)</f>
        <v>1.45</v>
      </c>
    </row>
    <row r="29" spans="1:30" ht="14.25" customHeight="1" thickBot="1" x14ac:dyDescent="0.35">
      <c r="L29" s="208"/>
      <c r="R29" s="147" t="s">
        <v>268</v>
      </c>
      <c r="S29" s="154"/>
      <c r="T29" s="148">
        <f>S28*0.45</f>
        <v>10237.5</v>
      </c>
      <c r="U29" s="754">
        <f>T29</f>
        <v>10237.5</v>
      </c>
      <c r="V29" s="148"/>
      <c r="W29" s="148"/>
      <c r="Y29" s="150"/>
      <c r="Z29" s="1173"/>
      <c r="AA29" s="155">
        <f>AA28/$AD$28</f>
        <v>0.68965517241379315</v>
      </c>
      <c r="AB29" s="155">
        <f>AB28/$AD$28</f>
        <v>0.31034482758620691</v>
      </c>
      <c r="AC29" s="1173"/>
      <c r="AD29" s="155">
        <f>AD28/$AD$28</f>
        <v>1</v>
      </c>
    </row>
    <row r="30" spans="1:30" ht="14.25" customHeight="1" thickBot="1" x14ac:dyDescent="0.35">
      <c r="L30" s="208"/>
      <c r="R30" s="147" t="s">
        <v>269</v>
      </c>
      <c r="S30" s="1329">
        <f>$AB$1</f>
        <v>1000</v>
      </c>
      <c r="T30" s="756">
        <f>S30*0.45</f>
        <v>450</v>
      </c>
      <c r="U30" s="756">
        <f>S30+T30</f>
        <v>1450</v>
      </c>
      <c r="V30" s="1124"/>
      <c r="W30" s="1124"/>
      <c r="Y30" s="140" t="s">
        <v>270</v>
      </c>
      <c r="Z30" s="1177">
        <f>V35/(S32/R1)</f>
        <v>8.1210641025641016E-4</v>
      </c>
      <c r="AA30" s="156">
        <f>S35/(S32)</f>
        <v>2.0463253221873912E-2</v>
      </c>
      <c r="AB30" s="157">
        <f>T35/T32</f>
        <v>1.3247503745317473E-2</v>
      </c>
      <c r="AC30" s="1180">
        <f>W35/U32</f>
        <v>0</v>
      </c>
      <c r="AD30" s="158">
        <f>SUMPRODUCT(AA30:AB30,AA29:AB29)</f>
        <v>1.8223882694666745E-2</v>
      </c>
    </row>
    <row r="31" spans="1:30" ht="14.25" customHeight="1" thickBot="1" x14ac:dyDescent="0.35">
      <c r="L31" s="208"/>
      <c r="R31" s="147" t="s">
        <v>271</v>
      </c>
      <c r="S31" s="154"/>
      <c r="T31" s="148"/>
      <c r="U31" s="148"/>
      <c r="V31" s="148"/>
      <c r="W31" s="148"/>
      <c r="AB31">
        <f>AB30*AB28</f>
        <v>5.9613766853928631E-3</v>
      </c>
    </row>
    <row r="32" spans="1:30" ht="14.25" customHeight="1" thickBot="1" x14ac:dyDescent="0.35">
      <c r="L32" s="208"/>
      <c r="R32" s="159" t="s">
        <v>261</v>
      </c>
      <c r="S32" s="148">
        <f>SUM(S28:S30)</f>
        <v>23750</v>
      </c>
      <c r="T32" s="148">
        <f>SUM(T28:T30)</f>
        <v>10687.5</v>
      </c>
      <c r="U32" s="148">
        <f>SUM(U28:U30)</f>
        <v>34437.5</v>
      </c>
      <c r="V32" s="148"/>
      <c r="W32" s="148">
        <f>SUM(W28:W30)</f>
        <v>0</v>
      </c>
    </row>
    <row r="33" spans="2:23" ht="14.25" customHeight="1" thickBot="1" x14ac:dyDescent="0.35">
      <c r="L33" s="208"/>
      <c r="R33" s="160" t="s">
        <v>272</v>
      </c>
      <c r="S33" s="154"/>
      <c r="T33" s="154"/>
      <c r="U33" s="154"/>
      <c r="V33" s="154"/>
      <c r="W33" s="154"/>
    </row>
    <row r="34" spans="2:23" ht="14.25" customHeight="1" thickBot="1" x14ac:dyDescent="0.35">
      <c r="L34" s="208"/>
      <c r="R34" s="161" t="s">
        <v>273</v>
      </c>
      <c r="S34" s="154"/>
      <c r="T34" s="148"/>
      <c r="U34" s="154"/>
      <c r="V34" s="154"/>
      <c r="W34" s="154"/>
    </row>
    <row r="35" spans="2:23" ht="14.25" customHeight="1" thickBot="1" x14ac:dyDescent="0.35">
      <c r="L35" s="208"/>
      <c r="R35" s="162" t="s">
        <v>253</v>
      </c>
      <c r="S35" s="1125">
        <f>$L$5</f>
        <v>486.00226401950545</v>
      </c>
      <c r="T35" s="1125">
        <f>SUM(L6:L21)</f>
        <v>141.5826962780805</v>
      </c>
      <c r="U35" s="1125">
        <f>S35+T35+V35</f>
        <v>660.83931761411998</v>
      </c>
      <c r="V35" s="1125">
        <f>SUM(AT6:AT13)</f>
        <v>33.25435731653404</v>
      </c>
      <c r="W35" s="1125">
        <f>L37</f>
        <v>0</v>
      </c>
    </row>
    <row r="36" spans="2:23" ht="14.25" customHeight="1" x14ac:dyDescent="0.3">
      <c r="L36" s="208"/>
    </row>
    <row r="37" spans="2:23" ht="14.25" customHeight="1" x14ac:dyDescent="0.3">
      <c r="L37" s="208"/>
      <c r="S37" s="489">
        <f>S32/R1</f>
        <v>40948.275862068971</v>
      </c>
      <c r="U37" s="128" t="s">
        <v>304</v>
      </c>
    </row>
    <row r="38" spans="2:23" ht="14.25" customHeight="1" x14ac:dyDescent="0.3">
      <c r="L38" s="208"/>
      <c r="S38" s="1403">
        <f>(S37/I5)*27</f>
        <v>1116771.1598746083</v>
      </c>
      <c r="U38" s="128" t="s">
        <v>447</v>
      </c>
    </row>
    <row r="39" spans="2:23" ht="14.25" customHeight="1" x14ac:dyDescent="0.3">
      <c r="B39" s="99"/>
      <c r="E39" s="99"/>
      <c r="F39" s="99"/>
      <c r="L39" s="208"/>
    </row>
    <row r="40" spans="2:23" ht="16.5" customHeight="1" x14ac:dyDescent="0.3">
      <c r="B40" s="99"/>
      <c r="E40" s="99"/>
      <c r="F40" s="99"/>
      <c r="L40" s="208"/>
      <c r="Q40" s="14"/>
      <c r="R40" s="164" t="s">
        <v>274</v>
      </c>
      <c r="S40" s="238">
        <v>1</v>
      </c>
      <c r="T40" s="164" t="s">
        <v>275</v>
      </c>
      <c r="U40" s="238">
        <v>0</v>
      </c>
      <c r="V40" s="167">
        <f>S40+U40</f>
        <v>1</v>
      </c>
      <c r="W40" s="14"/>
    </row>
    <row r="41" spans="2:23" ht="14.25" customHeight="1" x14ac:dyDescent="0.3">
      <c r="B41" s="99"/>
      <c r="E41" s="99"/>
      <c r="F41" s="99"/>
      <c r="K41" s="1"/>
      <c r="L41" s="208"/>
      <c r="Q41" s="14"/>
      <c r="R41" s="14"/>
      <c r="S41" s="14"/>
      <c r="T41" s="14"/>
      <c r="U41" s="168"/>
      <c r="V41" s="14"/>
      <c r="W41" s="14"/>
    </row>
    <row r="42" spans="2:23" ht="14.25" customHeight="1" x14ac:dyDescent="0.3">
      <c r="B42" s="99"/>
      <c r="E42" s="99"/>
      <c r="F42" s="99"/>
      <c r="L42" s="208"/>
      <c r="Q42" s="14"/>
      <c r="R42" s="14"/>
      <c r="S42" s="14"/>
      <c r="T42" s="14"/>
      <c r="U42" s="14"/>
      <c r="V42" s="14"/>
      <c r="W42" s="14"/>
    </row>
    <row r="43" spans="2:23" ht="14.25" customHeight="1" x14ac:dyDescent="0.3">
      <c r="B43" s="99"/>
      <c r="E43" s="99"/>
      <c r="F43" s="99"/>
      <c r="L43" s="208"/>
      <c r="Q43" s="169" t="s">
        <v>276</v>
      </c>
      <c r="R43" s="169" t="s">
        <v>277</v>
      </c>
      <c r="S43" s="169" t="s">
        <v>278</v>
      </c>
      <c r="T43" s="169" t="s">
        <v>279</v>
      </c>
      <c r="U43" s="169" t="s">
        <v>280</v>
      </c>
      <c r="V43" s="169" t="s">
        <v>281</v>
      </c>
      <c r="W43" s="257" t="s">
        <v>282</v>
      </c>
    </row>
    <row r="44" spans="2:23" ht="14.25" customHeight="1" x14ac:dyDescent="0.3">
      <c r="B44" s="99"/>
      <c r="E44" s="99"/>
      <c r="F44" s="99"/>
      <c r="L44" s="208"/>
      <c r="Q44" s="171">
        <v>22222</v>
      </c>
      <c r="R44" s="172">
        <f>D51</f>
        <v>10000</v>
      </c>
      <c r="S44" s="173">
        <v>0</v>
      </c>
      <c r="T44" s="173">
        <v>1</v>
      </c>
      <c r="U44" s="241">
        <f>R44*S44</f>
        <v>0</v>
      </c>
      <c r="V44" s="175">
        <f>R44*T44</f>
        <v>10000</v>
      </c>
      <c r="W44" s="259">
        <f>Q44-U44</f>
        <v>22222</v>
      </c>
    </row>
    <row r="45" spans="2:23" ht="14.25" customHeight="1" x14ac:dyDescent="0.3">
      <c r="B45" s="99"/>
      <c r="E45" s="99"/>
      <c r="F45" s="99"/>
      <c r="L45" s="208"/>
    </row>
    <row r="46" spans="2:23" ht="14.25" customHeight="1" x14ac:dyDescent="0.3">
      <c r="B46" s="99"/>
      <c r="E46" s="99"/>
      <c r="F46" s="99"/>
      <c r="L46" s="208"/>
    </row>
    <row r="47" spans="2:23" ht="14.25" customHeight="1" x14ac:dyDescent="0.3">
      <c r="B47" s="99"/>
      <c r="E47" s="99"/>
      <c r="F47" s="99"/>
      <c r="L47" s="208"/>
    </row>
    <row r="48" spans="2:23" ht="14.25" customHeight="1" x14ac:dyDescent="0.3">
      <c r="B48" s="99"/>
      <c r="E48" s="99"/>
      <c r="F48" s="99"/>
      <c r="L48" s="208"/>
    </row>
    <row r="49" spans="1:12" ht="14.25" customHeight="1" x14ac:dyDescent="0.3">
      <c r="B49" s="99"/>
      <c r="E49" s="99"/>
      <c r="F49" s="99"/>
      <c r="L49" s="208"/>
    </row>
    <row r="50" spans="1:12" ht="14.25" customHeight="1" x14ac:dyDescent="0.3">
      <c r="B50" s="144"/>
      <c r="C50" s="144" t="s">
        <v>237</v>
      </c>
      <c r="D50" s="144" t="s">
        <v>283</v>
      </c>
      <c r="F50" s="99"/>
      <c r="G50" s="144" t="s">
        <v>284</v>
      </c>
      <c r="H50" s="144" t="s">
        <v>237</v>
      </c>
      <c r="I50" s="144" t="s">
        <v>285</v>
      </c>
      <c r="J50" s="144" t="s">
        <v>286</v>
      </c>
      <c r="L50" s="208"/>
    </row>
    <row r="51" spans="1:12" ht="14.25" customHeight="1" x14ac:dyDescent="0.3">
      <c r="B51" s="179" t="s">
        <v>287</v>
      </c>
      <c r="C51" s="180">
        <f>10/$K$1</f>
        <v>10.416666666666668</v>
      </c>
      <c r="D51" s="181">
        <f>$C$1*10</f>
        <v>10000</v>
      </c>
      <c r="E51" s="182"/>
      <c r="F51" s="99"/>
      <c r="G51" s="179" t="s">
        <v>287</v>
      </c>
      <c r="H51" s="276">
        <f>I51/$D$5</f>
        <v>10</v>
      </c>
      <c r="I51" s="180">
        <f>J51/$R$1</f>
        <v>38313.793103448275</v>
      </c>
      <c r="J51" s="180">
        <f>$W$44</f>
        <v>22222</v>
      </c>
      <c r="L51" s="208"/>
    </row>
    <row r="52" spans="1:12" ht="14.25" customHeight="1" x14ac:dyDescent="0.3">
      <c r="B52" s="230" t="s">
        <v>266</v>
      </c>
      <c r="C52" s="231">
        <f>$I$1</f>
        <v>11.1328125</v>
      </c>
      <c r="D52" s="232">
        <f>$E$1</f>
        <v>10687.5</v>
      </c>
      <c r="E52" s="99"/>
      <c r="F52" s="99"/>
      <c r="G52" s="147" t="s">
        <v>266</v>
      </c>
      <c r="H52" s="209">
        <f>I52/$D$5</f>
        <v>10.687606876068763</v>
      </c>
      <c r="I52" s="175">
        <f>J52/$R$1</f>
        <v>40948.275862068971</v>
      </c>
      <c r="J52" s="183">
        <f>$S$32</f>
        <v>23750</v>
      </c>
      <c r="L52" s="208"/>
    </row>
    <row r="53" spans="1:12" ht="14.25" customHeight="1" x14ac:dyDescent="0.3">
      <c r="B53" s="230" t="s">
        <v>288</v>
      </c>
      <c r="C53" s="233">
        <f>MIN(C52, C51)</f>
        <v>10.416666666666668</v>
      </c>
      <c r="D53" s="232">
        <f>(C53*$K$1)*$C$1</f>
        <v>10000</v>
      </c>
      <c r="E53" s="99"/>
      <c r="F53" s="99"/>
      <c r="G53" s="147" t="s">
        <v>288</v>
      </c>
      <c r="H53" s="186">
        <f>MIN(H52,H51)</f>
        <v>10</v>
      </c>
      <c r="I53" s="175">
        <f>J53/$R$1</f>
        <v>38313.793103448275</v>
      </c>
      <c r="J53" s="175">
        <f>MIN(J52,J51)</f>
        <v>22222</v>
      </c>
      <c r="L53" s="208"/>
    </row>
    <row r="54" spans="1:12" ht="14.25" customHeight="1" x14ac:dyDescent="0.3">
      <c r="B54" s="230" t="s">
        <v>289</v>
      </c>
      <c r="C54" s="233">
        <f>MIN(MAX(C52-C53,0),C51)</f>
        <v>0.71614583333333215</v>
      </c>
      <c r="D54" s="232">
        <f>(C54*$K$1)*$C$1</f>
        <v>687.49999999999886</v>
      </c>
      <c r="E54" s="99"/>
      <c r="F54" s="99"/>
      <c r="G54" s="147" t="s">
        <v>289</v>
      </c>
      <c r="H54" s="186">
        <f>MIN(MAX(H52-H53),H51)</f>
        <v>0.68760687606876303</v>
      </c>
      <c r="I54" s="175">
        <f>J54/$R$1</f>
        <v>2634.4827586206898</v>
      </c>
      <c r="J54" s="175">
        <f>MIN(MAX(J52-J53),J51)</f>
        <v>1528</v>
      </c>
      <c r="L54" s="208"/>
    </row>
    <row r="55" spans="1:12" ht="14.25" customHeight="1" x14ac:dyDescent="0.3">
      <c r="B55" s="230" t="s">
        <v>290</v>
      </c>
      <c r="C55" s="233">
        <f>MIN(MAX(C52-C53-C54,0),C51)</f>
        <v>0</v>
      </c>
      <c r="D55" s="232">
        <f>(C55*$K$1)*$C$1</f>
        <v>0</v>
      </c>
      <c r="E55" s="99"/>
      <c r="F55" s="99"/>
      <c r="G55" s="144" t="s">
        <v>290</v>
      </c>
      <c r="H55" s="186">
        <f>MIN(MAX(H52-H53-H54),H51)</f>
        <v>0</v>
      </c>
      <c r="I55" s="175">
        <f>J55/$R$1</f>
        <v>0</v>
      </c>
      <c r="J55" s="175">
        <f>MIN(MAX(J52-J53-J54),J51)</f>
        <v>0</v>
      </c>
    </row>
    <row r="56" spans="1:12" ht="14.25" customHeight="1" x14ac:dyDescent="0.3"/>
    <row r="57" spans="1:12" ht="14.25" customHeight="1" x14ac:dyDescent="0.3"/>
    <row r="58" spans="1:12" ht="14.25" customHeight="1" x14ac:dyDescent="0.3"/>
    <row r="59" spans="1:12" ht="14.25" customHeight="1" x14ac:dyDescent="0.3"/>
    <row r="60" spans="1:12" ht="14.25" customHeight="1" x14ac:dyDescent="0.3">
      <c r="B60" s="99"/>
      <c r="E60" s="99"/>
      <c r="F60" s="99"/>
    </row>
    <row r="61" spans="1:12" ht="14.25" customHeight="1" x14ac:dyDescent="0.3">
      <c r="B61" s="99"/>
      <c r="E61" s="99"/>
      <c r="F61" s="99"/>
    </row>
    <row r="62" spans="1:12" ht="17.75" customHeight="1" x14ac:dyDescent="0.3">
      <c r="A62" s="923"/>
      <c r="B62" s="1438" t="str">
        <f>"كباب اللحم1 / " &amp; COUNTIF($C$53:$C$55, "&gt;0")</f>
        <v>كباب اللحم1 / 2</v>
      </c>
      <c r="C62" s="1439"/>
      <c r="D62" s="1439"/>
      <c r="E62" s="1439"/>
      <c r="F62" s="1439"/>
      <c r="G62" s="1439"/>
      <c r="H62" s="1439"/>
    </row>
    <row r="63" spans="1:12" ht="17.75" customHeight="1" x14ac:dyDescent="0.3">
      <c r="A63" s="923"/>
      <c r="B63" s="1436" t="str">
        <f>"Meat Kebab 1 / " &amp; COUNTIF($C$53:$C$55, "&gt;0")</f>
        <v>Meat Kebab 1 / 2</v>
      </c>
      <c r="C63" s="1437"/>
      <c r="D63" s="1437"/>
      <c r="E63" s="1437"/>
      <c r="F63" s="1437"/>
      <c r="G63" s="1437"/>
      <c r="H63" s="1437"/>
    </row>
    <row r="64" spans="1:12" ht="39" customHeight="1" x14ac:dyDescent="0.3">
      <c r="A64" s="90"/>
      <c r="B64" s="242" t="s">
        <v>245</v>
      </c>
      <c r="C64" s="243" t="s">
        <v>246</v>
      </c>
      <c r="D64" s="244" t="s">
        <v>235</v>
      </c>
      <c r="E64" s="217" t="s">
        <v>238</v>
      </c>
      <c r="F64" s="217" t="s">
        <v>247</v>
      </c>
      <c r="G64" s="244" t="s">
        <v>248</v>
      </c>
      <c r="H64" s="217" t="s">
        <v>249</v>
      </c>
    </row>
    <row r="65" spans="1:8" ht="14.25" customHeight="1" x14ac:dyDescent="0.3">
      <c r="A65" s="218" t="s">
        <v>225</v>
      </c>
      <c r="B65" s="122" t="str">
        <f t="shared" ref="B65:D81" si="14">B5</f>
        <v>Indian Meat Tammam Mafroom - مفروم هندى</v>
      </c>
      <c r="C65" s="122" t="str">
        <f t="shared" si="14"/>
        <v>gm</v>
      </c>
      <c r="D65" s="262">
        <f t="shared" si="14"/>
        <v>3831.3793103448274</v>
      </c>
      <c r="E65" s="280">
        <f>H53</f>
        <v>10</v>
      </c>
      <c r="F65" s="126">
        <f t="shared" ref="F65:F81" si="15">F5</f>
        <v>1</v>
      </c>
      <c r="G65" s="118">
        <f t="shared" ref="G65:G80" si="16">D65*E65</f>
        <v>38313.793103448275</v>
      </c>
      <c r="H65" s="119">
        <f t="shared" ref="H65:H80" si="17">G65*F65</f>
        <v>38313.793103448275</v>
      </c>
    </row>
    <row r="66" spans="1:8" ht="14.25" customHeight="1" x14ac:dyDescent="0.3">
      <c r="A66" s="269" t="s">
        <v>13</v>
      </c>
      <c r="B66" s="122" t="str">
        <f t="shared" si="14"/>
        <v>Onion - بصل</v>
      </c>
      <c r="C66" s="122" t="str">
        <f t="shared" si="14"/>
        <v>gm</v>
      </c>
      <c r="D66" s="122">
        <f t="shared" si="14"/>
        <v>580</v>
      </c>
      <c r="E66" s="280">
        <f t="shared" ref="E66:E81" si="18">$C$53</f>
        <v>10.416666666666668</v>
      </c>
      <c r="F66" s="126">
        <f t="shared" si="15"/>
        <v>0.95</v>
      </c>
      <c r="G66" s="118">
        <f t="shared" si="16"/>
        <v>6041.666666666667</v>
      </c>
      <c r="H66" s="119">
        <f t="shared" si="17"/>
        <v>5739.583333333333</v>
      </c>
    </row>
    <row r="67" spans="1:8" ht="14.25" customHeight="1" x14ac:dyDescent="0.3">
      <c r="A67" s="269" t="s">
        <v>13</v>
      </c>
      <c r="B67" s="122" t="str">
        <f t="shared" si="14"/>
        <v>Garlic - ثوم مقشر</v>
      </c>
      <c r="C67" s="122" t="str">
        <f t="shared" si="14"/>
        <v>gm</v>
      </c>
      <c r="D67" s="122">
        <f t="shared" si="14"/>
        <v>15</v>
      </c>
      <c r="E67" s="280">
        <f t="shared" si="18"/>
        <v>10.416666666666668</v>
      </c>
      <c r="F67" s="126">
        <f t="shared" si="15"/>
        <v>0.95</v>
      </c>
      <c r="G67" s="118">
        <f t="shared" si="16"/>
        <v>156.25000000000003</v>
      </c>
      <c r="H67" s="119">
        <f t="shared" si="17"/>
        <v>148.43750000000003</v>
      </c>
    </row>
    <row r="68" spans="1:8" ht="14.25" customHeight="1" x14ac:dyDescent="0.3">
      <c r="A68" s="269" t="s">
        <v>95</v>
      </c>
      <c r="B68" s="122" t="str">
        <f t="shared" si="14"/>
        <v>Curry Powder - كاري بودرة</v>
      </c>
      <c r="C68" s="122" t="str">
        <f t="shared" si="14"/>
        <v>gm</v>
      </c>
      <c r="D68" s="122">
        <f t="shared" si="14"/>
        <v>10</v>
      </c>
      <c r="E68" s="280">
        <f t="shared" si="18"/>
        <v>10.416666666666668</v>
      </c>
      <c r="F68" s="126">
        <f t="shared" si="15"/>
        <v>0.75</v>
      </c>
      <c r="G68" s="118">
        <f t="shared" si="16"/>
        <v>104.16666666666669</v>
      </c>
      <c r="H68" s="119">
        <f t="shared" si="17"/>
        <v>78.125000000000014</v>
      </c>
    </row>
    <row r="69" spans="1:8" ht="14.25" customHeight="1" x14ac:dyDescent="0.3">
      <c r="A69" s="269" t="s">
        <v>95</v>
      </c>
      <c r="B69" s="122" t="str">
        <f t="shared" si="14"/>
        <v>White Pepper - فلفل أبيض</v>
      </c>
      <c r="C69" s="122" t="str">
        <f t="shared" si="14"/>
        <v>gm</v>
      </c>
      <c r="D69" s="122">
        <f t="shared" si="14"/>
        <v>3</v>
      </c>
      <c r="E69" s="280">
        <f t="shared" si="18"/>
        <v>10.416666666666668</v>
      </c>
      <c r="F69" s="126">
        <f t="shared" si="15"/>
        <v>0.75</v>
      </c>
      <c r="G69" s="118">
        <f t="shared" si="16"/>
        <v>31.250000000000004</v>
      </c>
      <c r="H69" s="119">
        <f t="shared" si="17"/>
        <v>23.437500000000004</v>
      </c>
    </row>
    <row r="70" spans="1:8" ht="14.25" customHeight="1" x14ac:dyDescent="0.3">
      <c r="A70" s="269" t="s">
        <v>95</v>
      </c>
      <c r="B70" s="122" t="str">
        <f t="shared" si="14"/>
        <v>Cumin Powder - كمون مطحون</v>
      </c>
      <c r="C70" s="122" t="str">
        <f t="shared" si="14"/>
        <v>gm</v>
      </c>
      <c r="D70" s="122">
        <f t="shared" si="14"/>
        <v>5</v>
      </c>
      <c r="E70" s="280">
        <f t="shared" si="18"/>
        <v>10.416666666666668</v>
      </c>
      <c r="F70" s="126">
        <f t="shared" si="15"/>
        <v>0.9</v>
      </c>
      <c r="G70" s="118">
        <f t="shared" si="16"/>
        <v>52.083333333333343</v>
      </c>
      <c r="H70" s="119">
        <f t="shared" si="17"/>
        <v>46.875000000000007</v>
      </c>
    </row>
    <row r="71" spans="1:8" ht="14.25" customHeight="1" x14ac:dyDescent="0.3">
      <c r="A71" s="269" t="s">
        <v>95</v>
      </c>
      <c r="B71" s="122" t="str">
        <f t="shared" si="14"/>
        <v>Coriander Powder - كزبرة مطحونة</v>
      </c>
      <c r="C71" s="122" t="str">
        <f t="shared" si="14"/>
        <v>gm</v>
      </c>
      <c r="D71" s="122">
        <f t="shared" si="14"/>
        <v>5</v>
      </c>
      <c r="E71" s="280">
        <f t="shared" si="18"/>
        <v>10.416666666666668</v>
      </c>
      <c r="F71" s="126">
        <f t="shared" si="15"/>
        <v>0.9</v>
      </c>
      <c r="G71" s="118">
        <f t="shared" si="16"/>
        <v>52.083333333333343</v>
      </c>
      <c r="H71" s="119">
        <f t="shared" si="17"/>
        <v>46.875000000000007</v>
      </c>
    </row>
    <row r="72" spans="1:8" ht="14.25" customHeight="1" x14ac:dyDescent="0.3">
      <c r="A72" s="269" t="s">
        <v>62</v>
      </c>
      <c r="B72" s="122" t="str">
        <f t="shared" si="14"/>
        <v>Coriander Leaves - كزبرة خضراء</v>
      </c>
      <c r="C72" s="122" t="str">
        <f t="shared" si="14"/>
        <v>gm</v>
      </c>
      <c r="D72" s="122">
        <f t="shared" si="14"/>
        <v>10</v>
      </c>
      <c r="E72" s="280">
        <f t="shared" si="18"/>
        <v>10.416666666666668</v>
      </c>
      <c r="F72" s="126">
        <f t="shared" si="15"/>
        <v>1</v>
      </c>
      <c r="G72" s="118">
        <f t="shared" si="16"/>
        <v>104.16666666666669</v>
      </c>
      <c r="H72" s="119">
        <f t="shared" si="17"/>
        <v>104.16666666666669</v>
      </c>
    </row>
    <row r="73" spans="1:8" ht="14.25" customHeight="1" x14ac:dyDescent="0.3">
      <c r="A73" s="269" t="s">
        <v>154</v>
      </c>
      <c r="B73" s="122" t="str">
        <f t="shared" si="14"/>
        <v>Yogurt - زبادي</v>
      </c>
      <c r="C73" s="122" t="str">
        <f t="shared" si="14"/>
        <v>gm</v>
      </c>
      <c r="D73" s="122">
        <f t="shared" si="14"/>
        <v>400</v>
      </c>
      <c r="E73" s="280">
        <f t="shared" si="18"/>
        <v>10.416666666666668</v>
      </c>
      <c r="F73" s="126">
        <f t="shared" si="15"/>
        <v>1</v>
      </c>
      <c r="G73" s="118">
        <f t="shared" si="16"/>
        <v>4166.666666666667</v>
      </c>
      <c r="H73" s="119">
        <f t="shared" si="17"/>
        <v>4166.666666666667</v>
      </c>
    </row>
    <row r="74" spans="1:8" ht="14.25" customHeight="1" x14ac:dyDescent="0.3">
      <c r="A74" s="269" t="s">
        <v>154</v>
      </c>
      <c r="B74" s="122" t="str">
        <f t="shared" si="14"/>
        <v>Cooking Cream - كريمة طبخ</v>
      </c>
      <c r="C74" s="122" t="str">
        <f t="shared" si="14"/>
        <v>ml</v>
      </c>
      <c r="D74" s="122">
        <f t="shared" si="14"/>
        <v>450</v>
      </c>
      <c r="E74" s="280">
        <f t="shared" si="18"/>
        <v>10.416666666666668</v>
      </c>
      <c r="F74" s="126">
        <f t="shared" si="15"/>
        <v>1</v>
      </c>
      <c r="G74" s="118">
        <f t="shared" si="16"/>
        <v>4687.5000000000009</v>
      </c>
      <c r="H74" s="119">
        <f t="shared" si="17"/>
        <v>4687.5000000000009</v>
      </c>
    </row>
    <row r="75" spans="1:8" ht="14.25" customHeight="1" x14ac:dyDescent="0.3">
      <c r="A75" s="269" t="s">
        <v>95</v>
      </c>
      <c r="B75" s="122" t="str">
        <f t="shared" si="14"/>
        <v>Salt - ملح</v>
      </c>
      <c r="C75" s="122" t="str">
        <f t="shared" si="14"/>
        <v>gm</v>
      </c>
      <c r="D75" s="122">
        <f t="shared" si="14"/>
        <v>11</v>
      </c>
      <c r="E75" s="280">
        <f t="shared" si="18"/>
        <v>10.416666666666668</v>
      </c>
      <c r="F75" s="126">
        <f t="shared" si="15"/>
        <v>1</v>
      </c>
      <c r="G75" s="118">
        <f t="shared" si="16"/>
        <v>114.58333333333334</v>
      </c>
      <c r="H75" s="119">
        <f t="shared" si="17"/>
        <v>114.58333333333334</v>
      </c>
    </row>
    <row r="76" spans="1:8" ht="14.25" customHeight="1" x14ac:dyDescent="0.3">
      <c r="A76" s="269" t="s">
        <v>154</v>
      </c>
      <c r="B76" s="122" t="str">
        <f t="shared" si="14"/>
        <v>Butter - زبدة</v>
      </c>
      <c r="C76" s="122" t="str">
        <f t="shared" si="14"/>
        <v>gm</v>
      </c>
      <c r="D76" s="122">
        <f t="shared" si="14"/>
        <v>50</v>
      </c>
      <c r="E76" s="280">
        <f t="shared" si="18"/>
        <v>10.416666666666668</v>
      </c>
      <c r="F76" s="126">
        <f t="shared" si="15"/>
        <v>1</v>
      </c>
      <c r="G76" s="118">
        <f t="shared" si="16"/>
        <v>520.83333333333337</v>
      </c>
      <c r="H76" s="119">
        <f t="shared" si="17"/>
        <v>520.83333333333337</v>
      </c>
    </row>
    <row r="77" spans="1:8" ht="14.25" customHeight="1" x14ac:dyDescent="0.3">
      <c r="A77" s="269" t="s">
        <v>95</v>
      </c>
      <c r="B77" s="122" t="str">
        <f t="shared" si="14"/>
        <v>Cardamom Powder - هيل مطحون</v>
      </c>
      <c r="C77" s="122" t="str">
        <f t="shared" si="14"/>
        <v>gm</v>
      </c>
      <c r="D77" s="122">
        <f t="shared" si="14"/>
        <v>3</v>
      </c>
      <c r="E77" s="280">
        <f t="shared" si="18"/>
        <v>10.416666666666668</v>
      </c>
      <c r="F77" s="126">
        <f t="shared" si="15"/>
        <v>0.75</v>
      </c>
      <c r="G77" s="118">
        <f t="shared" si="16"/>
        <v>31.250000000000004</v>
      </c>
      <c r="H77" s="119">
        <f t="shared" si="17"/>
        <v>23.437500000000004</v>
      </c>
    </row>
    <row r="78" spans="1:8" ht="14.25" customHeight="1" x14ac:dyDescent="0.3">
      <c r="A78" s="269" t="s">
        <v>95</v>
      </c>
      <c r="B78" s="122" t="str">
        <f t="shared" si="14"/>
        <v>Cinnamon Powder - قرفة مطحونة</v>
      </c>
      <c r="C78" s="122" t="str">
        <f t="shared" si="14"/>
        <v>gm</v>
      </c>
      <c r="D78" s="122">
        <f t="shared" si="14"/>
        <v>2</v>
      </c>
      <c r="E78" s="280">
        <f t="shared" si="18"/>
        <v>10.416666666666668</v>
      </c>
      <c r="F78" s="126">
        <f t="shared" si="15"/>
        <v>0.75</v>
      </c>
      <c r="G78" s="118">
        <f t="shared" si="16"/>
        <v>20.833333333333336</v>
      </c>
      <c r="H78" s="119">
        <f t="shared" si="17"/>
        <v>15.625000000000002</v>
      </c>
    </row>
    <row r="79" spans="1:8" ht="14.25" customHeight="1" x14ac:dyDescent="0.3">
      <c r="A79" s="269" t="s">
        <v>62</v>
      </c>
      <c r="B79" s="122" t="str">
        <f t="shared" si="14"/>
        <v>Mint Leaves - نعناع طازج</v>
      </c>
      <c r="C79" s="122" t="str">
        <f t="shared" si="14"/>
        <v>gm</v>
      </c>
      <c r="D79" s="122">
        <f t="shared" si="14"/>
        <v>15</v>
      </c>
      <c r="E79" s="280">
        <f t="shared" si="18"/>
        <v>10.416666666666668</v>
      </c>
      <c r="F79" s="126">
        <f t="shared" si="15"/>
        <v>0.85</v>
      </c>
      <c r="G79" s="118">
        <f t="shared" si="16"/>
        <v>156.25000000000003</v>
      </c>
      <c r="H79" s="119">
        <f t="shared" si="17"/>
        <v>132.81250000000003</v>
      </c>
    </row>
    <row r="80" spans="1:8" ht="14.25" customHeight="1" x14ac:dyDescent="0.3">
      <c r="A80" s="269" t="s">
        <v>81</v>
      </c>
      <c r="B80" s="122" t="str">
        <f t="shared" si="14"/>
        <v>Dried Mint Leaves - نعناع مجفف</v>
      </c>
      <c r="C80" s="122" t="str">
        <f t="shared" si="14"/>
        <v>gm</v>
      </c>
      <c r="D80" s="122">
        <f t="shared" si="14"/>
        <v>1</v>
      </c>
      <c r="E80" s="280">
        <f t="shared" si="18"/>
        <v>10.416666666666668</v>
      </c>
      <c r="F80" s="126">
        <f t="shared" si="15"/>
        <v>0.75</v>
      </c>
      <c r="G80" s="118">
        <f t="shared" si="16"/>
        <v>10.416666666666668</v>
      </c>
      <c r="H80" s="119">
        <f t="shared" si="17"/>
        <v>7.8125000000000009</v>
      </c>
    </row>
    <row r="81" spans="1:8" ht="20.25" customHeight="1" x14ac:dyDescent="0.3">
      <c r="A81" s="269" t="s">
        <v>81</v>
      </c>
      <c r="B81" s="122" t="str">
        <f t="shared" si="14"/>
        <v>Saffron yellow color powder - لون صفار زعفران بودر</v>
      </c>
      <c r="C81" s="122" t="str">
        <f t="shared" si="14"/>
        <v>gm</v>
      </c>
      <c r="D81" s="122">
        <f t="shared" si="14"/>
        <v>1</v>
      </c>
      <c r="E81" s="280">
        <f t="shared" si="18"/>
        <v>10.416666666666668</v>
      </c>
      <c r="F81" s="126">
        <f t="shared" si="15"/>
        <v>1</v>
      </c>
      <c r="G81" s="118">
        <f>D81*E81</f>
        <v>10.416666666666668</v>
      </c>
      <c r="H81" s="119">
        <f>G81*F81</f>
        <v>10.416666666666668</v>
      </c>
    </row>
    <row r="82" spans="1:8" ht="19.5" customHeight="1" x14ac:dyDescent="0.3">
      <c r="A82" s="210"/>
      <c r="B82" s="197" t="s">
        <v>291</v>
      </c>
      <c r="C82" s="199" t="s">
        <v>277</v>
      </c>
      <c r="D82" s="14"/>
      <c r="E82" s="199" t="s">
        <v>292</v>
      </c>
      <c r="F82" s="14"/>
      <c r="G82" s="878" t="s">
        <v>268</v>
      </c>
      <c r="H82" s="878" t="s">
        <v>703</v>
      </c>
    </row>
    <row r="83" spans="1:8" ht="22.25" customHeight="1" x14ac:dyDescent="0.4">
      <c r="A83" s="210"/>
      <c r="B83" s="198">
        <f>$J$53</f>
        <v>22222</v>
      </c>
      <c r="C83" s="198">
        <f>E83+G83</f>
        <v>10000</v>
      </c>
      <c r="D83" s="208"/>
      <c r="E83" s="198">
        <f>$D$53*$S$44</f>
        <v>0</v>
      </c>
      <c r="F83" s="919"/>
      <c r="G83" s="198">
        <f>$D$53*$T$44</f>
        <v>10000</v>
      </c>
      <c r="H83" s="198">
        <f>B83+E83</f>
        <v>22222</v>
      </c>
    </row>
    <row r="84" spans="1:8" ht="17.75" customHeight="1" x14ac:dyDescent="0.3">
      <c r="B84" s="99"/>
      <c r="E84" s="99"/>
      <c r="F84" s="99"/>
    </row>
    <row r="85" spans="1:8" ht="17.75" customHeight="1" x14ac:dyDescent="0.3">
      <c r="A85" s="923"/>
      <c r="B85" s="1438" t="str">
        <f>"كباب اللحم 2  / " &amp; COUNTIF($C$53:$C$55, "&gt;0")</f>
        <v>كباب اللحم 2  / 2</v>
      </c>
      <c r="C85" s="1439"/>
      <c r="D85" s="1439"/>
      <c r="E85" s="1439"/>
      <c r="F85" s="1439"/>
      <c r="G85" s="1439"/>
      <c r="H85" s="1439"/>
    </row>
    <row r="86" spans="1:8" ht="25.5" customHeight="1" x14ac:dyDescent="0.3">
      <c r="A86" s="923"/>
      <c r="B86" s="1436" t="str">
        <f>"Meat Kebab 2  / " &amp; COUNTIF($C$53:$C$55, "&gt;0")</f>
        <v>Meat Kebab 2  / 2</v>
      </c>
      <c r="C86" s="1437"/>
      <c r="D86" s="1437"/>
      <c r="E86" s="1437"/>
      <c r="F86" s="1437"/>
      <c r="G86" s="1437"/>
      <c r="H86" s="1437"/>
    </row>
    <row r="87" spans="1:8" ht="38" customHeight="1" x14ac:dyDescent="0.3">
      <c r="A87" s="90"/>
      <c r="B87" s="242" t="s">
        <v>245</v>
      </c>
      <c r="C87" s="243" t="s">
        <v>246</v>
      </c>
      <c r="D87" s="244" t="s">
        <v>235</v>
      </c>
      <c r="E87" s="217" t="s">
        <v>238</v>
      </c>
      <c r="F87" s="217" t="s">
        <v>247</v>
      </c>
      <c r="G87" s="244" t="s">
        <v>248</v>
      </c>
      <c r="H87" s="217" t="s">
        <v>249</v>
      </c>
    </row>
    <row r="88" spans="1:8" ht="14.25" customHeight="1" x14ac:dyDescent="0.3">
      <c r="A88" s="269" t="s">
        <v>225</v>
      </c>
      <c r="B88" s="122" t="str">
        <f t="shared" ref="B88:D104" si="19">B5</f>
        <v>Indian Meat Tammam Mafroom - مفروم هندى</v>
      </c>
      <c r="C88" s="122" t="str">
        <f t="shared" si="19"/>
        <v>gm</v>
      </c>
      <c r="D88" s="262">
        <f t="shared" si="19"/>
        <v>3831.3793103448274</v>
      </c>
      <c r="E88" s="222">
        <f>H54</f>
        <v>0.68760687606876303</v>
      </c>
      <c r="F88" s="126">
        <f t="shared" ref="F88:F104" si="20">F5</f>
        <v>1</v>
      </c>
      <c r="G88" s="118">
        <f t="shared" ref="G88:G103" si="21">D88*E88</f>
        <v>2634.4827586206984</v>
      </c>
      <c r="H88" s="119">
        <f t="shared" ref="H88:H103" si="22">G88*F88</f>
        <v>2634.4827586206984</v>
      </c>
    </row>
    <row r="89" spans="1:8" ht="14.25" customHeight="1" x14ac:dyDescent="0.3">
      <c r="A89" s="269" t="s">
        <v>13</v>
      </c>
      <c r="B89" s="122" t="str">
        <f t="shared" si="19"/>
        <v>Onion - بصل</v>
      </c>
      <c r="C89" s="122" t="str">
        <f t="shared" si="19"/>
        <v>gm</v>
      </c>
      <c r="D89" s="122">
        <f t="shared" si="19"/>
        <v>580</v>
      </c>
      <c r="E89" s="222">
        <f t="shared" ref="E89:E104" si="23">$C$54</f>
        <v>0.71614583333333215</v>
      </c>
      <c r="F89" s="126">
        <f t="shared" si="20"/>
        <v>0.95</v>
      </c>
      <c r="G89" s="118">
        <f t="shared" si="21"/>
        <v>415.36458333333263</v>
      </c>
      <c r="H89" s="119">
        <f t="shared" si="22"/>
        <v>394.596354166666</v>
      </c>
    </row>
    <row r="90" spans="1:8" ht="14.25" customHeight="1" x14ac:dyDescent="0.3">
      <c r="A90" s="269" t="s">
        <v>13</v>
      </c>
      <c r="B90" s="122" t="str">
        <f t="shared" si="19"/>
        <v>Garlic - ثوم مقشر</v>
      </c>
      <c r="C90" s="122" t="str">
        <f t="shared" si="19"/>
        <v>gm</v>
      </c>
      <c r="D90" s="122">
        <f t="shared" si="19"/>
        <v>15</v>
      </c>
      <c r="E90" s="222">
        <f t="shared" si="23"/>
        <v>0.71614583333333215</v>
      </c>
      <c r="F90" s="126">
        <f t="shared" si="20"/>
        <v>0.95</v>
      </c>
      <c r="G90" s="118">
        <f t="shared" si="21"/>
        <v>10.742187499999982</v>
      </c>
      <c r="H90" s="119">
        <f t="shared" si="22"/>
        <v>10.205078124999982</v>
      </c>
    </row>
    <row r="91" spans="1:8" ht="14.25" customHeight="1" x14ac:dyDescent="0.3">
      <c r="A91" s="269" t="s">
        <v>95</v>
      </c>
      <c r="B91" s="122" t="str">
        <f t="shared" si="19"/>
        <v>Curry Powder - كاري بودرة</v>
      </c>
      <c r="C91" s="122" t="str">
        <f t="shared" si="19"/>
        <v>gm</v>
      </c>
      <c r="D91" s="122">
        <f t="shared" si="19"/>
        <v>10</v>
      </c>
      <c r="E91" s="222">
        <f t="shared" si="23"/>
        <v>0.71614583333333215</v>
      </c>
      <c r="F91" s="126">
        <f t="shared" si="20"/>
        <v>0.75</v>
      </c>
      <c r="G91" s="118">
        <f t="shared" si="21"/>
        <v>7.1614583333333215</v>
      </c>
      <c r="H91" s="119">
        <f t="shared" si="22"/>
        <v>5.3710937499999911</v>
      </c>
    </row>
    <row r="92" spans="1:8" ht="14.25" customHeight="1" x14ac:dyDescent="0.3">
      <c r="A92" s="269" t="s">
        <v>95</v>
      </c>
      <c r="B92" s="122" t="str">
        <f t="shared" si="19"/>
        <v>White Pepper - فلفل أبيض</v>
      </c>
      <c r="C92" s="122" t="str">
        <f t="shared" si="19"/>
        <v>gm</v>
      </c>
      <c r="D92" s="122">
        <f t="shared" si="19"/>
        <v>3</v>
      </c>
      <c r="E92" s="222">
        <f t="shared" si="23"/>
        <v>0.71614583333333215</v>
      </c>
      <c r="F92" s="126">
        <f t="shared" si="20"/>
        <v>0.75</v>
      </c>
      <c r="G92" s="118">
        <f t="shared" si="21"/>
        <v>2.1484374999999964</v>
      </c>
      <c r="H92" s="119">
        <f t="shared" si="22"/>
        <v>1.6113281249999973</v>
      </c>
    </row>
    <row r="93" spans="1:8" ht="14.25" customHeight="1" x14ac:dyDescent="0.3">
      <c r="A93" s="269" t="s">
        <v>95</v>
      </c>
      <c r="B93" s="122" t="str">
        <f t="shared" si="19"/>
        <v>Cumin Powder - كمون مطحون</v>
      </c>
      <c r="C93" s="122" t="str">
        <f t="shared" si="19"/>
        <v>gm</v>
      </c>
      <c r="D93" s="122">
        <f t="shared" si="19"/>
        <v>5</v>
      </c>
      <c r="E93" s="222">
        <f t="shared" si="23"/>
        <v>0.71614583333333215</v>
      </c>
      <c r="F93" s="126">
        <f t="shared" si="20"/>
        <v>0.9</v>
      </c>
      <c r="G93" s="118">
        <f t="shared" si="21"/>
        <v>3.5807291666666607</v>
      </c>
      <c r="H93" s="119">
        <f t="shared" si="22"/>
        <v>3.2226562499999947</v>
      </c>
    </row>
    <row r="94" spans="1:8" ht="14.25" customHeight="1" x14ac:dyDescent="0.3">
      <c r="A94" s="269" t="s">
        <v>95</v>
      </c>
      <c r="B94" s="122" t="str">
        <f t="shared" si="19"/>
        <v>Coriander Powder - كزبرة مطحونة</v>
      </c>
      <c r="C94" s="122" t="str">
        <f t="shared" si="19"/>
        <v>gm</v>
      </c>
      <c r="D94" s="122">
        <f t="shared" si="19"/>
        <v>5</v>
      </c>
      <c r="E94" s="222">
        <f t="shared" si="23"/>
        <v>0.71614583333333215</v>
      </c>
      <c r="F94" s="126">
        <f t="shared" si="20"/>
        <v>0.9</v>
      </c>
      <c r="G94" s="118">
        <f t="shared" si="21"/>
        <v>3.5807291666666607</v>
      </c>
      <c r="H94" s="119">
        <f t="shared" si="22"/>
        <v>3.2226562499999947</v>
      </c>
    </row>
    <row r="95" spans="1:8" ht="14.25" customHeight="1" x14ac:dyDescent="0.3">
      <c r="A95" s="269" t="s">
        <v>62</v>
      </c>
      <c r="B95" s="122" t="str">
        <f t="shared" si="19"/>
        <v>Coriander Leaves - كزبرة خضراء</v>
      </c>
      <c r="C95" s="122" t="str">
        <f t="shared" si="19"/>
        <v>gm</v>
      </c>
      <c r="D95" s="122">
        <f t="shared" si="19"/>
        <v>10</v>
      </c>
      <c r="E95" s="222">
        <f t="shared" si="23"/>
        <v>0.71614583333333215</v>
      </c>
      <c r="F95" s="126">
        <f t="shared" si="20"/>
        <v>1</v>
      </c>
      <c r="G95" s="118">
        <f t="shared" si="21"/>
        <v>7.1614583333333215</v>
      </c>
      <c r="H95" s="119">
        <f t="shared" si="22"/>
        <v>7.1614583333333215</v>
      </c>
    </row>
    <row r="96" spans="1:8" ht="14.25" customHeight="1" x14ac:dyDescent="0.3">
      <c r="A96" s="269" t="s">
        <v>154</v>
      </c>
      <c r="B96" s="122" t="str">
        <f t="shared" si="19"/>
        <v>Yogurt - زبادي</v>
      </c>
      <c r="C96" s="122" t="str">
        <f t="shared" si="19"/>
        <v>gm</v>
      </c>
      <c r="D96" s="122">
        <f t="shared" si="19"/>
        <v>400</v>
      </c>
      <c r="E96" s="222">
        <f t="shared" si="23"/>
        <v>0.71614583333333215</v>
      </c>
      <c r="F96" s="126">
        <f t="shared" si="20"/>
        <v>1</v>
      </c>
      <c r="G96" s="118">
        <f t="shared" si="21"/>
        <v>286.45833333333286</v>
      </c>
      <c r="H96" s="119">
        <f t="shared" si="22"/>
        <v>286.45833333333286</v>
      </c>
    </row>
    <row r="97" spans="1:10" ht="14.25" customHeight="1" x14ac:dyDescent="0.3">
      <c r="A97" s="269" t="s">
        <v>154</v>
      </c>
      <c r="B97" s="122" t="str">
        <f t="shared" si="19"/>
        <v>Cooking Cream - كريمة طبخ</v>
      </c>
      <c r="C97" s="122" t="str">
        <f t="shared" si="19"/>
        <v>ml</v>
      </c>
      <c r="D97" s="122">
        <f t="shared" si="19"/>
        <v>450</v>
      </c>
      <c r="E97" s="222">
        <f t="shared" si="23"/>
        <v>0.71614583333333215</v>
      </c>
      <c r="F97" s="126">
        <f t="shared" si="20"/>
        <v>1</v>
      </c>
      <c r="G97" s="118">
        <f t="shared" si="21"/>
        <v>322.26562499999949</v>
      </c>
      <c r="H97" s="119">
        <f t="shared" si="22"/>
        <v>322.26562499999949</v>
      </c>
    </row>
    <row r="98" spans="1:10" ht="14.25" customHeight="1" x14ac:dyDescent="0.3">
      <c r="A98" s="269" t="s">
        <v>95</v>
      </c>
      <c r="B98" s="122" t="str">
        <f t="shared" si="19"/>
        <v>Salt - ملح</v>
      </c>
      <c r="C98" s="122" t="str">
        <f t="shared" si="19"/>
        <v>gm</v>
      </c>
      <c r="D98" s="122">
        <f t="shared" si="19"/>
        <v>11</v>
      </c>
      <c r="E98" s="222">
        <f t="shared" si="23"/>
        <v>0.71614583333333215</v>
      </c>
      <c r="F98" s="126">
        <f t="shared" si="20"/>
        <v>1</v>
      </c>
      <c r="G98" s="118">
        <f t="shared" si="21"/>
        <v>7.8776041666666536</v>
      </c>
      <c r="H98" s="119">
        <f t="shared" si="22"/>
        <v>7.8776041666666536</v>
      </c>
    </row>
    <row r="99" spans="1:10" ht="14.25" customHeight="1" x14ac:dyDescent="0.3">
      <c r="A99" s="269" t="s">
        <v>154</v>
      </c>
      <c r="B99" s="122" t="str">
        <f t="shared" si="19"/>
        <v>Butter - زبدة</v>
      </c>
      <c r="C99" s="122" t="str">
        <f t="shared" si="19"/>
        <v>gm</v>
      </c>
      <c r="D99" s="122">
        <f t="shared" si="19"/>
        <v>50</v>
      </c>
      <c r="E99" s="222">
        <f t="shared" si="23"/>
        <v>0.71614583333333215</v>
      </c>
      <c r="F99" s="126">
        <f t="shared" si="20"/>
        <v>1</v>
      </c>
      <c r="G99" s="118">
        <f t="shared" si="21"/>
        <v>35.807291666666607</v>
      </c>
      <c r="H99" s="119">
        <f t="shared" si="22"/>
        <v>35.807291666666607</v>
      </c>
    </row>
    <row r="100" spans="1:10" ht="14.25" customHeight="1" x14ac:dyDescent="0.3">
      <c r="A100" s="269" t="s">
        <v>95</v>
      </c>
      <c r="B100" s="122" t="str">
        <f t="shared" si="19"/>
        <v>Cardamom Powder - هيل مطحون</v>
      </c>
      <c r="C100" s="122" t="str">
        <f t="shared" si="19"/>
        <v>gm</v>
      </c>
      <c r="D100" s="122">
        <f t="shared" si="19"/>
        <v>3</v>
      </c>
      <c r="E100" s="222">
        <f t="shared" si="23"/>
        <v>0.71614583333333215</v>
      </c>
      <c r="F100" s="126">
        <f t="shared" si="20"/>
        <v>0.75</v>
      </c>
      <c r="G100" s="118">
        <f t="shared" si="21"/>
        <v>2.1484374999999964</v>
      </c>
      <c r="H100" s="119">
        <f t="shared" si="22"/>
        <v>1.6113281249999973</v>
      </c>
    </row>
    <row r="101" spans="1:10" ht="14.25" customHeight="1" x14ac:dyDescent="0.3">
      <c r="A101" s="269" t="s">
        <v>95</v>
      </c>
      <c r="B101" s="122" t="str">
        <f t="shared" si="19"/>
        <v>Cinnamon Powder - قرفة مطحونة</v>
      </c>
      <c r="C101" s="122" t="str">
        <f t="shared" si="19"/>
        <v>gm</v>
      </c>
      <c r="D101" s="122">
        <f t="shared" si="19"/>
        <v>2</v>
      </c>
      <c r="E101" s="222">
        <f t="shared" si="23"/>
        <v>0.71614583333333215</v>
      </c>
      <c r="F101" s="126">
        <f t="shared" si="20"/>
        <v>0.75</v>
      </c>
      <c r="G101" s="118">
        <f t="shared" si="21"/>
        <v>1.4322916666666643</v>
      </c>
      <c r="H101" s="119">
        <f t="shared" si="22"/>
        <v>1.0742187499999982</v>
      </c>
    </row>
    <row r="102" spans="1:10" ht="14.25" customHeight="1" x14ac:dyDescent="0.3">
      <c r="A102" s="269" t="s">
        <v>62</v>
      </c>
      <c r="B102" s="122" t="str">
        <f t="shared" si="19"/>
        <v>Mint Leaves - نعناع طازج</v>
      </c>
      <c r="C102" s="122" t="str">
        <f t="shared" si="19"/>
        <v>gm</v>
      </c>
      <c r="D102" s="122">
        <f t="shared" si="19"/>
        <v>15</v>
      </c>
      <c r="E102" s="222">
        <f t="shared" si="23"/>
        <v>0.71614583333333215</v>
      </c>
      <c r="F102" s="126">
        <f t="shared" si="20"/>
        <v>0.85</v>
      </c>
      <c r="G102" s="118">
        <f t="shared" si="21"/>
        <v>10.742187499999982</v>
      </c>
      <c r="H102" s="119">
        <f t="shared" si="22"/>
        <v>9.130859374999984</v>
      </c>
    </row>
    <row r="103" spans="1:10" ht="20.25" customHeight="1" x14ac:dyDescent="0.4">
      <c r="A103" s="269" t="s">
        <v>81</v>
      </c>
      <c r="B103" s="122" t="str">
        <f t="shared" si="19"/>
        <v>Dried Mint Leaves - نعناع مجفف</v>
      </c>
      <c r="C103" s="122" t="str">
        <f t="shared" si="19"/>
        <v>gm</v>
      </c>
      <c r="D103" s="122">
        <f t="shared" si="19"/>
        <v>1</v>
      </c>
      <c r="E103" s="222">
        <f t="shared" si="23"/>
        <v>0.71614583333333215</v>
      </c>
      <c r="F103" s="126">
        <f t="shared" si="20"/>
        <v>0.75</v>
      </c>
      <c r="G103" s="118">
        <f t="shared" si="21"/>
        <v>0.71614583333333215</v>
      </c>
      <c r="H103" s="119">
        <f t="shared" si="22"/>
        <v>0.53710937499999911</v>
      </c>
      <c r="I103" s="203"/>
      <c r="J103" s="202"/>
    </row>
    <row r="104" spans="1:10" x14ac:dyDescent="0.3">
      <c r="A104" s="269" t="s">
        <v>81</v>
      </c>
      <c r="B104" s="122" t="str">
        <f t="shared" si="19"/>
        <v>Saffron yellow color powder - لون صفار زعفران بودر</v>
      </c>
      <c r="C104" s="122" t="str">
        <f t="shared" si="19"/>
        <v>gm</v>
      </c>
      <c r="D104" s="122">
        <f t="shared" si="19"/>
        <v>1</v>
      </c>
      <c r="E104" s="222">
        <f t="shared" si="23"/>
        <v>0.71614583333333215</v>
      </c>
      <c r="F104" s="126">
        <f t="shared" si="20"/>
        <v>1</v>
      </c>
      <c r="G104" s="118">
        <f>D104*E104</f>
        <v>0.71614583333333215</v>
      </c>
      <c r="H104" s="119">
        <f>G104*F104</f>
        <v>0.71614583333333215</v>
      </c>
    </row>
    <row r="105" spans="1:10" ht="18" x14ac:dyDescent="0.3">
      <c r="A105" s="210"/>
      <c r="B105" s="197" t="s">
        <v>291</v>
      </c>
      <c r="C105" s="199" t="s">
        <v>277</v>
      </c>
      <c r="D105" s="14"/>
      <c r="E105" s="199" t="s">
        <v>292</v>
      </c>
      <c r="F105" s="14"/>
      <c r="G105" s="878" t="s">
        <v>268</v>
      </c>
      <c r="H105" s="878" t="s">
        <v>703</v>
      </c>
    </row>
    <row r="106" spans="1:10" ht="25.5" customHeight="1" x14ac:dyDescent="0.4">
      <c r="A106" s="210"/>
      <c r="B106" s="198">
        <f>$J$54</f>
        <v>1528</v>
      </c>
      <c r="C106" s="198">
        <f>E106+G106</f>
        <v>687.49999999999886</v>
      </c>
      <c r="D106" s="208"/>
      <c r="E106" s="198">
        <f>$D$54*$S$44</f>
        <v>0</v>
      </c>
      <c r="F106" s="919"/>
      <c r="G106" s="198">
        <f>$D$54*$T$44</f>
        <v>687.49999999999886</v>
      </c>
      <c r="H106" s="198">
        <f>B106+E106</f>
        <v>1528</v>
      </c>
    </row>
  </sheetData>
  <mergeCells count="10">
    <mergeCell ref="B86:H86"/>
    <mergeCell ref="AE2:AG3"/>
    <mergeCell ref="B85:H85"/>
    <mergeCell ref="R26:U26"/>
    <mergeCell ref="AN2:AN3"/>
    <mergeCell ref="R25:U25"/>
    <mergeCell ref="B62:H62"/>
    <mergeCell ref="F2:F3"/>
    <mergeCell ref="B63:H63"/>
    <mergeCell ref="AK2:AM2"/>
  </mergeCells>
  <printOptions horizontalCentered="1"/>
  <pageMargins left="0.5" right="0.5" top="1" bottom="0.5" header="0.3" footer="0.511811023622047"/>
  <pageSetup paperSize="9" scale="27" orientation="portrait" r:id="rId1"/>
  <legacyDrawing r:id="rId2"/>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tabColor rgb="FFC55A11"/>
    <pageSetUpPr fitToPage="1"/>
  </sheetPr>
  <dimension ref="A1:AT107"/>
  <sheetViews>
    <sheetView topLeftCell="R18" zoomScale="115" zoomScaleNormal="115" workbookViewId="0">
      <selection activeCell="R26" sqref="R26:U26"/>
    </sheetView>
  </sheetViews>
  <sheetFormatPr defaultColWidth="12.5" defaultRowHeight="14" x14ac:dyDescent="0.3"/>
  <cols>
    <col min="1" max="1" width="12.5" style="78" customWidth="1"/>
    <col min="2" max="2" width="40.0820312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3.83203125" style="14" customWidth="1"/>
    <col min="15" max="17" width="12.5" style="14" customWidth="1"/>
    <col min="18" max="18" width="32.83203125" style="14" customWidth="1"/>
    <col min="19" max="19" width="12.5" style="14" customWidth="1"/>
    <col min="20" max="29" width="12.5" style="14"/>
    <col min="30" max="31" width="12.5" style="818"/>
    <col min="32" max="35" width="12.5" style="14"/>
    <col min="36" max="36" width="31.83203125" style="14" customWidth="1"/>
    <col min="37" max="16384" width="12.5" style="14"/>
  </cols>
  <sheetData>
    <row r="1" spans="1:46" ht="35.25" customHeight="1" x14ac:dyDescent="0.3">
      <c r="B1" s="79" t="s">
        <v>235</v>
      </c>
      <c r="C1" s="80">
        <v>1000</v>
      </c>
      <c r="D1" s="81" t="s">
        <v>236</v>
      </c>
      <c r="E1" s="116">
        <f>T32</f>
        <v>12348</v>
      </c>
      <c r="F1" s="79" t="s">
        <v>237</v>
      </c>
      <c r="G1" s="248">
        <f>E1/C1</f>
        <v>12.348000000000001</v>
      </c>
      <c r="H1" s="79" t="s">
        <v>238</v>
      </c>
      <c r="I1" s="281">
        <f>G1/K1</f>
        <v>12.6</v>
      </c>
      <c r="J1" s="85" t="s">
        <v>239</v>
      </c>
      <c r="K1" s="326">
        <f>9.8/10</f>
        <v>0.98000000000000009</v>
      </c>
      <c r="L1" s="99"/>
      <c r="M1" s="88"/>
      <c r="N1" s="89"/>
      <c r="O1" s="90" t="s">
        <v>240</v>
      </c>
      <c r="P1" s="91" t="s">
        <v>293</v>
      </c>
      <c r="Q1" s="92" t="s">
        <v>242</v>
      </c>
      <c r="R1" s="91">
        <v>0.54</v>
      </c>
      <c r="Y1" s="90" t="s">
        <v>463</v>
      </c>
      <c r="Z1" s="835">
        <v>39160</v>
      </c>
      <c r="AA1" s="90" t="s">
        <v>578</v>
      </c>
      <c r="AB1" s="835">
        <v>2000</v>
      </c>
      <c r="AC1" s="90" t="s">
        <v>567</v>
      </c>
      <c r="AD1" s="835">
        <v>270</v>
      </c>
      <c r="AE1" s="814"/>
      <c r="AF1" s="251"/>
      <c r="AG1" s="91"/>
      <c r="AI1" s="1"/>
      <c r="AJ1" s="93" t="s">
        <v>254</v>
      </c>
      <c r="AK1" s="93">
        <v>10000</v>
      </c>
      <c r="AL1" s="623" t="s">
        <v>523</v>
      </c>
      <c r="AM1" s="624">
        <f>$S$32</f>
        <v>41160</v>
      </c>
      <c r="AN1" s="93" t="s">
        <v>243</v>
      </c>
      <c r="AO1" s="328">
        <f>((S32)/$R$1)/$AK$1</f>
        <v>7.6222222222222218</v>
      </c>
      <c r="AP1" s="94"/>
      <c r="AQ1"/>
      <c r="AR1"/>
      <c r="AS1"/>
      <c r="AT1"/>
    </row>
    <row r="2" spans="1:46" ht="12.75" customHeight="1" x14ac:dyDescent="0.3">
      <c r="A2" s="96"/>
      <c r="B2" s="1450" t="s">
        <v>866</v>
      </c>
      <c r="C2" s="1460"/>
      <c r="D2" s="1460"/>
      <c r="E2" s="1460"/>
      <c r="F2" s="1460"/>
      <c r="G2" s="1460"/>
      <c r="H2" s="1460"/>
      <c r="I2" s="1460"/>
      <c r="J2" s="1460"/>
      <c r="K2" s="396"/>
      <c r="L2" s="292"/>
      <c r="M2" s="99"/>
      <c r="N2" s="99"/>
      <c r="O2" s="99"/>
      <c r="P2" s="99"/>
      <c r="Q2" s="99"/>
      <c r="R2" s="99"/>
      <c r="AC2" s="98"/>
      <c r="AD2" s="815"/>
      <c r="AE2" s="1457"/>
      <c r="AF2" s="1460"/>
      <c r="AG2" s="1460"/>
      <c r="AI2" s="1"/>
      <c r="AJ2" s="100"/>
      <c r="AK2" s="1442" t="s">
        <v>870</v>
      </c>
      <c r="AL2" s="1442"/>
      <c r="AM2" s="1442"/>
      <c r="AN2" s="1442"/>
      <c r="AO2" s="100"/>
      <c r="AP2" s="100"/>
      <c r="AQ2"/>
      <c r="AR2"/>
      <c r="AS2"/>
      <c r="AT2"/>
    </row>
    <row r="3" spans="1:46" ht="12.75" customHeight="1" x14ac:dyDescent="0.3">
      <c r="A3" s="96"/>
      <c r="B3" s="1444"/>
      <c r="C3" s="1444"/>
      <c r="D3" s="1444"/>
      <c r="E3" s="1444"/>
      <c r="F3" s="1444"/>
      <c r="G3" s="1444"/>
      <c r="H3" s="1444"/>
      <c r="I3" s="1444"/>
      <c r="J3" s="1444"/>
      <c r="K3" s="396"/>
      <c r="L3" s="292"/>
      <c r="M3" s="99"/>
      <c r="N3" s="99"/>
      <c r="O3" s="99"/>
      <c r="P3" s="99"/>
      <c r="Q3" s="99"/>
      <c r="R3" s="99"/>
      <c r="AC3" s="98"/>
      <c r="AD3" s="815"/>
      <c r="AE3" s="1460"/>
      <c r="AF3" s="1460"/>
      <c r="AG3" s="1460"/>
      <c r="AI3" s="1"/>
      <c r="AJ3" s="100"/>
      <c r="AK3" s="1442"/>
      <c r="AL3" s="1442"/>
      <c r="AM3" s="1442"/>
      <c r="AN3" s="1442"/>
      <c r="AO3" s="100"/>
      <c r="AP3" s="100"/>
      <c r="AQ3"/>
      <c r="AR3"/>
      <c r="AS3"/>
      <c r="AT3"/>
    </row>
    <row r="4" spans="1:46" ht="35.25" customHeight="1" x14ac:dyDescent="0.3">
      <c r="A4" s="90" t="s">
        <v>1</v>
      </c>
      <c r="B4" s="90" t="s">
        <v>245</v>
      </c>
      <c r="C4" s="106" t="s">
        <v>246</v>
      </c>
      <c r="D4" s="90" t="s">
        <v>235</v>
      </c>
      <c r="E4" s="107" t="s">
        <v>238</v>
      </c>
      <c r="F4" s="107" t="s">
        <v>247</v>
      </c>
      <c r="G4" s="90" t="s">
        <v>248</v>
      </c>
      <c r="H4" s="106" t="s">
        <v>339</v>
      </c>
      <c r="I4" s="90" t="s">
        <v>250</v>
      </c>
      <c r="J4" s="90" t="s">
        <v>251</v>
      </c>
      <c r="K4" s="90" t="s">
        <v>252</v>
      </c>
      <c r="L4" s="90" t="s">
        <v>253</v>
      </c>
      <c r="M4" s="99"/>
      <c r="N4" s="99"/>
      <c r="O4" s="99"/>
      <c r="P4" s="99"/>
      <c r="AA4" s="250"/>
      <c r="AB4" s="252"/>
      <c r="AC4" s="250"/>
      <c r="AD4" s="813"/>
      <c r="AE4" s="813"/>
      <c r="AI4" s="1"/>
      <c r="AJ4" s="93" t="s">
        <v>245</v>
      </c>
      <c r="AK4" s="527" t="s">
        <v>246</v>
      </c>
      <c r="AL4" s="93" t="s">
        <v>254</v>
      </c>
      <c r="AM4" s="93" t="s">
        <v>238</v>
      </c>
      <c r="AN4" s="93" t="s">
        <v>247</v>
      </c>
      <c r="AO4" s="93" t="s">
        <v>248</v>
      </c>
      <c r="AP4" s="93" t="s">
        <v>339</v>
      </c>
      <c r="AQ4" s="90" t="s">
        <v>250</v>
      </c>
      <c r="AR4" s="90" t="s">
        <v>251</v>
      </c>
      <c r="AS4" s="90" t="s">
        <v>252</v>
      </c>
      <c r="AT4" s="90" t="s">
        <v>253</v>
      </c>
    </row>
    <row r="5" spans="1:46" ht="14.25" customHeight="1" x14ac:dyDescent="0.3">
      <c r="A5" s="265" t="s">
        <v>225</v>
      </c>
      <c r="B5" s="22" t="s">
        <v>229</v>
      </c>
      <c r="C5" s="114" t="s">
        <v>14</v>
      </c>
      <c r="D5" s="120">
        <f>I51/10</f>
        <v>12345.740740740741</v>
      </c>
      <c r="E5" s="116">
        <f>H52</f>
        <v>6.1739691301543491</v>
      </c>
      <c r="F5" s="126">
        <v>1</v>
      </c>
      <c r="G5" s="118">
        <f t="shared" ref="G5:G21" si="0">D5*E5</f>
        <v>76222.222222222219</v>
      </c>
      <c r="H5" s="119">
        <f t="shared" ref="H5:H21" si="1">G5*F5</f>
        <v>76222.222222222219</v>
      </c>
      <c r="I5" s="80">
        <f>VLOOKUP(B5,All_Ingredients!$A$1:$F$149,6,FALSE())</f>
        <v>0.47</v>
      </c>
      <c r="J5" s="118">
        <f>VLOOKUP(B5,All_Ingredients!$A$1:$J$149,10,FALSE())</f>
        <v>12</v>
      </c>
      <c r="K5" s="121">
        <f t="shared" ref="K5" si="2">(H5/I5)/1000</f>
        <v>162.17494089834514</v>
      </c>
      <c r="L5" s="121">
        <f t="shared" ref="L5" si="3">K5*J5</f>
        <v>1946.0992907801417</v>
      </c>
      <c r="M5" s="99"/>
      <c r="N5" s="99"/>
      <c r="O5" s="99"/>
      <c r="P5" s="99"/>
      <c r="AA5" s="91"/>
      <c r="AB5" s="132"/>
      <c r="AC5" s="253"/>
      <c r="AD5" s="816"/>
      <c r="AE5" s="817"/>
      <c r="AI5" s="1"/>
      <c r="AJ5" s="268" t="s">
        <v>229</v>
      </c>
      <c r="AK5" s="123" t="s">
        <v>231</v>
      </c>
      <c r="AL5" s="115">
        <v>10</v>
      </c>
      <c r="AM5" s="222">
        <f t="shared" ref="AM5:AM13" si="4">$AO$1</f>
        <v>7.6222222222222218</v>
      </c>
      <c r="AN5" s="126">
        <v>1</v>
      </c>
      <c r="AO5" s="118">
        <f t="shared" ref="AO5:AO13" si="5">AL5*AM5</f>
        <v>76.222222222222214</v>
      </c>
      <c r="AP5" s="119">
        <f t="shared" ref="AP5:AP13" si="6">AO5*AN5</f>
        <v>76.222222222222214</v>
      </c>
      <c r="AQ5" s="294"/>
      <c r="AR5" s="1152"/>
      <c r="AS5" s="174"/>
      <c r="AT5" s="1153"/>
    </row>
    <row r="6" spans="1:46" ht="14.25" customHeight="1" x14ac:dyDescent="0.3">
      <c r="A6" s="127" t="s">
        <v>13</v>
      </c>
      <c r="B6" s="22" t="s">
        <v>12</v>
      </c>
      <c r="C6" s="123" t="s">
        <v>14</v>
      </c>
      <c r="D6" s="124">
        <v>300</v>
      </c>
      <c r="E6" s="196">
        <f t="shared" ref="E6:E21" si="7">$I$1</f>
        <v>12.6</v>
      </c>
      <c r="F6" s="126">
        <v>0.95</v>
      </c>
      <c r="G6" s="118">
        <f t="shared" si="0"/>
        <v>3780</v>
      </c>
      <c r="H6" s="119">
        <f t="shared" si="1"/>
        <v>3591</v>
      </c>
      <c r="I6" s="80">
        <f>VLOOKUP(B6,All_Ingredients!$A$1:$F$149,6,FALSE())</f>
        <v>0.9</v>
      </c>
      <c r="J6" s="118">
        <f>VLOOKUP(B6,All_Ingredients!$A$1:$J$149,10,FALSE())</f>
        <v>3</v>
      </c>
      <c r="K6" s="121">
        <f t="shared" ref="K6:K21" si="8">(H6/I6)/1000</f>
        <v>3.99</v>
      </c>
      <c r="L6" s="121">
        <f t="shared" ref="L6:L21" si="9">K6*J6</f>
        <v>11.97</v>
      </c>
      <c r="AI6" s="1" t="s">
        <v>56</v>
      </c>
      <c r="AJ6" s="373" t="s">
        <v>55</v>
      </c>
      <c r="AK6" s="333" t="s">
        <v>14</v>
      </c>
      <c r="AL6" s="115">
        <v>100</v>
      </c>
      <c r="AM6" s="222">
        <f t="shared" si="4"/>
        <v>7.6222222222222218</v>
      </c>
      <c r="AN6" s="126">
        <v>1</v>
      </c>
      <c r="AO6" s="118">
        <f t="shared" si="5"/>
        <v>762.22222222222217</v>
      </c>
      <c r="AP6" s="119">
        <f t="shared" si="6"/>
        <v>762.22222222222217</v>
      </c>
      <c r="AQ6" s="1153">
        <f>VLOOKUP(AJ6,Marination_Ordering!$A:$J,6,FALSE)</f>
        <v>0.87</v>
      </c>
      <c r="AR6" s="1153">
        <f>VLOOKUP(AJ6,Marination_Ordering!$A:$J,10,FALSE)</f>
        <v>3.2</v>
      </c>
      <c r="AS6" s="174">
        <f>AP6/AQ6</f>
        <v>876.11749680715195</v>
      </c>
      <c r="AT6" s="1153">
        <f>AR6*(AS6/1000)</f>
        <v>2.8035759897828862</v>
      </c>
    </row>
    <row r="7" spans="1:46" ht="14.25" customHeight="1" x14ac:dyDescent="0.3">
      <c r="A7" s="127" t="s">
        <v>13</v>
      </c>
      <c r="B7" s="22" t="s">
        <v>762</v>
      </c>
      <c r="C7" s="123" t="s">
        <v>14</v>
      </c>
      <c r="D7" s="124">
        <v>25</v>
      </c>
      <c r="E7" s="196">
        <f t="shared" si="7"/>
        <v>12.6</v>
      </c>
      <c r="F7" s="126">
        <v>1</v>
      </c>
      <c r="G7" s="118">
        <f t="shared" si="0"/>
        <v>315</v>
      </c>
      <c r="H7" s="119">
        <f t="shared" si="1"/>
        <v>315</v>
      </c>
      <c r="I7" s="80">
        <f>VLOOKUP(B7,All_Ingredients!$A$1:$F$149,6,FALSE())</f>
        <v>1</v>
      </c>
      <c r="J7" s="118">
        <f>VLOOKUP(B7,All_Ingredients!$A$1:$J$149,10,FALSE())</f>
        <v>10.5</v>
      </c>
      <c r="K7" s="121">
        <f t="shared" si="8"/>
        <v>0.315</v>
      </c>
      <c r="L7" s="121">
        <f t="shared" si="9"/>
        <v>3.3075000000000001</v>
      </c>
      <c r="AI7" s="1" t="s">
        <v>13</v>
      </c>
      <c r="AJ7" s="373" t="s">
        <v>762</v>
      </c>
      <c r="AK7" s="333" t="s">
        <v>14</v>
      </c>
      <c r="AL7" s="115">
        <v>200</v>
      </c>
      <c r="AM7" s="222">
        <f t="shared" si="4"/>
        <v>7.6222222222222218</v>
      </c>
      <c r="AN7" s="126">
        <v>1</v>
      </c>
      <c r="AO7" s="118">
        <f t="shared" si="5"/>
        <v>1524.4444444444443</v>
      </c>
      <c r="AP7" s="119">
        <f t="shared" si="6"/>
        <v>1524.4444444444443</v>
      </c>
      <c r="AQ7" s="1153">
        <f>VLOOKUP(AJ7,Marination_Ordering!$A:$J,6,FALSE)</f>
        <v>1</v>
      </c>
      <c r="AR7" s="1153">
        <f>VLOOKUP(AJ7,Marination_Ordering!$A:$J,10,FALSE)</f>
        <v>10.5</v>
      </c>
      <c r="AS7" s="174">
        <f t="shared" ref="AS7:AS13" si="10">AP7/AQ7</f>
        <v>1524.4444444444443</v>
      </c>
      <c r="AT7" s="1153">
        <f t="shared" ref="AT7:AT13" si="11">AR7*(AS7/1000)</f>
        <v>16.006666666666664</v>
      </c>
    </row>
    <row r="8" spans="1:46" ht="14.25" customHeight="1" x14ac:dyDescent="0.3">
      <c r="A8" s="127" t="s">
        <v>13</v>
      </c>
      <c r="B8" s="22" t="s">
        <v>17</v>
      </c>
      <c r="C8" s="123" t="s">
        <v>14</v>
      </c>
      <c r="D8" s="124">
        <v>300</v>
      </c>
      <c r="E8" s="196">
        <f t="shared" si="7"/>
        <v>12.6</v>
      </c>
      <c r="F8" s="126">
        <v>1</v>
      </c>
      <c r="G8" s="118">
        <f t="shared" si="0"/>
        <v>3780</v>
      </c>
      <c r="H8" s="119">
        <f t="shared" si="1"/>
        <v>3780</v>
      </c>
      <c r="I8" s="80">
        <f>VLOOKUP(B8,All_Ingredients!$A$1:$F$149,6,FALSE())</f>
        <v>0.98</v>
      </c>
      <c r="J8" s="118">
        <f>VLOOKUP(B8,All_Ingredients!$A$1:$J$149,10,FALSE())</f>
        <v>3.5</v>
      </c>
      <c r="K8" s="121">
        <f t="shared" si="8"/>
        <v>3.8571428571428572</v>
      </c>
      <c r="L8" s="121">
        <f t="shared" si="9"/>
        <v>13.5</v>
      </c>
      <c r="AI8" s="1" t="s">
        <v>206</v>
      </c>
      <c r="AJ8" s="373" t="s">
        <v>214</v>
      </c>
      <c r="AK8" s="333" t="s">
        <v>161</v>
      </c>
      <c r="AL8" s="115">
        <v>450</v>
      </c>
      <c r="AM8" s="222">
        <f t="shared" si="4"/>
        <v>7.6222222222222218</v>
      </c>
      <c r="AN8" s="126">
        <v>1</v>
      </c>
      <c r="AO8" s="118">
        <f t="shared" si="5"/>
        <v>3430</v>
      </c>
      <c r="AP8" s="119">
        <f t="shared" si="6"/>
        <v>3430</v>
      </c>
      <c r="AQ8" s="1153">
        <f>VLOOKUP(AJ8,Marination_Ordering!$A:$J,6,FALSE)</f>
        <v>1</v>
      </c>
      <c r="AR8" s="1153">
        <f>VLOOKUP(AJ8,Marination_Ordering!$A:$J,10,FALSE)</f>
        <v>5</v>
      </c>
      <c r="AS8" s="174">
        <f t="shared" si="10"/>
        <v>3430</v>
      </c>
      <c r="AT8" s="1153">
        <f t="shared" si="11"/>
        <v>17.150000000000002</v>
      </c>
    </row>
    <row r="9" spans="1:46" ht="14.25" customHeight="1" x14ac:dyDescent="0.3">
      <c r="A9" s="127" t="s">
        <v>56</v>
      </c>
      <c r="B9" s="22" t="s">
        <v>55</v>
      </c>
      <c r="C9" s="123" t="s">
        <v>14</v>
      </c>
      <c r="D9" s="124">
        <v>20</v>
      </c>
      <c r="E9" s="196">
        <f t="shared" si="7"/>
        <v>12.6</v>
      </c>
      <c r="F9" s="126">
        <v>1</v>
      </c>
      <c r="G9" s="118">
        <f t="shared" si="0"/>
        <v>252</v>
      </c>
      <c r="H9" s="119">
        <f t="shared" si="1"/>
        <v>252</v>
      </c>
      <c r="I9" s="80">
        <f>VLOOKUP(B9,All_Ingredients!$A$1:$F$149,6,FALSE())</f>
        <v>0.87</v>
      </c>
      <c r="J9" s="118">
        <f>VLOOKUP(B9,All_Ingredients!$A$1:$J$149,10,FALSE())</f>
        <v>7</v>
      </c>
      <c r="K9" s="121">
        <f t="shared" si="8"/>
        <v>0.28965517241379307</v>
      </c>
      <c r="L9" s="121">
        <f t="shared" si="9"/>
        <v>2.0275862068965513</v>
      </c>
      <c r="AI9" s="1" t="s">
        <v>206</v>
      </c>
      <c r="AJ9" s="373" t="s">
        <v>210</v>
      </c>
      <c r="AK9" s="123" t="s">
        <v>161</v>
      </c>
      <c r="AL9" s="222">
        <v>100</v>
      </c>
      <c r="AM9" s="222">
        <f t="shared" si="4"/>
        <v>7.6222222222222218</v>
      </c>
      <c r="AN9" s="126">
        <v>1</v>
      </c>
      <c r="AO9" s="118">
        <f t="shared" si="5"/>
        <v>762.22222222222217</v>
      </c>
      <c r="AP9" s="119">
        <f t="shared" si="6"/>
        <v>762.22222222222217</v>
      </c>
      <c r="AQ9" s="1153">
        <f>VLOOKUP(AJ9,Marination_Ordering!$A:$J,6,FALSE)</f>
        <v>1</v>
      </c>
      <c r="AR9" s="1153">
        <f>VLOOKUP(AJ9,Marination_Ordering!$A:$J,10,FALSE)</f>
        <v>2.1621621621621623</v>
      </c>
      <c r="AS9" s="174">
        <f t="shared" si="10"/>
        <v>762.22222222222217</v>
      </c>
      <c r="AT9" s="1153">
        <f t="shared" si="11"/>
        <v>1.6480480480480479</v>
      </c>
    </row>
    <row r="10" spans="1:46" ht="14.25" customHeight="1" x14ac:dyDescent="0.3">
      <c r="A10" s="127" t="s">
        <v>95</v>
      </c>
      <c r="B10" s="22" t="s">
        <v>109</v>
      </c>
      <c r="C10" s="123" t="s">
        <v>14</v>
      </c>
      <c r="D10" s="124">
        <v>25</v>
      </c>
      <c r="E10" s="196">
        <f t="shared" si="7"/>
        <v>12.6</v>
      </c>
      <c r="F10" s="126">
        <v>0.75</v>
      </c>
      <c r="G10" s="118">
        <f t="shared" si="0"/>
        <v>315</v>
      </c>
      <c r="H10" s="119">
        <f t="shared" si="1"/>
        <v>236.25</v>
      </c>
      <c r="I10" s="80">
        <f>VLOOKUP(B10,All_Ingredients!$A$1:$F$149,6,FALSE())</f>
        <v>1</v>
      </c>
      <c r="J10" s="118">
        <f>VLOOKUP(B10,All_Ingredients!$A$1:$J$149,10,FALSE())</f>
        <v>26.5</v>
      </c>
      <c r="K10" s="121">
        <f t="shared" si="8"/>
        <v>0.23624999999999999</v>
      </c>
      <c r="L10" s="121">
        <f t="shared" si="9"/>
        <v>6.2606250000000001</v>
      </c>
      <c r="AI10" s="1" t="s">
        <v>95</v>
      </c>
      <c r="AJ10" s="322" t="s">
        <v>94</v>
      </c>
      <c r="AK10" s="333" t="s">
        <v>14</v>
      </c>
      <c r="AL10" s="115">
        <v>2</v>
      </c>
      <c r="AM10" s="222">
        <f t="shared" si="4"/>
        <v>7.6222222222222218</v>
      </c>
      <c r="AN10" s="126">
        <v>1</v>
      </c>
      <c r="AO10" s="118">
        <f t="shared" si="5"/>
        <v>15.244444444444444</v>
      </c>
      <c r="AP10" s="119">
        <f t="shared" si="6"/>
        <v>15.244444444444444</v>
      </c>
      <c r="AQ10" s="1153">
        <f>VLOOKUP(AJ10,Marination_Ordering!$A:$J,6,FALSE)</f>
        <v>1</v>
      </c>
      <c r="AR10" s="1153">
        <f>VLOOKUP(AJ10,Marination_Ordering!$A:$J,10,FALSE)</f>
        <v>0.74</v>
      </c>
      <c r="AS10" s="174">
        <f t="shared" si="10"/>
        <v>15.244444444444444</v>
      </c>
      <c r="AT10" s="1153">
        <f t="shared" si="11"/>
        <v>1.1280888888888889E-2</v>
      </c>
    </row>
    <row r="11" spans="1:46" ht="14.25" customHeight="1" x14ac:dyDescent="0.3">
      <c r="A11" s="127" t="s">
        <v>95</v>
      </c>
      <c r="B11" s="22" t="s">
        <v>104</v>
      </c>
      <c r="C11" s="123" t="s">
        <v>14</v>
      </c>
      <c r="D11" s="124">
        <v>5</v>
      </c>
      <c r="E11" s="196">
        <f t="shared" si="7"/>
        <v>12.6</v>
      </c>
      <c r="F11" s="126">
        <v>1</v>
      </c>
      <c r="G11" s="118">
        <f t="shared" si="0"/>
        <v>63</v>
      </c>
      <c r="H11" s="119">
        <f t="shared" si="1"/>
        <v>63</v>
      </c>
      <c r="I11" s="80">
        <f>VLOOKUP(B11,All_Ingredients!$A$1:$F$149,6,FALSE())</f>
        <v>1</v>
      </c>
      <c r="J11" s="118">
        <f>VLOOKUP(B11,All_Ingredients!$A$1:$J$149,10,FALSE())</f>
        <v>19</v>
      </c>
      <c r="K11" s="121">
        <f t="shared" si="8"/>
        <v>6.3E-2</v>
      </c>
      <c r="L11" s="121">
        <f t="shared" si="9"/>
        <v>1.1970000000000001</v>
      </c>
      <c r="AI11" s="1" t="s">
        <v>95</v>
      </c>
      <c r="AJ11" s="373" t="s">
        <v>100</v>
      </c>
      <c r="AK11" s="333" t="s">
        <v>14</v>
      </c>
      <c r="AL11" s="115">
        <v>2</v>
      </c>
      <c r="AM11" s="222">
        <f t="shared" si="4"/>
        <v>7.6222222222222218</v>
      </c>
      <c r="AN11" s="126">
        <v>1</v>
      </c>
      <c r="AO11" s="118">
        <f t="shared" si="5"/>
        <v>15.244444444444444</v>
      </c>
      <c r="AP11" s="119">
        <f t="shared" si="6"/>
        <v>15.244444444444444</v>
      </c>
      <c r="AQ11" s="1153">
        <f>VLOOKUP(AJ11,Marination_Ordering!$A:$J,6,FALSE)</f>
        <v>1</v>
      </c>
      <c r="AR11" s="1153">
        <f>VLOOKUP(AJ11,Marination_Ordering!$A:$J,10,FALSE)</f>
        <v>31</v>
      </c>
      <c r="AS11" s="174">
        <f t="shared" si="10"/>
        <v>15.244444444444444</v>
      </c>
      <c r="AT11" s="1153">
        <f t="shared" si="11"/>
        <v>0.47257777777777776</v>
      </c>
    </row>
    <row r="12" spans="1:46" ht="14.25" customHeight="1" x14ac:dyDescent="0.3">
      <c r="A12" s="127" t="s">
        <v>95</v>
      </c>
      <c r="B12" s="22" t="s">
        <v>125</v>
      </c>
      <c r="C12" s="123" t="s">
        <v>14</v>
      </c>
      <c r="D12" s="124">
        <v>2</v>
      </c>
      <c r="E12" s="196">
        <f t="shared" si="7"/>
        <v>12.6</v>
      </c>
      <c r="F12" s="126">
        <v>0.75</v>
      </c>
      <c r="G12" s="118">
        <f t="shared" si="0"/>
        <v>25.2</v>
      </c>
      <c r="H12" s="119">
        <f t="shared" si="1"/>
        <v>18.899999999999999</v>
      </c>
      <c r="I12" s="80">
        <f>VLOOKUP(B12,All_Ingredients!$A$1:$F$149,6,FALSE())</f>
        <v>1</v>
      </c>
      <c r="J12" s="118">
        <f>VLOOKUP(B12,All_Ingredients!$A$1:$J$149,10,FALSE())</f>
        <v>37</v>
      </c>
      <c r="K12" s="121">
        <f t="shared" si="8"/>
        <v>1.89E-2</v>
      </c>
      <c r="L12" s="121">
        <f t="shared" si="9"/>
        <v>0.69930000000000003</v>
      </c>
      <c r="AI12" s="1" t="s">
        <v>95</v>
      </c>
      <c r="AJ12" s="322" t="s">
        <v>106</v>
      </c>
      <c r="AK12" s="333" t="s">
        <v>14</v>
      </c>
      <c r="AL12" s="115">
        <v>25</v>
      </c>
      <c r="AM12" s="222">
        <f t="shared" si="4"/>
        <v>7.6222222222222218</v>
      </c>
      <c r="AN12" s="126">
        <v>1</v>
      </c>
      <c r="AO12" s="118">
        <f t="shared" si="5"/>
        <v>190.55555555555554</v>
      </c>
      <c r="AP12" s="119">
        <f t="shared" si="6"/>
        <v>190.55555555555554</v>
      </c>
      <c r="AQ12" s="1153">
        <f>VLOOKUP(AJ12,Marination_Ordering!$A:$J,6,FALSE)</f>
        <v>1</v>
      </c>
      <c r="AR12" s="1153">
        <f>VLOOKUP(AJ12,Marination_Ordering!$A:$J,10,FALSE)</f>
        <v>15</v>
      </c>
      <c r="AS12" s="174">
        <f t="shared" si="10"/>
        <v>190.55555555555554</v>
      </c>
      <c r="AT12" s="1153">
        <f t="shared" si="11"/>
        <v>2.8583333333333329</v>
      </c>
    </row>
    <row r="13" spans="1:46" ht="14.25" customHeight="1" x14ac:dyDescent="0.3">
      <c r="A13" s="127" t="s">
        <v>95</v>
      </c>
      <c r="B13" s="22" t="s">
        <v>759</v>
      </c>
      <c r="C13" s="123" t="s">
        <v>14</v>
      </c>
      <c r="D13" s="124">
        <v>3</v>
      </c>
      <c r="E13" s="196">
        <f t="shared" si="7"/>
        <v>12.6</v>
      </c>
      <c r="F13" s="126">
        <v>0.75</v>
      </c>
      <c r="G13" s="118">
        <f t="shared" si="0"/>
        <v>37.799999999999997</v>
      </c>
      <c r="H13" s="119">
        <f t="shared" si="1"/>
        <v>28.349999999999998</v>
      </c>
      <c r="I13" s="80">
        <f>VLOOKUP(B13,All_Ingredients!$A$1:$F$149,6,FALSE())</f>
        <v>1</v>
      </c>
      <c r="J13" s="118">
        <f>VLOOKUP(B13,All_Ingredients!$A$1:$J$149,10,FALSE())</f>
        <v>52</v>
      </c>
      <c r="K13" s="121">
        <f t="shared" si="8"/>
        <v>2.8349999999999997E-2</v>
      </c>
      <c r="L13" s="121">
        <f t="shared" si="9"/>
        <v>1.4741999999999997</v>
      </c>
      <c r="AI13" s="1" t="s">
        <v>192</v>
      </c>
      <c r="AJ13" s="606" t="s">
        <v>204</v>
      </c>
      <c r="AK13" s="333" t="s">
        <v>14</v>
      </c>
      <c r="AL13" s="124">
        <v>300</v>
      </c>
      <c r="AM13" s="222">
        <f t="shared" si="4"/>
        <v>7.6222222222222218</v>
      </c>
      <c r="AN13" s="126">
        <v>1</v>
      </c>
      <c r="AO13" s="118">
        <f t="shared" si="5"/>
        <v>2286.6666666666665</v>
      </c>
      <c r="AP13" s="119">
        <f t="shared" si="6"/>
        <v>2286.6666666666665</v>
      </c>
      <c r="AQ13" s="1153">
        <f>VLOOKUP(AJ13,Marination_Ordering!$A:$J,6,FALSE)</f>
        <v>1</v>
      </c>
      <c r="AR13" s="1153">
        <f>VLOOKUP(AJ13,Marination_Ordering!$A:$J,10,FALSE)</f>
        <v>11.243386243386244</v>
      </c>
      <c r="AS13" s="174">
        <f t="shared" si="10"/>
        <v>2286.6666666666665</v>
      </c>
      <c r="AT13" s="1153">
        <f t="shared" si="11"/>
        <v>25.709876543209877</v>
      </c>
    </row>
    <row r="14" spans="1:46" ht="14.25" customHeight="1" x14ac:dyDescent="0.3">
      <c r="A14" s="127" t="s">
        <v>95</v>
      </c>
      <c r="B14" s="22" t="s">
        <v>140</v>
      </c>
      <c r="C14" s="123" t="s">
        <v>14</v>
      </c>
      <c r="D14" s="124">
        <v>10</v>
      </c>
      <c r="E14" s="196">
        <f t="shared" si="7"/>
        <v>12.6</v>
      </c>
      <c r="F14" s="126">
        <v>1</v>
      </c>
      <c r="G14" s="118">
        <f t="shared" si="0"/>
        <v>126</v>
      </c>
      <c r="H14" s="119">
        <f t="shared" si="1"/>
        <v>126</v>
      </c>
      <c r="I14" s="80">
        <f>VLOOKUP(B14,All_Ingredients!$A$1:$F$149,6,FALSE())</f>
        <v>1</v>
      </c>
      <c r="J14" s="118">
        <f>VLOOKUP(B14,All_Ingredients!$A$1:$J$149,10,FALSE())</f>
        <v>15.277777777777779</v>
      </c>
      <c r="K14" s="121">
        <f t="shared" si="8"/>
        <v>0.126</v>
      </c>
      <c r="L14" s="121">
        <f t="shared" si="9"/>
        <v>1.925</v>
      </c>
    </row>
    <row r="15" spans="1:46" ht="14.25" customHeight="1" x14ac:dyDescent="0.3">
      <c r="A15" s="127" t="s">
        <v>13</v>
      </c>
      <c r="B15" s="22" t="s">
        <v>34</v>
      </c>
      <c r="C15" s="123" t="s">
        <v>14</v>
      </c>
      <c r="D15" s="124">
        <v>5</v>
      </c>
      <c r="E15" s="196">
        <f t="shared" si="7"/>
        <v>12.6</v>
      </c>
      <c r="F15" s="126">
        <v>0.75</v>
      </c>
      <c r="G15" s="118">
        <f t="shared" si="0"/>
        <v>63</v>
      </c>
      <c r="H15" s="119">
        <f t="shared" si="1"/>
        <v>47.25</v>
      </c>
      <c r="I15" s="80">
        <f>VLOOKUP(B15,All_Ingredients!$A$1:$F$149,6,FALSE())</f>
        <v>0.86</v>
      </c>
      <c r="J15" s="118">
        <f>VLOOKUP(B15,All_Ingredients!$A$1:$J$149,10,FALSE())</f>
        <v>14</v>
      </c>
      <c r="K15" s="121">
        <f t="shared" si="8"/>
        <v>5.4941860465116281E-2</v>
      </c>
      <c r="L15" s="121">
        <f t="shared" si="9"/>
        <v>0.76918604651162792</v>
      </c>
    </row>
    <row r="16" spans="1:46" ht="14.25" customHeight="1" x14ac:dyDescent="0.3">
      <c r="A16" s="127" t="s">
        <v>95</v>
      </c>
      <c r="B16" s="22" t="s">
        <v>119</v>
      </c>
      <c r="C16" s="123" t="s">
        <v>14</v>
      </c>
      <c r="D16" s="124">
        <v>5</v>
      </c>
      <c r="E16" s="196">
        <f t="shared" si="7"/>
        <v>12.6</v>
      </c>
      <c r="F16" s="126">
        <v>0.75</v>
      </c>
      <c r="G16" s="118">
        <f t="shared" si="0"/>
        <v>63</v>
      </c>
      <c r="H16" s="119">
        <f t="shared" si="1"/>
        <v>47.25</v>
      </c>
      <c r="I16" s="80">
        <f>VLOOKUP(B16,All_Ingredients!$A$1:$F$149,6,FALSE())</f>
        <v>1</v>
      </c>
      <c r="J16" s="118">
        <f>VLOOKUP(B16,All_Ingredients!$A$1:$J$149,10,FALSE())</f>
        <v>15</v>
      </c>
      <c r="K16" s="121">
        <f t="shared" si="8"/>
        <v>4.725E-2</v>
      </c>
      <c r="L16" s="121">
        <f t="shared" si="9"/>
        <v>0.70874999999999999</v>
      </c>
    </row>
    <row r="17" spans="1:30" ht="14.25" customHeight="1" x14ac:dyDescent="0.3">
      <c r="A17" s="127" t="s">
        <v>215</v>
      </c>
      <c r="B17" s="22" t="s">
        <v>877</v>
      </c>
      <c r="C17" s="123" t="s">
        <v>14</v>
      </c>
      <c r="D17" s="124">
        <v>2</v>
      </c>
      <c r="E17" s="196">
        <f t="shared" si="7"/>
        <v>12.6</v>
      </c>
      <c r="F17" s="126">
        <v>1</v>
      </c>
      <c r="G17" s="118">
        <f t="shared" si="0"/>
        <v>25.2</v>
      </c>
      <c r="H17" s="119">
        <f t="shared" si="1"/>
        <v>25.2</v>
      </c>
      <c r="I17" s="80">
        <f>VLOOKUP(B17,All_Ingredients!$A$1:$F$149,6,FALSE())</f>
        <v>1</v>
      </c>
      <c r="J17" s="118">
        <f>VLOOKUP(B17,All_Ingredients!$A$1:$J$149,10,FALSE())</f>
        <v>22.5</v>
      </c>
      <c r="K17" s="121">
        <f t="shared" si="8"/>
        <v>2.52E-2</v>
      </c>
      <c r="L17" s="121">
        <f t="shared" si="9"/>
        <v>0.56699999999999995</v>
      </c>
    </row>
    <row r="18" spans="1:30" ht="14.25" customHeight="1" x14ac:dyDescent="0.3">
      <c r="A18" s="127" t="s">
        <v>154</v>
      </c>
      <c r="B18" s="22" t="s">
        <v>167</v>
      </c>
      <c r="C18" s="123" t="s">
        <v>161</v>
      </c>
      <c r="D18" s="124">
        <v>500</v>
      </c>
      <c r="E18" s="196">
        <f t="shared" si="7"/>
        <v>12.6</v>
      </c>
      <c r="F18" s="126">
        <v>1</v>
      </c>
      <c r="G18" s="118">
        <f t="shared" si="0"/>
        <v>6300</v>
      </c>
      <c r="H18" s="119">
        <f t="shared" si="1"/>
        <v>6300</v>
      </c>
      <c r="I18" s="80">
        <f>VLOOKUP(B18,All_Ingredients!$A$1:$F$149,6,FALSE())</f>
        <v>1</v>
      </c>
      <c r="J18" s="118">
        <f>VLOOKUP(B18,All_Ingredients!$A$1:$J$149,10,FALSE())</f>
        <v>12.666666666666666</v>
      </c>
      <c r="K18" s="121">
        <f t="shared" si="8"/>
        <v>6.3</v>
      </c>
      <c r="L18" s="121">
        <f t="shared" si="9"/>
        <v>79.8</v>
      </c>
    </row>
    <row r="19" spans="1:30" ht="14.25" customHeight="1" x14ac:dyDescent="0.3">
      <c r="A19" s="127" t="s">
        <v>206</v>
      </c>
      <c r="B19" s="22" t="s">
        <v>205</v>
      </c>
      <c r="C19" s="123" t="s">
        <v>161</v>
      </c>
      <c r="D19" s="124">
        <v>500</v>
      </c>
      <c r="E19" s="196">
        <f t="shared" si="7"/>
        <v>12.6</v>
      </c>
      <c r="F19" s="126">
        <v>0.75</v>
      </c>
      <c r="G19" s="118">
        <f t="shared" si="0"/>
        <v>6300</v>
      </c>
      <c r="H19" s="119">
        <f t="shared" si="1"/>
        <v>4725</v>
      </c>
      <c r="I19" s="80">
        <f>VLOOKUP(B19,All_Ingredients!$A$1:$F$149,6,FALSE())</f>
        <v>1</v>
      </c>
      <c r="J19" s="118">
        <f>VLOOKUP(B19,All_Ingredients!$A$1:$J$149,10,FALSE())</f>
        <v>0</v>
      </c>
      <c r="K19" s="121">
        <f t="shared" si="8"/>
        <v>4.7249999999999996</v>
      </c>
      <c r="L19" s="121">
        <f t="shared" si="9"/>
        <v>0</v>
      </c>
    </row>
    <row r="20" spans="1:30" ht="14.25" customHeight="1" x14ac:dyDescent="0.3">
      <c r="A20" s="127" t="s">
        <v>154</v>
      </c>
      <c r="B20" s="266" t="s">
        <v>153</v>
      </c>
      <c r="C20" s="123" t="s">
        <v>14</v>
      </c>
      <c r="D20" s="124">
        <v>45</v>
      </c>
      <c r="E20" s="196">
        <f t="shared" si="7"/>
        <v>12.6</v>
      </c>
      <c r="F20" s="126">
        <v>1</v>
      </c>
      <c r="G20" s="118">
        <f t="shared" si="0"/>
        <v>567</v>
      </c>
      <c r="H20" s="119">
        <f t="shared" si="1"/>
        <v>567</v>
      </c>
      <c r="I20" s="80">
        <f>VLOOKUP(B20,All_Ingredients!$A$1:$F$149,6,FALSE())</f>
        <v>1</v>
      </c>
      <c r="J20" s="118">
        <f>VLOOKUP(B20,All_Ingredients!$A$1:$J$149,10,FALSE())</f>
        <v>30</v>
      </c>
      <c r="K20" s="121">
        <f t="shared" si="8"/>
        <v>0.56699999999999995</v>
      </c>
      <c r="L20" s="121">
        <f t="shared" si="9"/>
        <v>17.009999999999998</v>
      </c>
    </row>
    <row r="21" spans="1:30" ht="14.25" customHeight="1" x14ac:dyDescent="0.3">
      <c r="B21" s="326" t="s">
        <v>189</v>
      </c>
      <c r="C21" s="114" t="s">
        <v>14</v>
      </c>
      <c r="D21" s="124">
        <v>45</v>
      </c>
      <c r="E21" s="222">
        <f t="shared" si="7"/>
        <v>12.6</v>
      </c>
      <c r="F21" s="126">
        <v>1</v>
      </c>
      <c r="G21" s="118">
        <f t="shared" si="0"/>
        <v>567</v>
      </c>
      <c r="H21" s="119">
        <f t="shared" si="1"/>
        <v>567</v>
      </c>
      <c r="I21" s="80">
        <f>VLOOKUP(B21,All_Ingredients!$A$1:$F$149,6,FALSE())</f>
        <v>0.9</v>
      </c>
      <c r="J21" s="120">
        <f>VLOOKUP(B21,All_Ingredients!$A$1:$J$149,10,FALSE())</f>
        <v>2.3199999999999998</v>
      </c>
      <c r="K21" s="121">
        <f t="shared" si="8"/>
        <v>0.63</v>
      </c>
      <c r="L21" s="121">
        <f t="shared" si="9"/>
        <v>1.4616</v>
      </c>
    </row>
    <row r="22" spans="1:30" ht="14.25" customHeight="1" x14ac:dyDescent="0.3">
      <c r="L22" s="296"/>
      <c r="V22"/>
    </row>
    <row r="23" spans="1:30" ht="14.25" customHeight="1" x14ac:dyDescent="0.3">
      <c r="L23" s="296"/>
      <c r="V23"/>
    </row>
    <row r="24" spans="1:30" ht="14.25" customHeight="1" x14ac:dyDescent="0.3">
      <c r="L24" s="296"/>
      <c r="V24"/>
      <c r="Z24" s="1208"/>
    </row>
    <row r="25" spans="1:30" ht="14.25" customHeight="1" x14ac:dyDescent="0.35">
      <c r="L25" s="296"/>
      <c r="R25" s="1528" t="s">
        <v>870</v>
      </c>
      <c r="S25" s="1516"/>
      <c r="T25" s="1516"/>
      <c r="U25" s="1516"/>
      <c r="V25" s="1194"/>
      <c r="Z25" s="140" t="s">
        <v>256</v>
      </c>
      <c r="AA25" s="141">
        <v>1</v>
      </c>
      <c r="AB25" s="140" t="s">
        <v>253</v>
      </c>
      <c r="AC25" s="1207">
        <f>AD30*AA25</f>
        <v>4.7305777445478168E-2</v>
      </c>
      <c r="AD25" s="14"/>
    </row>
    <row r="26" spans="1:30" ht="14.25" customHeight="1" x14ac:dyDescent="0.3">
      <c r="L26" s="296"/>
      <c r="Q26"/>
      <c r="R26" s="1459" t="s">
        <v>301</v>
      </c>
      <c r="S26" s="1444"/>
      <c r="T26" s="1444"/>
      <c r="U26" s="1444"/>
      <c r="V26" s="1194"/>
      <c r="AD26" s="14"/>
    </row>
    <row r="27" spans="1:30" ht="14.25" customHeight="1" thickBot="1" x14ac:dyDescent="0.35">
      <c r="Q27"/>
      <c r="R27" s="144" t="s">
        <v>258</v>
      </c>
      <c r="S27" s="145" t="s">
        <v>483</v>
      </c>
      <c r="T27" s="145" t="s">
        <v>260</v>
      </c>
      <c r="U27" s="145" t="s">
        <v>261</v>
      </c>
      <c r="V27" s="145" t="s">
        <v>817</v>
      </c>
      <c r="Z27" s="140" t="s">
        <v>262</v>
      </c>
      <c r="AA27" s="146" t="s">
        <v>263</v>
      </c>
      <c r="AB27" s="146" t="s">
        <v>264</v>
      </c>
      <c r="AC27" s="1167" t="s">
        <v>817</v>
      </c>
      <c r="AD27" s="146" t="s">
        <v>266</v>
      </c>
    </row>
    <row r="28" spans="1:30" ht="14.25" customHeight="1" thickBot="1" x14ac:dyDescent="0.35">
      <c r="B28" s="99"/>
      <c r="E28" s="99"/>
      <c r="F28" s="99"/>
      <c r="Q28"/>
      <c r="R28" s="147" t="s">
        <v>267</v>
      </c>
      <c r="S28" s="760">
        <f>$Z$1</f>
        <v>39160</v>
      </c>
      <c r="T28" s="303"/>
      <c r="U28" s="754">
        <f>S28/S40</f>
        <v>39160</v>
      </c>
      <c r="V28" s="148">
        <f>H37</f>
        <v>18.900000000000002</v>
      </c>
      <c r="Z28" s="150"/>
      <c r="AA28" s="151">
        <f>AA25*$S$40</f>
        <v>1</v>
      </c>
      <c r="AB28" s="151">
        <f>AA25*$U$40</f>
        <v>0</v>
      </c>
      <c r="AC28" s="1169"/>
      <c r="AD28" s="153">
        <f>SUM(AA28:AC28)</f>
        <v>1</v>
      </c>
    </row>
    <row r="29" spans="1:30" ht="14.25" customHeight="1" thickBot="1" x14ac:dyDescent="0.35">
      <c r="B29" s="99"/>
      <c r="C29" s="849"/>
      <c r="D29" s="849"/>
      <c r="E29" s="849"/>
      <c r="F29" s="849"/>
      <c r="G29" s="849"/>
      <c r="H29"/>
      <c r="Q29"/>
      <c r="R29" s="147" t="s">
        <v>268</v>
      </c>
      <c r="S29" s="154"/>
      <c r="T29" s="148">
        <f>S28*0.3</f>
        <v>11748</v>
      </c>
      <c r="U29" s="754">
        <f>T29</f>
        <v>11748</v>
      </c>
      <c r="V29" s="148"/>
      <c r="Z29" s="150"/>
      <c r="AA29" s="155">
        <f>AA28/$AD$28</f>
        <v>1</v>
      </c>
      <c r="AB29" s="155">
        <f>AB28/$AD$28</f>
        <v>0</v>
      </c>
      <c r="AC29" s="1173"/>
      <c r="AD29" s="155">
        <f>AD28/$AD$28</f>
        <v>1</v>
      </c>
    </row>
    <row r="30" spans="1:30" ht="14.25" customHeight="1" thickBot="1" x14ac:dyDescent="0.35">
      <c r="B30" s="370"/>
      <c r="C30" s="347"/>
      <c r="D30" s="263"/>
      <c r="E30" s="370"/>
      <c r="F30" s="370"/>
      <c r="G30" s="263"/>
      <c r="H30" s="55"/>
      <c r="Q30"/>
      <c r="R30" s="147" t="s">
        <v>269</v>
      </c>
      <c r="S30" s="1329">
        <f>$AB$1</f>
        <v>2000</v>
      </c>
      <c r="T30" s="756">
        <f>S30*0.3</f>
        <v>600</v>
      </c>
      <c r="U30" s="756">
        <f>S30/S40</f>
        <v>2000</v>
      </c>
      <c r="V30" s="1124"/>
      <c r="Z30" s="140" t="s">
        <v>270</v>
      </c>
      <c r="AA30" s="156">
        <f>S35/(S32)</f>
        <v>4.7281323877068557E-2</v>
      </c>
      <c r="AB30" s="157">
        <f>T35/T32</f>
        <v>3.5962218378205527E-3</v>
      </c>
      <c r="AC30" s="1180">
        <f>V35/U32</f>
        <v>2.4453568409612368E-5</v>
      </c>
      <c r="AD30" s="1182">
        <f>SUMPRODUCT(AA30:AB30,AA29:AB29)+AC30</f>
        <v>4.7305777445478168E-2</v>
      </c>
    </row>
    <row r="31" spans="1:30" ht="14.25" customHeight="1" thickBot="1" x14ac:dyDescent="0.35">
      <c r="B31" s="99"/>
      <c r="E31" s="99"/>
      <c r="F31" s="99"/>
      <c r="Q31"/>
      <c r="R31" s="147" t="s">
        <v>271</v>
      </c>
      <c r="S31" s="154"/>
      <c r="T31" s="148"/>
      <c r="U31" s="148"/>
      <c r="V31" s="148"/>
    </row>
    <row r="32" spans="1:30" ht="14.25" customHeight="1" thickBot="1" x14ac:dyDescent="0.35">
      <c r="Q32"/>
      <c r="R32" s="159" t="s">
        <v>261</v>
      </c>
      <c r="S32" s="148">
        <f>SUM(S28:S30)</f>
        <v>41160</v>
      </c>
      <c r="T32" s="148">
        <f>SUM(T28:T30)</f>
        <v>12348</v>
      </c>
      <c r="U32" s="148">
        <f>SUM(S32:T32)</f>
        <v>53508</v>
      </c>
      <c r="V32" s="148">
        <f>SUM(V28:V30)</f>
        <v>18.900000000000002</v>
      </c>
    </row>
    <row r="33" spans="2:23" ht="14.25" customHeight="1" thickBot="1" x14ac:dyDescent="0.35">
      <c r="Q33"/>
      <c r="R33" s="160" t="s">
        <v>272</v>
      </c>
      <c r="S33" s="154"/>
      <c r="T33" s="154"/>
      <c r="U33" s="154"/>
      <c r="V33" s="154"/>
    </row>
    <row r="34" spans="2:23" ht="14.25" customHeight="1" thickBot="1" x14ac:dyDescent="0.35">
      <c r="Q34"/>
      <c r="R34" s="161" t="s">
        <v>273</v>
      </c>
      <c r="S34" s="154"/>
      <c r="T34" s="148"/>
      <c r="U34" s="154"/>
      <c r="V34" s="154"/>
    </row>
    <row r="35" spans="2:23" ht="14.25" customHeight="1" thickBot="1" x14ac:dyDescent="0.35">
      <c r="B35" s="1484" t="s">
        <v>871</v>
      </c>
      <c r="C35" s="1484"/>
      <c r="D35" s="1484"/>
      <c r="E35" s="1484"/>
      <c r="F35" s="1484"/>
      <c r="G35" s="870"/>
      <c r="H35" s="870"/>
      <c r="I35" s="877"/>
      <c r="J35" s="877"/>
      <c r="K35" s="877"/>
      <c r="L35" s="877"/>
      <c r="Q35"/>
      <c r="R35" s="162" t="s">
        <v>253</v>
      </c>
      <c r="S35" s="1125">
        <f>$L$5</f>
        <v>1946.0992907801417</v>
      </c>
      <c r="T35" s="1125">
        <f>SUM(L6:L17)</f>
        <v>44.406147253408186</v>
      </c>
      <c r="U35" s="1125">
        <f>S35+T35+V35</f>
        <v>1991.8138995720115</v>
      </c>
      <c r="V35" s="1125">
        <f>L37</f>
        <v>1.3084615384615386</v>
      </c>
    </row>
    <row r="36" spans="2:23" ht="46.5" x14ac:dyDescent="0.3">
      <c r="B36" s="848" t="s">
        <v>245</v>
      </c>
      <c r="C36" s="848" t="s">
        <v>321</v>
      </c>
      <c r="D36" s="850" t="s">
        <v>645</v>
      </c>
      <c r="E36" s="847" t="s">
        <v>646</v>
      </c>
      <c r="F36" s="850" t="s">
        <v>647</v>
      </c>
      <c r="G36" s="870"/>
      <c r="H36" s="850" t="s">
        <v>647</v>
      </c>
      <c r="I36" s="850" t="s">
        <v>250</v>
      </c>
      <c r="J36" s="850" t="s">
        <v>251</v>
      </c>
      <c r="K36" s="850" t="s">
        <v>252</v>
      </c>
      <c r="L36" s="850" t="s">
        <v>253</v>
      </c>
      <c r="Q36"/>
      <c r="R36"/>
      <c r="S36"/>
      <c r="T36"/>
      <c r="U36"/>
    </row>
    <row r="37" spans="2:23" x14ac:dyDescent="0.3">
      <c r="B37" s="843" t="s">
        <v>716</v>
      </c>
      <c r="C37" s="844" t="s">
        <v>14</v>
      </c>
      <c r="D37" s="845">
        <v>7.0000000000000007E-2</v>
      </c>
      <c r="E37" s="843">
        <f>$AD$1</f>
        <v>270</v>
      </c>
      <c r="F37" s="843">
        <f>D37*E37</f>
        <v>18.900000000000002</v>
      </c>
      <c r="G37" s="869"/>
      <c r="H37" s="843">
        <f>F37</f>
        <v>18.900000000000002</v>
      </c>
      <c r="I37" s="843">
        <f>VLOOKUP(B37,All_Ingredients!$A$1:$F$149,6,FALSE())</f>
        <v>0.65</v>
      </c>
      <c r="J37" s="843">
        <f>VLOOKUP(B37,All_Ingredients!$A$1:$J$149,10,FALSE())</f>
        <v>45</v>
      </c>
      <c r="K37" s="843">
        <f>(H37/I37)/1000</f>
        <v>2.907692307692308E-2</v>
      </c>
      <c r="L37" s="843">
        <f>K37*J37</f>
        <v>1.3084615384615386</v>
      </c>
      <c r="Q37"/>
      <c r="R37"/>
      <c r="S37"/>
      <c r="T37"/>
      <c r="U37"/>
    </row>
    <row r="38" spans="2:23" x14ac:dyDescent="0.3">
      <c r="Q38"/>
      <c r="R38"/>
      <c r="S38"/>
      <c r="T38"/>
      <c r="U38"/>
    </row>
    <row r="39" spans="2:23" x14ac:dyDescent="0.3">
      <c r="Q39"/>
      <c r="R39"/>
      <c r="S39"/>
      <c r="T39"/>
      <c r="U39"/>
    </row>
    <row r="40" spans="2:23" ht="14.75" customHeight="1" x14ac:dyDescent="0.3">
      <c r="R40" s="164" t="s">
        <v>274</v>
      </c>
      <c r="S40" s="238">
        <v>1</v>
      </c>
      <c r="T40" s="164" t="s">
        <v>275</v>
      </c>
      <c r="U40" s="238">
        <v>0</v>
      </c>
      <c r="V40" s="167">
        <f>S40+U40</f>
        <v>1</v>
      </c>
    </row>
    <row r="41" spans="2:23" ht="14.25" customHeight="1" x14ac:dyDescent="0.3">
      <c r="U41" s="168"/>
    </row>
    <row r="42" spans="2:23" ht="14.25" customHeight="1" x14ac:dyDescent="0.3"/>
    <row r="43" spans="2:23" ht="14.25" customHeight="1" x14ac:dyDescent="0.3">
      <c r="Q43" s="169" t="s">
        <v>276</v>
      </c>
      <c r="R43" s="169" t="s">
        <v>277</v>
      </c>
      <c r="S43" s="169" t="s">
        <v>278</v>
      </c>
      <c r="T43" s="169" t="s">
        <v>279</v>
      </c>
      <c r="U43" s="169" t="s">
        <v>280</v>
      </c>
      <c r="V43" s="169" t="s">
        <v>281</v>
      </c>
      <c r="W43" s="257" t="s">
        <v>282</v>
      </c>
    </row>
    <row r="44" spans="2:23" ht="14.25" customHeight="1" x14ac:dyDescent="0.3">
      <c r="Q44" s="171">
        <v>66667</v>
      </c>
      <c r="R44" s="172">
        <f>D51</f>
        <v>10000</v>
      </c>
      <c r="S44" s="173">
        <v>0</v>
      </c>
      <c r="T44" s="173">
        <v>1</v>
      </c>
      <c r="U44" s="241">
        <f>R44*S44</f>
        <v>0</v>
      </c>
      <c r="V44" s="175">
        <f>R44*T44</f>
        <v>10000</v>
      </c>
      <c r="W44" s="259">
        <f>Q44-U44</f>
        <v>66667</v>
      </c>
    </row>
    <row r="50" spans="1:10" ht="14" customHeight="1" x14ac:dyDescent="0.3">
      <c r="B50" s="144"/>
      <c r="C50" s="144" t="s">
        <v>237</v>
      </c>
      <c r="D50" s="144" t="s">
        <v>283</v>
      </c>
      <c r="E50" s="99"/>
      <c r="F50" s="99"/>
      <c r="G50" s="144" t="s">
        <v>284</v>
      </c>
      <c r="H50" s="144" t="s">
        <v>237</v>
      </c>
      <c r="I50" s="144" t="s">
        <v>285</v>
      </c>
      <c r="J50" s="144" t="s">
        <v>286</v>
      </c>
    </row>
    <row r="51" spans="1:10" ht="14" customHeight="1" x14ac:dyDescent="0.3">
      <c r="B51" s="179" t="s">
        <v>287</v>
      </c>
      <c r="C51" s="180">
        <f>10/$K$1</f>
        <v>10.204081632653061</v>
      </c>
      <c r="D51" s="181">
        <f>$C$1*10</f>
        <v>10000</v>
      </c>
      <c r="E51" s="182"/>
      <c r="F51" s="99"/>
      <c r="G51" s="179" t="s">
        <v>287</v>
      </c>
      <c r="H51" s="276">
        <f>I51/$D$5</f>
        <v>10</v>
      </c>
      <c r="I51" s="180">
        <f>J51/$R$1</f>
        <v>123457.4074074074</v>
      </c>
      <c r="J51" s="180">
        <f>$W$44</f>
        <v>66667</v>
      </c>
    </row>
    <row r="52" spans="1:10" x14ac:dyDescent="0.3">
      <c r="B52" s="230" t="s">
        <v>266</v>
      </c>
      <c r="C52" s="231">
        <f>$I$1</f>
        <v>12.6</v>
      </c>
      <c r="D52" s="232">
        <f>$E$1</f>
        <v>12348</v>
      </c>
      <c r="E52" s="99"/>
      <c r="F52" s="99"/>
      <c r="G52" s="147" t="s">
        <v>266</v>
      </c>
      <c r="H52" s="209">
        <f>I52/$D$5</f>
        <v>6.1739691301543491</v>
      </c>
      <c r="I52" s="175">
        <f>J52/$R$1</f>
        <v>76222.222222222219</v>
      </c>
      <c r="J52" s="183">
        <f>$S$32</f>
        <v>41160</v>
      </c>
    </row>
    <row r="53" spans="1:10" x14ac:dyDescent="0.3">
      <c r="B53" s="230" t="s">
        <v>288</v>
      </c>
      <c r="C53" s="233">
        <f>MIN(C52, C51)</f>
        <v>10.204081632653061</v>
      </c>
      <c r="D53" s="232">
        <f>(C53*$K$1)*$C$1</f>
        <v>10000</v>
      </c>
      <c r="E53" s="99"/>
      <c r="F53" s="99"/>
      <c r="G53" s="147" t="s">
        <v>288</v>
      </c>
      <c r="H53" s="186">
        <f>MIN(H52,H51)</f>
        <v>6.1739691301543491</v>
      </c>
      <c r="I53" s="175">
        <f>J53/$R$1</f>
        <v>76222.222222222219</v>
      </c>
      <c r="J53" s="175">
        <f>MIN(J52,J51)</f>
        <v>41160</v>
      </c>
    </row>
    <row r="54" spans="1:10" ht="14.25" customHeight="1" x14ac:dyDescent="0.3">
      <c r="B54" s="230" t="s">
        <v>289</v>
      </c>
      <c r="C54" s="233">
        <f>MIN(MAX(C52-C53,0),C51)</f>
        <v>2.3959183673469386</v>
      </c>
      <c r="D54" s="232">
        <f>(C54*$K$1)*$C$1</f>
        <v>2348.0000000000005</v>
      </c>
      <c r="E54" s="99"/>
      <c r="F54" s="99"/>
      <c r="G54" s="147" t="s">
        <v>289</v>
      </c>
      <c r="H54" s="186">
        <f>MIN(MAX(H52-H53),H51)</f>
        <v>0</v>
      </c>
      <c r="I54" s="175">
        <f>J54/$R$1</f>
        <v>0</v>
      </c>
      <c r="J54" s="175">
        <f>MIN(MAX(J52-J53),J51)</f>
        <v>0</v>
      </c>
    </row>
    <row r="55" spans="1:10" ht="14.25" customHeight="1" x14ac:dyDescent="0.3">
      <c r="B55" s="230" t="s">
        <v>290</v>
      </c>
      <c r="C55" s="233">
        <f>MIN(MAX(C52-C53-C54,0),C51)</f>
        <v>0</v>
      </c>
      <c r="D55" s="232">
        <f>(C55*$K$1)*$C$1</f>
        <v>0</v>
      </c>
      <c r="E55" s="99"/>
      <c r="F55" s="99"/>
      <c r="G55" s="144" t="s">
        <v>290</v>
      </c>
      <c r="H55" s="186">
        <f>MIN(MAX(H52-H53-H54),H51)</f>
        <v>0</v>
      </c>
      <c r="I55" s="175">
        <f>J55/$R$1</f>
        <v>0</v>
      </c>
      <c r="J55" s="175">
        <f>MIN(MAX(J52-J53-J54),J51)</f>
        <v>0</v>
      </c>
    </row>
    <row r="56" spans="1:10" ht="14.25" customHeight="1" x14ac:dyDescent="0.3">
      <c r="B56" s="99"/>
      <c r="C56" s="99"/>
      <c r="D56" s="99"/>
      <c r="E56" s="99"/>
      <c r="F56" s="99"/>
      <c r="G56" s="99"/>
      <c r="H56" s="99"/>
      <c r="I56" s="99"/>
      <c r="J56" s="99"/>
    </row>
    <row r="57" spans="1:10" ht="17.75" customHeight="1" x14ac:dyDescent="0.3">
      <c r="B57" s="261"/>
    </row>
    <row r="58" spans="1:10" ht="17.75" customHeight="1" x14ac:dyDescent="0.3">
      <c r="B58" s="1465"/>
      <c r="C58" s="1460"/>
      <c r="D58" s="1460"/>
      <c r="E58" s="1460"/>
      <c r="F58" s="1460"/>
      <c r="G58" s="1460"/>
      <c r="H58" s="1460"/>
      <c r="I58" s="1460"/>
      <c r="J58" s="1460"/>
    </row>
    <row r="62" spans="1:10" ht="17.75" customHeight="1" x14ac:dyDescent="0.3">
      <c r="A62" s="922"/>
      <c r="B62" s="1438" t="str">
        <f>"سمك بالكارى و الكريمة  1 / " &amp; COUNTIF($C$53:$C$55, "&gt;0")</f>
        <v>سمك بالكارى و الكريمة  1 / 2</v>
      </c>
      <c r="C62" s="1439"/>
      <c r="D62" s="1439"/>
      <c r="E62" s="1439"/>
      <c r="F62" s="1439"/>
      <c r="G62" s="1439"/>
      <c r="H62" s="1439"/>
    </row>
    <row r="63" spans="1:10" ht="17.75" customHeight="1" x14ac:dyDescent="0.3">
      <c r="A63" s="922"/>
      <c r="B63" s="1436" t="str">
        <f>"Curry Fish 1 / " &amp; COUNTIF(C$53:C$55, "&gt;0")</f>
        <v>Curry Fish 1 / 2</v>
      </c>
      <c r="C63" s="1437"/>
      <c r="D63" s="1437"/>
      <c r="E63" s="1437"/>
      <c r="F63" s="1437"/>
      <c r="G63" s="1437"/>
      <c r="H63" s="1437"/>
    </row>
    <row r="64" spans="1:10" ht="42.5" customHeight="1" x14ac:dyDescent="0.25">
      <c r="A64" s="90"/>
      <c r="B64" s="90" t="s">
        <v>245</v>
      </c>
      <c r="C64" s="106" t="s">
        <v>246</v>
      </c>
      <c r="D64" s="90" t="s">
        <v>235</v>
      </c>
      <c r="E64" s="107" t="s">
        <v>238</v>
      </c>
      <c r="F64" s="107" t="s">
        <v>247</v>
      </c>
      <c r="G64" s="90" t="s">
        <v>248</v>
      </c>
      <c r="H64" s="217" t="s">
        <v>249</v>
      </c>
    </row>
    <row r="65" spans="1:8" ht="14.25" customHeight="1" x14ac:dyDescent="0.25">
      <c r="A65" s="218" t="s">
        <v>225</v>
      </c>
      <c r="B65" s="322" t="str">
        <f t="shared" ref="B65:D79" si="12">B5</f>
        <v>Fillet Fish - سمك فيليه</v>
      </c>
      <c r="C65" s="322" t="str">
        <f t="shared" si="12"/>
        <v>gm</v>
      </c>
      <c r="D65" s="485">
        <f t="shared" si="12"/>
        <v>12345.740740740741</v>
      </c>
      <c r="E65" s="125">
        <f>H53</f>
        <v>6.1739691301543491</v>
      </c>
      <c r="F65" s="126">
        <f t="shared" ref="F65:F81" si="13">F5</f>
        <v>1</v>
      </c>
      <c r="G65" s="118">
        <f t="shared" ref="G65:G79" si="14">D65*E65</f>
        <v>76222.222222222219</v>
      </c>
      <c r="H65" s="119">
        <f t="shared" ref="H65:H79" si="15">G65*F65</f>
        <v>76222.222222222219</v>
      </c>
    </row>
    <row r="66" spans="1:8" ht="14.25" customHeight="1" x14ac:dyDescent="0.3">
      <c r="A66" s="127" t="s">
        <v>13</v>
      </c>
      <c r="B66" s="322" t="str">
        <f t="shared" si="12"/>
        <v>Onion - بصل</v>
      </c>
      <c r="C66" s="322" t="str">
        <f t="shared" si="12"/>
        <v>gm</v>
      </c>
      <c r="D66" s="322">
        <f t="shared" si="12"/>
        <v>300</v>
      </c>
      <c r="E66" s="125">
        <f t="shared" ref="E66:E81" si="16">$C$53</f>
        <v>10.204081632653061</v>
      </c>
      <c r="F66" s="126">
        <f t="shared" si="13"/>
        <v>0.95</v>
      </c>
      <c r="G66" s="118">
        <f t="shared" si="14"/>
        <v>3061.2244897959181</v>
      </c>
      <c r="H66" s="119">
        <f t="shared" si="15"/>
        <v>2908.163265306122</v>
      </c>
    </row>
    <row r="67" spans="1:8" ht="14.25" customHeight="1" x14ac:dyDescent="0.3">
      <c r="A67" s="127" t="s">
        <v>13</v>
      </c>
      <c r="B67" s="322" t="str">
        <f t="shared" si="12"/>
        <v>Garlic - ثوم مقشر</v>
      </c>
      <c r="C67" s="322" t="str">
        <f t="shared" si="12"/>
        <v>gm</v>
      </c>
      <c r="D67" s="322">
        <f t="shared" si="12"/>
        <v>25</v>
      </c>
      <c r="E67" s="125">
        <f t="shared" si="16"/>
        <v>10.204081632653061</v>
      </c>
      <c r="F67" s="126">
        <f t="shared" si="13"/>
        <v>1</v>
      </c>
      <c r="G67" s="118">
        <f t="shared" si="14"/>
        <v>255.10204081632654</v>
      </c>
      <c r="H67" s="119">
        <f t="shared" si="15"/>
        <v>255.10204081632654</v>
      </c>
    </row>
    <row r="68" spans="1:8" ht="14.25" customHeight="1" x14ac:dyDescent="0.3">
      <c r="A68" s="127" t="s">
        <v>13</v>
      </c>
      <c r="B68" s="322" t="str">
        <f t="shared" si="12"/>
        <v>Tomato - طماطم</v>
      </c>
      <c r="C68" s="322" t="str">
        <f t="shared" si="12"/>
        <v>gm</v>
      </c>
      <c r="D68" s="322">
        <f t="shared" si="12"/>
        <v>300</v>
      </c>
      <c r="E68" s="125">
        <f t="shared" si="16"/>
        <v>10.204081632653061</v>
      </c>
      <c r="F68" s="126">
        <f t="shared" si="13"/>
        <v>1</v>
      </c>
      <c r="G68" s="118">
        <f t="shared" si="14"/>
        <v>3061.2244897959181</v>
      </c>
      <c r="H68" s="119">
        <f t="shared" si="15"/>
        <v>3061.2244897959181</v>
      </c>
    </row>
    <row r="69" spans="1:8" ht="14.25" customHeight="1" x14ac:dyDescent="0.3">
      <c r="A69" s="127" t="s">
        <v>56</v>
      </c>
      <c r="B69" s="322" t="str">
        <f t="shared" si="12"/>
        <v>Ginger - زنجبيل</v>
      </c>
      <c r="C69" s="322" t="str">
        <f t="shared" si="12"/>
        <v>gm</v>
      </c>
      <c r="D69" s="322">
        <f t="shared" si="12"/>
        <v>20</v>
      </c>
      <c r="E69" s="125">
        <f t="shared" si="16"/>
        <v>10.204081632653061</v>
      </c>
      <c r="F69" s="126">
        <f t="shared" si="13"/>
        <v>1</v>
      </c>
      <c r="G69" s="118">
        <f t="shared" si="14"/>
        <v>204.08163265306121</v>
      </c>
      <c r="H69" s="119">
        <f t="shared" si="15"/>
        <v>204.08163265306121</v>
      </c>
    </row>
    <row r="70" spans="1:8" ht="14.25" customHeight="1" x14ac:dyDescent="0.3">
      <c r="A70" s="127" t="s">
        <v>95</v>
      </c>
      <c r="B70" s="322" t="str">
        <f t="shared" si="12"/>
        <v>Curry Powder - كاري بودرة</v>
      </c>
      <c r="C70" s="322" t="str">
        <f t="shared" si="12"/>
        <v>gm</v>
      </c>
      <c r="D70" s="322">
        <f t="shared" si="12"/>
        <v>25</v>
      </c>
      <c r="E70" s="125">
        <f t="shared" si="16"/>
        <v>10.204081632653061</v>
      </c>
      <c r="F70" s="126">
        <f t="shared" si="13"/>
        <v>0.75</v>
      </c>
      <c r="G70" s="118">
        <f t="shared" si="14"/>
        <v>255.10204081632654</v>
      </c>
      <c r="H70" s="119">
        <f t="shared" si="15"/>
        <v>191.32653061224491</v>
      </c>
    </row>
    <row r="71" spans="1:8" ht="14.25" customHeight="1" x14ac:dyDescent="0.3">
      <c r="A71" s="127" t="s">
        <v>95</v>
      </c>
      <c r="B71" s="322" t="str">
        <f t="shared" si="12"/>
        <v>Cumin Whole - كمون حب</v>
      </c>
      <c r="C71" s="322" t="str">
        <f t="shared" si="12"/>
        <v>gm</v>
      </c>
      <c r="D71" s="322">
        <f t="shared" si="12"/>
        <v>5</v>
      </c>
      <c r="E71" s="125">
        <f t="shared" si="16"/>
        <v>10.204081632653061</v>
      </c>
      <c r="F71" s="126">
        <f t="shared" si="13"/>
        <v>1</v>
      </c>
      <c r="G71" s="118">
        <f t="shared" si="14"/>
        <v>51.020408163265301</v>
      </c>
      <c r="H71" s="119">
        <f t="shared" si="15"/>
        <v>51.020408163265301</v>
      </c>
    </row>
    <row r="72" spans="1:8" ht="14.25" customHeight="1" x14ac:dyDescent="0.3">
      <c r="A72" s="127" t="s">
        <v>95</v>
      </c>
      <c r="B72" s="322" t="str">
        <f t="shared" si="12"/>
        <v>Cloves Whole - قرنفل حب</v>
      </c>
      <c r="C72" s="322" t="str">
        <f t="shared" si="12"/>
        <v>gm</v>
      </c>
      <c r="D72" s="322">
        <f t="shared" si="12"/>
        <v>2</v>
      </c>
      <c r="E72" s="125">
        <f t="shared" si="16"/>
        <v>10.204081632653061</v>
      </c>
      <c r="F72" s="126">
        <f t="shared" si="13"/>
        <v>0.75</v>
      </c>
      <c r="G72" s="118">
        <f t="shared" si="14"/>
        <v>20.408163265306122</v>
      </c>
      <c r="H72" s="119">
        <f t="shared" si="15"/>
        <v>15.306122448979592</v>
      </c>
    </row>
    <row r="73" spans="1:8" ht="14.25" customHeight="1" x14ac:dyDescent="0.3">
      <c r="A73" s="127" t="s">
        <v>95</v>
      </c>
      <c r="B73" s="322" t="str">
        <f t="shared" si="12"/>
        <v>Kasuri Methi - ورق حلبة مجففة</v>
      </c>
      <c r="C73" s="322" t="str">
        <f t="shared" si="12"/>
        <v>gm</v>
      </c>
      <c r="D73" s="322">
        <f t="shared" si="12"/>
        <v>3</v>
      </c>
      <c r="E73" s="125">
        <f t="shared" si="16"/>
        <v>10.204081632653061</v>
      </c>
      <c r="F73" s="126">
        <f t="shared" si="13"/>
        <v>0.75</v>
      </c>
      <c r="G73" s="118">
        <f t="shared" si="14"/>
        <v>30.612244897959183</v>
      </c>
      <c r="H73" s="119">
        <f t="shared" si="15"/>
        <v>22.959183673469386</v>
      </c>
    </row>
    <row r="74" spans="1:8" ht="14.25" customHeight="1" x14ac:dyDescent="0.3">
      <c r="A74" s="127" t="s">
        <v>95</v>
      </c>
      <c r="B74" s="322" t="str">
        <f t="shared" si="12"/>
        <v>Maggi Cubes - مكعبات ماجي</v>
      </c>
      <c r="C74" s="322" t="str">
        <f t="shared" si="12"/>
        <v>gm</v>
      </c>
      <c r="D74" s="322">
        <f t="shared" si="12"/>
        <v>10</v>
      </c>
      <c r="E74" s="125">
        <f t="shared" si="16"/>
        <v>10.204081632653061</v>
      </c>
      <c r="F74" s="126">
        <f t="shared" si="13"/>
        <v>1</v>
      </c>
      <c r="G74" s="118">
        <f t="shared" si="14"/>
        <v>102.0408163265306</v>
      </c>
      <c r="H74" s="119">
        <f t="shared" si="15"/>
        <v>102.0408163265306</v>
      </c>
    </row>
    <row r="75" spans="1:8" ht="14.25" customHeight="1" x14ac:dyDescent="0.3">
      <c r="A75" s="127" t="s">
        <v>13</v>
      </c>
      <c r="B75" s="322" t="str">
        <f t="shared" si="12"/>
        <v>Green Chilli Pepper - فلفل أخضر حار</v>
      </c>
      <c r="C75" s="322" t="str">
        <f t="shared" si="12"/>
        <v>gm</v>
      </c>
      <c r="D75" s="322">
        <f t="shared" si="12"/>
        <v>5</v>
      </c>
      <c r="E75" s="125">
        <f t="shared" si="16"/>
        <v>10.204081632653061</v>
      </c>
      <c r="F75" s="126">
        <f t="shared" si="13"/>
        <v>0.75</v>
      </c>
      <c r="G75" s="118">
        <f t="shared" si="14"/>
        <v>51.020408163265301</v>
      </c>
      <c r="H75" s="119">
        <f t="shared" si="15"/>
        <v>38.265306122448976</v>
      </c>
    </row>
    <row r="76" spans="1:8" ht="14.25" customHeight="1" x14ac:dyDescent="0.3">
      <c r="A76" s="127" t="s">
        <v>95</v>
      </c>
      <c r="B76" s="322" t="str">
        <f t="shared" si="12"/>
        <v>Turmeric - كركم</v>
      </c>
      <c r="C76" s="322" t="str">
        <f t="shared" si="12"/>
        <v>gm</v>
      </c>
      <c r="D76" s="322">
        <f t="shared" si="12"/>
        <v>5</v>
      </c>
      <c r="E76" s="125">
        <f t="shared" si="16"/>
        <v>10.204081632653061</v>
      </c>
      <c r="F76" s="126">
        <f t="shared" si="13"/>
        <v>0.75</v>
      </c>
      <c r="G76" s="118">
        <f t="shared" si="14"/>
        <v>51.020408163265301</v>
      </c>
      <c r="H76" s="119">
        <f t="shared" si="15"/>
        <v>38.265306122448976</v>
      </c>
    </row>
    <row r="77" spans="1:8" ht="14.25" customHeight="1" x14ac:dyDescent="0.3">
      <c r="A77" s="127" t="s">
        <v>215</v>
      </c>
      <c r="B77" s="322" t="str">
        <f t="shared" si="12"/>
        <v>Saffron yellow color powder - لون صفار زعفران بودر</v>
      </c>
      <c r="C77" s="322" t="str">
        <f t="shared" si="12"/>
        <v>gm</v>
      </c>
      <c r="D77" s="322">
        <f t="shared" si="12"/>
        <v>2</v>
      </c>
      <c r="E77" s="125">
        <f t="shared" si="16"/>
        <v>10.204081632653061</v>
      </c>
      <c r="F77" s="126">
        <f t="shared" si="13"/>
        <v>1</v>
      </c>
      <c r="G77" s="118">
        <f t="shared" si="14"/>
        <v>20.408163265306122</v>
      </c>
      <c r="H77" s="119">
        <f t="shared" si="15"/>
        <v>20.408163265306122</v>
      </c>
    </row>
    <row r="78" spans="1:8" ht="14.25" customHeight="1" x14ac:dyDescent="0.3">
      <c r="A78" s="127" t="s">
        <v>154</v>
      </c>
      <c r="B78" s="322" t="str">
        <f t="shared" si="12"/>
        <v>Cooking Cream - كريمة طبخ</v>
      </c>
      <c r="C78" s="322" t="str">
        <f t="shared" si="12"/>
        <v>ml</v>
      </c>
      <c r="D78" s="322">
        <f t="shared" si="12"/>
        <v>500</v>
      </c>
      <c r="E78" s="125">
        <f t="shared" si="16"/>
        <v>10.204081632653061</v>
      </c>
      <c r="F78" s="126">
        <f t="shared" si="13"/>
        <v>1</v>
      </c>
      <c r="G78" s="118">
        <f t="shared" si="14"/>
        <v>5102.0408163265301</v>
      </c>
      <c r="H78" s="119">
        <f t="shared" si="15"/>
        <v>5102.0408163265301</v>
      </c>
    </row>
    <row r="79" spans="1:8" ht="14.25" customHeight="1" x14ac:dyDescent="0.3">
      <c r="A79" s="127" t="s">
        <v>206</v>
      </c>
      <c r="B79" s="322" t="str">
        <f t="shared" si="12"/>
        <v>Water - ماء</v>
      </c>
      <c r="C79" s="322" t="str">
        <f t="shared" si="12"/>
        <v>ml</v>
      </c>
      <c r="D79" s="322">
        <f t="shared" si="12"/>
        <v>500</v>
      </c>
      <c r="E79" s="125">
        <f t="shared" si="16"/>
        <v>10.204081632653061</v>
      </c>
      <c r="F79" s="126">
        <f t="shared" si="13"/>
        <v>0.75</v>
      </c>
      <c r="G79" s="118">
        <f t="shared" si="14"/>
        <v>5102.0408163265301</v>
      </c>
      <c r="H79" s="119">
        <f t="shared" si="15"/>
        <v>3826.5306122448974</v>
      </c>
    </row>
    <row r="80" spans="1:8" ht="14.25" customHeight="1" x14ac:dyDescent="0.3">
      <c r="A80" s="127" t="s">
        <v>154</v>
      </c>
      <c r="B80" s="322" t="str">
        <f t="shared" ref="B80:D80" si="17">B20</f>
        <v>Butter - زبدة</v>
      </c>
      <c r="C80" s="322" t="str">
        <f t="shared" si="17"/>
        <v>gm</v>
      </c>
      <c r="D80" s="322">
        <f t="shared" si="17"/>
        <v>45</v>
      </c>
      <c r="E80" s="125">
        <f t="shared" si="16"/>
        <v>10.204081632653061</v>
      </c>
      <c r="F80" s="126">
        <f t="shared" si="13"/>
        <v>1</v>
      </c>
      <c r="G80" s="118">
        <f t="shared" ref="G80:G81" si="18">D80*E80</f>
        <v>459.18367346938777</v>
      </c>
      <c r="H80" s="119">
        <f t="shared" ref="H80:H81" si="19">G80*F80</f>
        <v>459.18367346938777</v>
      </c>
    </row>
    <row r="81" spans="1:8" ht="20.25" customHeight="1" x14ac:dyDescent="0.3">
      <c r="B81" s="322" t="str">
        <f t="shared" ref="B81:D81" si="20">B21</f>
        <v>Corn Starch - نشا ذرة</v>
      </c>
      <c r="C81" s="322" t="str">
        <f t="shared" si="20"/>
        <v>gm</v>
      </c>
      <c r="D81" s="322">
        <f t="shared" si="20"/>
        <v>45</v>
      </c>
      <c r="E81" s="125">
        <f t="shared" si="16"/>
        <v>10.204081632653061</v>
      </c>
      <c r="F81" s="126">
        <f t="shared" si="13"/>
        <v>1</v>
      </c>
      <c r="G81" s="118">
        <f t="shared" si="18"/>
        <v>459.18367346938777</v>
      </c>
      <c r="H81" s="119">
        <f t="shared" si="19"/>
        <v>459.18367346938777</v>
      </c>
    </row>
    <row r="82" spans="1:8" ht="18" x14ac:dyDescent="0.3">
      <c r="A82" s="210"/>
      <c r="B82" s="197" t="s">
        <v>291</v>
      </c>
      <c r="C82" s="199" t="s">
        <v>277</v>
      </c>
      <c r="E82" s="199" t="s">
        <v>292</v>
      </c>
      <c r="G82" s="878" t="s">
        <v>268</v>
      </c>
      <c r="H82" s="878" t="s">
        <v>703</v>
      </c>
    </row>
    <row r="83" spans="1:8" ht="20" x14ac:dyDescent="0.4">
      <c r="A83" s="210"/>
      <c r="B83" s="198">
        <f>$J$53</f>
        <v>41160</v>
      </c>
      <c r="C83" s="198">
        <f>E83+G83</f>
        <v>10000</v>
      </c>
      <c r="D83" s="915"/>
      <c r="E83" s="198">
        <f>$D$53*$S$44</f>
        <v>0</v>
      </c>
      <c r="F83" s="919"/>
      <c r="G83" s="198">
        <f>$D$53*$T$44</f>
        <v>10000</v>
      </c>
      <c r="H83" s="198">
        <f>B83+E83</f>
        <v>41160</v>
      </c>
    </row>
    <row r="86" spans="1:8" x14ac:dyDescent="0.3">
      <c r="A86" s="922"/>
      <c r="B86" s="1438" t="str">
        <f>"سمك بالكارى و الكريمة  2 / " &amp; COUNTIF($C$53:$C$55, "&gt;0")</f>
        <v>سمك بالكارى و الكريمة  2 / 2</v>
      </c>
      <c r="C86" s="1439"/>
      <c r="D86" s="1439"/>
      <c r="E86" s="1439"/>
      <c r="F86" s="1439"/>
      <c r="G86" s="1439"/>
      <c r="H86" s="1439"/>
    </row>
    <row r="87" spans="1:8" ht="58.25" customHeight="1" x14ac:dyDescent="0.3">
      <c r="A87" s="922"/>
      <c r="B87" s="1436" t="str">
        <f>"Curry Fish 2 / " &amp; COUNTIF(C$53:C$55, "&gt;0")</f>
        <v>Curry Fish 2 / 2</v>
      </c>
      <c r="C87" s="1437"/>
      <c r="D87" s="1437"/>
      <c r="E87" s="1437"/>
      <c r="F87" s="1437"/>
      <c r="G87" s="1437"/>
      <c r="H87" s="1437"/>
    </row>
    <row r="88" spans="1:8" ht="26" x14ac:dyDescent="0.25">
      <c r="A88" s="90"/>
      <c r="B88" s="90" t="s">
        <v>245</v>
      </c>
      <c r="C88" s="106" t="s">
        <v>246</v>
      </c>
      <c r="D88" s="90" t="s">
        <v>235</v>
      </c>
      <c r="E88" s="107" t="s">
        <v>238</v>
      </c>
      <c r="F88" s="107" t="s">
        <v>247</v>
      </c>
      <c r="G88" s="90" t="s">
        <v>248</v>
      </c>
      <c r="H88" s="217" t="s">
        <v>249</v>
      </c>
    </row>
    <row r="89" spans="1:8" x14ac:dyDescent="0.25">
      <c r="A89" s="218" t="s">
        <v>225</v>
      </c>
      <c r="B89" s="322" t="str">
        <f t="shared" ref="B89:D103" si="21">B5</f>
        <v>Fillet Fish - سمك فيليه</v>
      </c>
      <c r="C89" s="322" t="str">
        <f t="shared" si="21"/>
        <v>gm</v>
      </c>
      <c r="D89" s="323">
        <f t="shared" si="21"/>
        <v>12345.740740740741</v>
      </c>
      <c r="E89" s="125">
        <f>$H$54</f>
        <v>0</v>
      </c>
      <c r="F89" s="126">
        <f>F5</f>
        <v>1</v>
      </c>
      <c r="G89" s="118">
        <f t="shared" ref="G89:G103" si="22">D89*E89</f>
        <v>0</v>
      </c>
      <c r="H89" s="119">
        <f t="shared" ref="H89:H103" si="23">G89*F89</f>
        <v>0</v>
      </c>
    </row>
    <row r="90" spans="1:8" x14ac:dyDescent="0.3">
      <c r="A90" s="127" t="s">
        <v>13</v>
      </c>
      <c r="B90" s="322" t="str">
        <f t="shared" si="21"/>
        <v>Onion - بصل</v>
      </c>
      <c r="C90" s="322" t="str">
        <f t="shared" si="21"/>
        <v>gm</v>
      </c>
      <c r="D90" s="322">
        <f t="shared" si="21"/>
        <v>300</v>
      </c>
      <c r="E90" s="125">
        <f t="shared" ref="E90:E105" si="24">$C$54</f>
        <v>2.3959183673469386</v>
      </c>
      <c r="F90" s="126">
        <f t="shared" ref="F90:F105" si="25">F6</f>
        <v>0.95</v>
      </c>
      <c r="G90" s="118">
        <f t="shared" si="22"/>
        <v>718.77551020408157</v>
      </c>
      <c r="H90" s="119">
        <f t="shared" si="23"/>
        <v>682.83673469387747</v>
      </c>
    </row>
    <row r="91" spans="1:8" x14ac:dyDescent="0.3">
      <c r="A91" s="127" t="s">
        <v>13</v>
      </c>
      <c r="B91" s="322" t="str">
        <f t="shared" si="21"/>
        <v>Garlic - ثوم مقشر</v>
      </c>
      <c r="C91" s="322" t="str">
        <f t="shared" si="21"/>
        <v>gm</v>
      </c>
      <c r="D91" s="322">
        <f t="shared" si="21"/>
        <v>25</v>
      </c>
      <c r="E91" s="125">
        <f t="shared" si="24"/>
        <v>2.3959183673469386</v>
      </c>
      <c r="F91" s="126">
        <f t="shared" si="25"/>
        <v>1</v>
      </c>
      <c r="G91" s="118">
        <f t="shared" si="22"/>
        <v>59.897959183673464</v>
      </c>
      <c r="H91" s="119">
        <f t="shared" si="23"/>
        <v>59.897959183673464</v>
      </c>
    </row>
    <row r="92" spans="1:8" x14ac:dyDescent="0.3">
      <c r="A92" s="127" t="s">
        <v>13</v>
      </c>
      <c r="B92" s="322" t="str">
        <f t="shared" si="21"/>
        <v>Tomato - طماطم</v>
      </c>
      <c r="C92" s="322" t="str">
        <f t="shared" si="21"/>
        <v>gm</v>
      </c>
      <c r="D92" s="322">
        <f t="shared" si="21"/>
        <v>300</v>
      </c>
      <c r="E92" s="125">
        <f t="shared" si="24"/>
        <v>2.3959183673469386</v>
      </c>
      <c r="F92" s="126">
        <f t="shared" si="25"/>
        <v>1</v>
      </c>
      <c r="G92" s="118">
        <f t="shared" si="22"/>
        <v>718.77551020408157</v>
      </c>
      <c r="H92" s="119">
        <f t="shared" si="23"/>
        <v>718.77551020408157</v>
      </c>
    </row>
    <row r="93" spans="1:8" x14ac:dyDescent="0.3">
      <c r="A93" s="127" t="s">
        <v>56</v>
      </c>
      <c r="B93" s="322" t="str">
        <f t="shared" si="21"/>
        <v>Ginger - زنجبيل</v>
      </c>
      <c r="C93" s="322" t="str">
        <f t="shared" si="21"/>
        <v>gm</v>
      </c>
      <c r="D93" s="322">
        <f t="shared" si="21"/>
        <v>20</v>
      </c>
      <c r="E93" s="125">
        <f t="shared" si="24"/>
        <v>2.3959183673469386</v>
      </c>
      <c r="F93" s="126">
        <f t="shared" si="25"/>
        <v>1</v>
      </c>
      <c r="G93" s="118">
        <f t="shared" si="22"/>
        <v>47.918367346938773</v>
      </c>
      <c r="H93" s="119">
        <f t="shared" si="23"/>
        <v>47.918367346938773</v>
      </c>
    </row>
    <row r="94" spans="1:8" x14ac:dyDescent="0.3">
      <c r="A94" s="127" t="s">
        <v>95</v>
      </c>
      <c r="B94" s="322" t="str">
        <f t="shared" si="21"/>
        <v>Curry Powder - كاري بودرة</v>
      </c>
      <c r="C94" s="322" t="str">
        <f t="shared" si="21"/>
        <v>gm</v>
      </c>
      <c r="D94" s="322">
        <f t="shared" si="21"/>
        <v>25</v>
      </c>
      <c r="E94" s="125">
        <f t="shared" si="24"/>
        <v>2.3959183673469386</v>
      </c>
      <c r="F94" s="126">
        <f t="shared" si="25"/>
        <v>0.75</v>
      </c>
      <c r="G94" s="118">
        <f t="shared" si="22"/>
        <v>59.897959183673464</v>
      </c>
      <c r="H94" s="119">
        <f t="shared" si="23"/>
        <v>44.923469387755098</v>
      </c>
    </row>
    <row r="95" spans="1:8" x14ac:dyDescent="0.3">
      <c r="A95" s="127" t="s">
        <v>95</v>
      </c>
      <c r="B95" s="322" t="str">
        <f t="shared" si="21"/>
        <v>Cumin Whole - كمون حب</v>
      </c>
      <c r="C95" s="322" t="str">
        <f t="shared" si="21"/>
        <v>gm</v>
      </c>
      <c r="D95" s="322">
        <f t="shared" si="21"/>
        <v>5</v>
      </c>
      <c r="E95" s="125">
        <f t="shared" si="24"/>
        <v>2.3959183673469386</v>
      </c>
      <c r="F95" s="126">
        <f t="shared" si="25"/>
        <v>1</v>
      </c>
      <c r="G95" s="118">
        <f t="shared" si="22"/>
        <v>11.979591836734693</v>
      </c>
      <c r="H95" s="119">
        <f t="shared" si="23"/>
        <v>11.979591836734693</v>
      </c>
    </row>
    <row r="96" spans="1:8" x14ac:dyDescent="0.3">
      <c r="A96" s="127" t="s">
        <v>95</v>
      </c>
      <c r="B96" s="322" t="str">
        <f t="shared" si="21"/>
        <v>Cloves Whole - قرنفل حب</v>
      </c>
      <c r="C96" s="322" t="str">
        <f t="shared" si="21"/>
        <v>gm</v>
      </c>
      <c r="D96" s="322">
        <f t="shared" si="21"/>
        <v>2</v>
      </c>
      <c r="E96" s="125">
        <f t="shared" si="24"/>
        <v>2.3959183673469386</v>
      </c>
      <c r="F96" s="126">
        <f t="shared" si="25"/>
        <v>0.75</v>
      </c>
      <c r="G96" s="118">
        <f t="shared" si="22"/>
        <v>4.7918367346938773</v>
      </c>
      <c r="H96" s="119">
        <f t="shared" si="23"/>
        <v>3.593877551020408</v>
      </c>
    </row>
    <row r="97" spans="1:8" x14ac:dyDescent="0.3">
      <c r="A97" s="127" t="s">
        <v>95</v>
      </c>
      <c r="B97" s="322" t="str">
        <f t="shared" si="21"/>
        <v>Kasuri Methi - ورق حلبة مجففة</v>
      </c>
      <c r="C97" s="322" t="str">
        <f t="shared" si="21"/>
        <v>gm</v>
      </c>
      <c r="D97" s="322">
        <f t="shared" si="21"/>
        <v>3</v>
      </c>
      <c r="E97" s="125">
        <f t="shared" si="24"/>
        <v>2.3959183673469386</v>
      </c>
      <c r="F97" s="126">
        <f t="shared" si="25"/>
        <v>0.75</v>
      </c>
      <c r="G97" s="118">
        <f t="shared" si="22"/>
        <v>7.1877551020408159</v>
      </c>
      <c r="H97" s="119">
        <f t="shared" si="23"/>
        <v>5.3908163265306115</v>
      </c>
    </row>
    <row r="98" spans="1:8" x14ac:dyDescent="0.3">
      <c r="A98" s="127" t="s">
        <v>95</v>
      </c>
      <c r="B98" s="322" t="str">
        <f t="shared" si="21"/>
        <v>Maggi Cubes - مكعبات ماجي</v>
      </c>
      <c r="C98" s="322" t="str">
        <f t="shared" si="21"/>
        <v>gm</v>
      </c>
      <c r="D98" s="322">
        <f t="shared" si="21"/>
        <v>10</v>
      </c>
      <c r="E98" s="125">
        <f t="shared" si="24"/>
        <v>2.3959183673469386</v>
      </c>
      <c r="F98" s="126">
        <f t="shared" si="25"/>
        <v>1</v>
      </c>
      <c r="G98" s="118">
        <f t="shared" si="22"/>
        <v>23.959183673469386</v>
      </c>
      <c r="H98" s="119">
        <f t="shared" si="23"/>
        <v>23.959183673469386</v>
      </c>
    </row>
    <row r="99" spans="1:8" x14ac:dyDescent="0.3">
      <c r="A99" s="127" t="s">
        <v>13</v>
      </c>
      <c r="B99" s="322" t="str">
        <f t="shared" si="21"/>
        <v>Green Chilli Pepper - فلفل أخضر حار</v>
      </c>
      <c r="C99" s="322" t="str">
        <f t="shared" si="21"/>
        <v>gm</v>
      </c>
      <c r="D99" s="322">
        <f t="shared" si="21"/>
        <v>5</v>
      </c>
      <c r="E99" s="125">
        <f t="shared" si="24"/>
        <v>2.3959183673469386</v>
      </c>
      <c r="F99" s="126">
        <f t="shared" si="25"/>
        <v>0.75</v>
      </c>
      <c r="G99" s="118">
        <f t="shared" si="22"/>
        <v>11.979591836734693</v>
      </c>
      <c r="H99" s="119">
        <f t="shared" si="23"/>
        <v>8.9846938775510203</v>
      </c>
    </row>
    <row r="100" spans="1:8" x14ac:dyDescent="0.3">
      <c r="A100" s="127" t="s">
        <v>95</v>
      </c>
      <c r="B100" s="322" t="str">
        <f t="shared" si="21"/>
        <v>Turmeric - كركم</v>
      </c>
      <c r="C100" s="322" t="str">
        <f t="shared" si="21"/>
        <v>gm</v>
      </c>
      <c r="D100" s="322">
        <f t="shared" si="21"/>
        <v>5</v>
      </c>
      <c r="E100" s="125">
        <f t="shared" si="24"/>
        <v>2.3959183673469386</v>
      </c>
      <c r="F100" s="126">
        <f t="shared" si="25"/>
        <v>0.75</v>
      </c>
      <c r="G100" s="118">
        <f t="shared" si="22"/>
        <v>11.979591836734693</v>
      </c>
      <c r="H100" s="119">
        <f t="shared" si="23"/>
        <v>8.9846938775510203</v>
      </c>
    </row>
    <row r="101" spans="1:8" x14ac:dyDescent="0.3">
      <c r="A101" s="127" t="s">
        <v>215</v>
      </c>
      <c r="B101" s="322" t="str">
        <f t="shared" si="21"/>
        <v>Saffron yellow color powder - لون صفار زعفران بودر</v>
      </c>
      <c r="C101" s="322" t="str">
        <f t="shared" si="21"/>
        <v>gm</v>
      </c>
      <c r="D101" s="322">
        <f t="shared" si="21"/>
        <v>2</v>
      </c>
      <c r="E101" s="125">
        <f t="shared" si="24"/>
        <v>2.3959183673469386</v>
      </c>
      <c r="F101" s="126">
        <f t="shared" si="25"/>
        <v>1</v>
      </c>
      <c r="G101" s="118">
        <f t="shared" si="22"/>
        <v>4.7918367346938773</v>
      </c>
      <c r="H101" s="119">
        <f t="shared" si="23"/>
        <v>4.7918367346938773</v>
      </c>
    </row>
    <row r="102" spans="1:8" x14ac:dyDescent="0.3">
      <c r="A102" s="127" t="s">
        <v>154</v>
      </c>
      <c r="B102" s="322" t="str">
        <f t="shared" si="21"/>
        <v>Cooking Cream - كريمة طبخ</v>
      </c>
      <c r="C102" s="322" t="str">
        <f t="shared" si="21"/>
        <v>ml</v>
      </c>
      <c r="D102" s="322">
        <f t="shared" si="21"/>
        <v>500</v>
      </c>
      <c r="E102" s="125">
        <f t="shared" si="24"/>
        <v>2.3959183673469386</v>
      </c>
      <c r="F102" s="126">
        <f t="shared" si="25"/>
        <v>1</v>
      </c>
      <c r="G102" s="118">
        <f t="shared" si="22"/>
        <v>1197.9591836734694</v>
      </c>
      <c r="H102" s="119">
        <f t="shared" si="23"/>
        <v>1197.9591836734694</v>
      </c>
    </row>
    <row r="103" spans="1:8" x14ac:dyDescent="0.3">
      <c r="A103" s="127" t="s">
        <v>206</v>
      </c>
      <c r="B103" s="322" t="str">
        <f t="shared" si="21"/>
        <v>Water - ماء</v>
      </c>
      <c r="C103" s="322" t="str">
        <f t="shared" si="21"/>
        <v>ml</v>
      </c>
      <c r="D103" s="322">
        <f t="shared" si="21"/>
        <v>500</v>
      </c>
      <c r="E103" s="125">
        <f t="shared" si="24"/>
        <v>2.3959183673469386</v>
      </c>
      <c r="F103" s="126">
        <f t="shared" si="25"/>
        <v>0.75</v>
      </c>
      <c r="G103" s="118">
        <f t="shared" si="22"/>
        <v>1197.9591836734694</v>
      </c>
      <c r="H103" s="119">
        <f t="shared" si="23"/>
        <v>898.46938775510205</v>
      </c>
    </row>
    <row r="104" spans="1:8" x14ac:dyDescent="0.3">
      <c r="A104" s="127"/>
      <c r="B104" s="322" t="str">
        <f t="shared" ref="B104:D104" si="26">B20</f>
        <v>Butter - زبدة</v>
      </c>
      <c r="C104" s="322" t="str">
        <f t="shared" si="26"/>
        <v>gm</v>
      </c>
      <c r="D104" s="322">
        <f t="shared" si="26"/>
        <v>45</v>
      </c>
      <c r="E104" s="125">
        <f t="shared" si="24"/>
        <v>2.3959183673469386</v>
      </c>
      <c r="F104" s="126">
        <f t="shared" si="25"/>
        <v>1</v>
      </c>
      <c r="G104" s="118">
        <f t="shared" ref="G104:G105" si="27">D104*E104</f>
        <v>107.81632653061224</v>
      </c>
      <c r="H104" s="119">
        <f t="shared" ref="H104:H105" si="28">G104*F104</f>
        <v>107.81632653061224</v>
      </c>
    </row>
    <row r="105" spans="1:8" x14ac:dyDescent="0.3">
      <c r="A105" s="127" t="s">
        <v>154</v>
      </c>
      <c r="B105" s="322" t="str">
        <f t="shared" ref="B105:D105" si="29">B21</f>
        <v>Corn Starch - نشا ذرة</v>
      </c>
      <c r="C105" s="322" t="str">
        <f t="shared" si="29"/>
        <v>gm</v>
      </c>
      <c r="D105" s="322">
        <f t="shared" si="29"/>
        <v>45</v>
      </c>
      <c r="E105" s="125">
        <f t="shared" si="24"/>
        <v>2.3959183673469386</v>
      </c>
      <c r="F105" s="126">
        <f t="shared" si="25"/>
        <v>1</v>
      </c>
      <c r="G105" s="118">
        <f t="shared" si="27"/>
        <v>107.81632653061224</v>
      </c>
      <c r="H105" s="119">
        <f t="shared" si="28"/>
        <v>107.81632653061224</v>
      </c>
    </row>
    <row r="106" spans="1:8" ht="18" x14ac:dyDescent="0.3">
      <c r="A106" s="210"/>
      <c r="B106" s="197" t="s">
        <v>291</v>
      </c>
      <c r="C106" s="199" t="s">
        <v>277</v>
      </c>
      <c r="E106" s="199" t="s">
        <v>292</v>
      </c>
      <c r="G106" s="878" t="s">
        <v>268</v>
      </c>
      <c r="H106" s="878" t="s">
        <v>703</v>
      </c>
    </row>
    <row r="107" spans="1:8" ht="20" x14ac:dyDescent="0.4">
      <c r="A107" s="210"/>
      <c r="B107" s="198">
        <f>$J$54</f>
        <v>0</v>
      </c>
      <c r="C107" s="198">
        <f>E107+G107</f>
        <v>2348.0000000000005</v>
      </c>
      <c r="D107" s="915"/>
      <c r="E107" s="198">
        <f>$D$54*$S$44</f>
        <v>0</v>
      </c>
      <c r="F107" s="919"/>
      <c r="G107" s="198">
        <f>$D$54*$T$44</f>
        <v>2348.0000000000005</v>
      </c>
      <c r="H107" s="198">
        <f>B107+E107</f>
        <v>0</v>
      </c>
    </row>
  </sheetData>
  <mergeCells count="11">
    <mergeCell ref="AK2:AN3"/>
    <mergeCell ref="B86:H86"/>
    <mergeCell ref="B87:H87"/>
    <mergeCell ref="B62:H62"/>
    <mergeCell ref="B58:J58"/>
    <mergeCell ref="B63:H63"/>
    <mergeCell ref="B2:J3"/>
    <mergeCell ref="AE2:AG3"/>
    <mergeCell ref="R26:U26"/>
    <mergeCell ref="R25:U25"/>
    <mergeCell ref="B35:F35"/>
  </mergeCells>
  <printOptions horizontalCentered="1"/>
  <pageMargins left="0.5" right="0.5" top="1" bottom="0.5" header="0.3" footer="0.511811023622047"/>
  <pageSetup paperSize="9" scale="31" orientation="portrait" r:id="rId1"/>
  <legacyDrawing r:id="rId2"/>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tabColor theme="5" tint="-0.249977111117893"/>
    <pageSetUpPr fitToPage="1"/>
  </sheetPr>
  <dimension ref="A1:AT98"/>
  <sheetViews>
    <sheetView topLeftCell="J20" zoomScale="85" zoomScaleNormal="85" workbookViewId="0">
      <selection activeCell="Q43" sqref="Q43:T44"/>
    </sheetView>
  </sheetViews>
  <sheetFormatPr defaultColWidth="12.5" defaultRowHeight="14" x14ac:dyDescent="0.3"/>
  <cols>
    <col min="1" max="1" width="12.5" style="1" customWidth="1"/>
    <col min="2" max="2" width="34.9140625" customWidth="1"/>
    <col min="3" max="3" width="14.9140625" customWidth="1"/>
    <col min="4" max="4" width="19" customWidth="1"/>
    <col min="5" max="5" width="16.1640625" customWidth="1"/>
    <col min="6" max="6" width="23.08203125" customWidth="1"/>
    <col min="7" max="7" width="25.1640625" customWidth="1"/>
    <col min="8" max="8" width="36.1640625" customWidth="1"/>
    <col min="12" max="12" width="8.33203125" customWidth="1"/>
    <col min="13" max="14" width="3.08203125" customWidth="1"/>
    <col min="18" max="18" width="30.5" customWidth="1"/>
    <col min="29" max="29" width="11.75" bestFit="1" customWidth="1"/>
    <col min="30" max="30" width="13.25" bestFit="1" customWidth="1"/>
    <col min="31" max="31" width="10.08203125" bestFit="1" customWidth="1"/>
    <col min="32" max="32" width="11.33203125" bestFit="1" customWidth="1"/>
    <col min="33" max="34" width="4.4140625" customWidth="1"/>
    <col min="36" max="36" width="34.5" bestFit="1" customWidth="1"/>
  </cols>
  <sheetData>
    <row r="1" spans="1:46" ht="35.25" customHeight="1" x14ac:dyDescent="0.3">
      <c r="B1" s="79" t="s">
        <v>235</v>
      </c>
      <c r="C1" s="80">
        <v>1000</v>
      </c>
      <c r="D1" s="81" t="s">
        <v>236</v>
      </c>
      <c r="E1" s="116">
        <f>T32</f>
        <v>10988.717948717949</v>
      </c>
      <c r="F1" s="79" t="s">
        <v>237</v>
      </c>
      <c r="G1" s="120">
        <f>E1/C1</f>
        <v>10.98871794871795</v>
      </c>
      <c r="H1" s="79" t="s">
        <v>238</v>
      </c>
      <c r="I1" s="282">
        <f>G1/K1</f>
        <v>11.212977498691785</v>
      </c>
      <c r="J1" s="85" t="s">
        <v>239</v>
      </c>
      <c r="K1" s="537">
        <f>9.8/10</f>
        <v>0.98000000000000009</v>
      </c>
      <c r="L1" s="99"/>
      <c r="M1" s="88"/>
      <c r="N1" s="89"/>
      <c r="O1" s="90" t="s">
        <v>240</v>
      </c>
      <c r="P1" s="91" t="s">
        <v>303</v>
      </c>
      <c r="Q1" s="92" t="s">
        <v>242</v>
      </c>
      <c r="R1" s="91">
        <v>0.57999999999999996</v>
      </c>
      <c r="Y1" s="90" t="s">
        <v>463</v>
      </c>
      <c r="Z1" s="835">
        <v>18480</v>
      </c>
      <c r="AA1" s="90" t="s">
        <v>578</v>
      </c>
      <c r="AB1" s="835">
        <v>1000</v>
      </c>
      <c r="AC1" s="90" t="s">
        <v>567</v>
      </c>
      <c r="AD1" s="835">
        <v>126</v>
      </c>
      <c r="AE1" s="249"/>
      <c r="AF1" s="251"/>
      <c r="AG1" s="91"/>
      <c r="AI1" s="1"/>
      <c r="AJ1" s="93" t="s">
        <v>254</v>
      </c>
      <c r="AK1" s="93">
        <v>10000</v>
      </c>
      <c r="AL1" s="623" t="s">
        <v>505</v>
      </c>
      <c r="AM1" s="624">
        <f>$S$32</f>
        <v>14984.615384615387</v>
      </c>
      <c r="AN1" s="93" t="s">
        <v>243</v>
      </c>
      <c r="AO1" s="328">
        <f>((S32)/$R$1)/$AK$1</f>
        <v>2.5835543766578257</v>
      </c>
      <c r="AP1" s="95"/>
    </row>
    <row r="2" spans="1:46" ht="12.75" customHeight="1" x14ac:dyDescent="0.3">
      <c r="A2" s="264"/>
      <c r="B2" s="1450" t="s">
        <v>131</v>
      </c>
      <c r="C2" s="1458"/>
      <c r="D2" s="1458"/>
      <c r="E2" s="1458"/>
      <c r="F2" s="1458"/>
      <c r="G2" s="1458"/>
      <c r="H2" s="1458"/>
      <c r="I2" s="1458"/>
      <c r="J2" s="1458"/>
      <c r="K2" s="538"/>
      <c r="L2" s="292"/>
      <c r="M2" s="99"/>
      <c r="N2" s="99"/>
      <c r="O2" s="99"/>
      <c r="P2" s="99"/>
      <c r="Q2" s="99"/>
      <c r="R2" s="99"/>
      <c r="AC2" s="98"/>
      <c r="AD2" s="98"/>
      <c r="AE2" s="1457"/>
      <c r="AF2" s="1458"/>
      <c r="AG2" s="1458"/>
      <c r="AI2" s="1"/>
      <c r="AJ2" s="100"/>
      <c r="AK2" s="1442" t="s">
        <v>448</v>
      </c>
      <c r="AL2" s="1442"/>
      <c r="AM2" s="1442"/>
      <c r="AN2" s="1442"/>
      <c r="AO2" s="100"/>
      <c r="AP2" s="100"/>
    </row>
    <row r="3" spans="1:46" ht="12.75" customHeight="1" x14ac:dyDescent="0.3">
      <c r="A3" s="264"/>
      <c r="B3" s="1444"/>
      <c r="C3" s="1444"/>
      <c r="D3" s="1444"/>
      <c r="E3" s="1444"/>
      <c r="F3" s="1444"/>
      <c r="G3" s="1444"/>
      <c r="H3" s="1444"/>
      <c r="I3" s="1444"/>
      <c r="J3" s="1444"/>
      <c r="K3" s="538"/>
      <c r="L3" s="292"/>
      <c r="M3" s="99"/>
      <c r="N3" s="99"/>
      <c r="O3" s="99"/>
      <c r="P3" s="99"/>
      <c r="Q3" s="99"/>
      <c r="R3" s="99"/>
      <c r="AC3" s="98"/>
      <c r="AD3" s="98"/>
      <c r="AE3" s="1458"/>
      <c r="AF3" s="1458"/>
      <c r="AG3" s="1458"/>
      <c r="AI3" s="1"/>
      <c r="AJ3" s="100"/>
      <c r="AK3" s="100"/>
      <c r="AL3" s="100"/>
      <c r="AM3" s="100"/>
      <c r="AN3" s="1458"/>
      <c r="AO3" s="100"/>
      <c r="AP3" s="100"/>
    </row>
    <row r="4" spans="1:46" ht="46.5" customHeight="1" x14ac:dyDescent="0.3">
      <c r="A4" s="90" t="s">
        <v>1</v>
      </c>
      <c r="B4" s="90" t="s">
        <v>245</v>
      </c>
      <c r="C4" s="106" t="s">
        <v>246</v>
      </c>
      <c r="D4" s="90" t="s">
        <v>235</v>
      </c>
      <c r="E4" s="107" t="s">
        <v>238</v>
      </c>
      <c r="F4" s="107" t="s">
        <v>247</v>
      </c>
      <c r="G4" s="90" t="s">
        <v>248</v>
      </c>
      <c r="H4" s="106" t="s">
        <v>339</v>
      </c>
      <c r="I4" s="90" t="s">
        <v>250</v>
      </c>
      <c r="J4" s="90" t="s">
        <v>251</v>
      </c>
      <c r="K4" s="90" t="s">
        <v>252</v>
      </c>
      <c r="L4" s="90" t="s">
        <v>253</v>
      </c>
      <c r="M4" s="370"/>
      <c r="N4" s="370"/>
      <c r="O4" s="99"/>
      <c r="P4" s="99"/>
      <c r="Q4" s="99"/>
      <c r="R4" s="99"/>
      <c r="AC4" s="250"/>
      <c r="AD4" s="252"/>
      <c r="AE4" s="250"/>
      <c r="AF4" s="250"/>
      <c r="AG4" s="250"/>
      <c r="AI4" s="1"/>
      <c r="AJ4" s="93" t="s">
        <v>245</v>
      </c>
      <c r="AK4" s="527" t="s">
        <v>246</v>
      </c>
      <c r="AL4" s="93" t="s">
        <v>254</v>
      </c>
      <c r="AM4" s="93" t="s">
        <v>238</v>
      </c>
      <c r="AN4" s="93" t="s">
        <v>247</v>
      </c>
      <c r="AO4" s="93" t="s">
        <v>248</v>
      </c>
      <c r="AP4" s="93" t="s">
        <v>339</v>
      </c>
      <c r="AQ4" s="90" t="s">
        <v>250</v>
      </c>
      <c r="AR4" s="90" t="s">
        <v>251</v>
      </c>
      <c r="AS4" s="90" t="s">
        <v>252</v>
      </c>
      <c r="AT4" s="90" t="s">
        <v>253</v>
      </c>
    </row>
    <row r="5" spans="1:46" ht="20.25" customHeight="1" x14ac:dyDescent="0.3">
      <c r="A5" s="265" t="s">
        <v>225</v>
      </c>
      <c r="B5" s="383" t="s">
        <v>230</v>
      </c>
      <c r="C5" s="114" t="s">
        <v>14</v>
      </c>
      <c r="D5" s="120">
        <f>I51/10</f>
        <v>2351.2225705329156</v>
      </c>
      <c r="E5" s="116">
        <f>H52</f>
        <v>10.988131915015817</v>
      </c>
      <c r="F5" s="126">
        <v>1</v>
      </c>
      <c r="G5" s="118">
        <f t="shared" ref="G5:G17" si="0">D5*E5</f>
        <v>25835.543766578259</v>
      </c>
      <c r="H5" s="119">
        <f t="shared" ref="H5:H17" si="1">G5*F5</f>
        <v>25835.543766578259</v>
      </c>
      <c r="I5" s="80">
        <f>VLOOKUP(B5,All_Ingredients!$A$1:$F$149,6,FALSE())</f>
        <v>0.99</v>
      </c>
      <c r="J5" s="118">
        <f>VLOOKUP(B5,All_Ingredients!$A$1:$J$149,10,FALSE())</f>
        <v>11.75</v>
      </c>
      <c r="K5" s="121">
        <f t="shared" ref="K5" si="2">(H5/I5)/1000</f>
        <v>26.096508855129557</v>
      </c>
      <c r="L5" s="121">
        <f t="shared" ref="L5" si="3">K5*J5</f>
        <v>306.6339790477723</v>
      </c>
      <c r="M5" s="130"/>
      <c r="N5" s="130"/>
      <c r="O5" s="99"/>
      <c r="P5" s="99"/>
      <c r="Q5" s="99"/>
      <c r="R5" s="99"/>
      <c r="AC5" s="91"/>
      <c r="AD5" s="132"/>
      <c r="AE5" s="253"/>
      <c r="AF5" s="134"/>
      <c r="AG5" s="135"/>
      <c r="AI5" s="1"/>
      <c r="AJ5" s="383" t="s">
        <v>230</v>
      </c>
      <c r="AK5" s="123" t="s">
        <v>231</v>
      </c>
      <c r="AL5" s="124">
        <v>10</v>
      </c>
      <c r="AM5" s="222">
        <f t="shared" ref="AM5:AM14" si="4">$AO$1</f>
        <v>2.5835543766578257</v>
      </c>
      <c r="AN5" s="126">
        <v>1</v>
      </c>
      <c r="AO5" s="118">
        <f t="shared" ref="AO5:AO14" si="5">AL5*AM5</f>
        <v>25.835543766578258</v>
      </c>
      <c r="AP5" s="119">
        <f t="shared" ref="AP5:AP14" si="6">AO5*AN5</f>
        <v>25.835543766578258</v>
      </c>
      <c r="AQ5" s="294"/>
      <c r="AR5" s="1152"/>
      <c r="AS5" s="174"/>
      <c r="AT5" s="1153"/>
    </row>
    <row r="6" spans="1:46" ht="14.25" customHeight="1" x14ac:dyDescent="0.3">
      <c r="A6" s="269" t="s">
        <v>13</v>
      </c>
      <c r="B6" s="22" t="s">
        <v>12</v>
      </c>
      <c r="C6" s="123" t="s">
        <v>14</v>
      </c>
      <c r="D6" s="124">
        <v>200</v>
      </c>
      <c r="E6" s="222">
        <f t="shared" ref="E6:E17" si="7">$I$1</f>
        <v>11.212977498691785</v>
      </c>
      <c r="F6" s="126">
        <v>1</v>
      </c>
      <c r="G6" s="118">
        <f t="shared" si="0"/>
        <v>2242.5954997383569</v>
      </c>
      <c r="H6" s="119">
        <f t="shared" si="1"/>
        <v>2242.5954997383569</v>
      </c>
      <c r="I6" s="80">
        <f>VLOOKUP(B6,All_Ingredients!$A$1:$F$149,6,FALSE())</f>
        <v>0.9</v>
      </c>
      <c r="J6" s="118">
        <f>VLOOKUP(B6,All_Ingredients!$A$1:$J$149,10,FALSE())</f>
        <v>3</v>
      </c>
      <c r="K6" s="121">
        <f t="shared" ref="K6:K17" si="8">(H6/I6)/1000</f>
        <v>2.4917727774870633</v>
      </c>
      <c r="L6" s="121">
        <f t="shared" ref="L6:L17" si="9">K6*J6</f>
        <v>7.4753183324611898</v>
      </c>
      <c r="M6" s="130"/>
      <c r="N6" s="130"/>
      <c r="AI6" s="1" t="s">
        <v>95</v>
      </c>
      <c r="AJ6" s="322" t="s">
        <v>145</v>
      </c>
      <c r="AK6" s="123" t="s">
        <v>14</v>
      </c>
      <c r="AL6" s="124">
        <v>50</v>
      </c>
      <c r="AM6" s="222">
        <f t="shared" si="4"/>
        <v>2.5835543766578257</v>
      </c>
      <c r="AN6" s="126">
        <v>1</v>
      </c>
      <c r="AO6" s="118">
        <f t="shared" si="5"/>
        <v>129.17771883289129</v>
      </c>
      <c r="AP6" s="119">
        <f t="shared" si="6"/>
        <v>129.17771883289129</v>
      </c>
      <c r="AQ6" s="1153">
        <f>VLOOKUP(AJ6,Marination_Ordering!$A:$J,6,FALSE)</f>
        <v>1</v>
      </c>
      <c r="AR6" s="1153">
        <f>VLOOKUP(AJ6,Marination_Ordering!$A:$J,10,FALSE)</f>
        <v>18</v>
      </c>
      <c r="AS6" s="174">
        <f>AP6/AQ6</f>
        <v>129.17771883289129</v>
      </c>
      <c r="AT6" s="1153">
        <f>AR6*(AS6/1000)</f>
        <v>2.3251989389920431</v>
      </c>
    </row>
    <row r="7" spans="1:46" ht="14.25" customHeight="1" x14ac:dyDescent="0.3">
      <c r="A7" s="269" t="s">
        <v>13</v>
      </c>
      <c r="B7" s="22" t="s">
        <v>17</v>
      </c>
      <c r="C7" s="123" t="s">
        <v>14</v>
      </c>
      <c r="D7" s="124">
        <v>300</v>
      </c>
      <c r="E7" s="222">
        <f t="shared" si="7"/>
        <v>11.212977498691785</v>
      </c>
      <c r="F7" s="126">
        <v>1</v>
      </c>
      <c r="G7" s="118">
        <f t="shared" si="0"/>
        <v>3363.8932496075354</v>
      </c>
      <c r="H7" s="119">
        <f t="shared" si="1"/>
        <v>3363.8932496075354</v>
      </c>
      <c r="I7" s="80">
        <f>VLOOKUP(B7,All_Ingredients!$A$1:$F$149,6,FALSE())</f>
        <v>0.98</v>
      </c>
      <c r="J7" s="118">
        <f>VLOOKUP(B7,All_Ingredients!$A$1:$J$149,10,FALSE())</f>
        <v>3.5</v>
      </c>
      <c r="K7" s="121">
        <f t="shared" si="8"/>
        <v>3.4325441322525871</v>
      </c>
      <c r="L7" s="121">
        <f t="shared" si="9"/>
        <v>12.013904462884055</v>
      </c>
      <c r="M7" s="130"/>
      <c r="N7" s="130"/>
      <c r="AI7" s="1" t="s">
        <v>95</v>
      </c>
      <c r="AJ7" s="539" t="s">
        <v>150</v>
      </c>
      <c r="AK7" s="123" t="s">
        <v>14</v>
      </c>
      <c r="AL7" s="124">
        <v>50</v>
      </c>
      <c r="AM7" s="222">
        <f t="shared" si="4"/>
        <v>2.5835543766578257</v>
      </c>
      <c r="AN7" s="126">
        <v>1</v>
      </c>
      <c r="AO7" s="118">
        <f t="shared" si="5"/>
        <v>129.17771883289129</v>
      </c>
      <c r="AP7" s="119">
        <f t="shared" si="6"/>
        <v>129.17771883289129</v>
      </c>
      <c r="AQ7" s="1153">
        <f>VLOOKUP(AJ7,Marination_Ordering!$A:$J,6,FALSE)</f>
        <v>1</v>
      </c>
      <c r="AR7" s="1153">
        <f>VLOOKUP(AJ7,Marination_Ordering!$A:$J,10,FALSE)</f>
        <v>10</v>
      </c>
      <c r="AS7" s="174">
        <f t="shared" ref="AS7:AS8" si="10">AP7/AQ7</f>
        <v>129.17771883289129</v>
      </c>
      <c r="AT7" s="1153">
        <f t="shared" ref="AT7:AT8" si="11">AR7*(AS7/1000)</f>
        <v>1.2917771883289129</v>
      </c>
    </row>
    <row r="8" spans="1:46" ht="14.25" customHeight="1" x14ac:dyDescent="0.3">
      <c r="A8" s="269" t="s">
        <v>13</v>
      </c>
      <c r="B8" s="531" t="s">
        <v>762</v>
      </c>
      <c r="C8" s="123" t="s">
        <v>14</v>
      </c>
      <c r="D8" s="124">
        <v>40</v>
      </c>
      <c r="E8" s="222">
        <f t="shared" si="7"/>
        <v>11.212977498691785</v>
      </c>
      <c r="F8" s="126">
        <v>1</v>
      </c>
      <c r="G8" s="118">
        <f t="shared" si="0"/>
        <v>448.51909994767141</v>
      </c>
      <c r="H8" s="119">
        <f t="shared" si="1"/>
        <v>448.51909994767141</v>
      </c>
      <c r="I8" s="80">
        <f>VLOOKUP(B8,All_Ingredients!$A$1:$F$149,6,FALSE())</f>
        <v>1</v>
      </c>
      <c r="J8" s="118">
        <f>VLOOKUP(B8,All_Ingredients!$A$1:$J$149,10,FALSE())</f>
        <v>10.5</v>
      </c>
      <c r="K8" s="121">
        <f t="shared" si="8"/>
        <v>0.44851909994767142</v>
      </c>
      <c r="L8" s="121">
        <f t="shared" si="9"/>
        <v>4.7094505494505503</v>
      </c>
      <c r="M8" s="130"/>
      <c r="N8" s="130"/>
      <c r="AI8" s="1" t="s">
        <v>95</v>
      </c>
      <c r="AJ8" s="539" t="s">
        <v>106</v>
      </c>
      <c r="AK8" s="123" t="s">
        <v>14</v>
      </c>
      <c r="AL8" s="124">
        <v>50</v>
      </c>
      <c r="AM8" s="222">
        <f t="shared" si="4"/>
        <v>2.5835543766578257</v>
      </c>
      <c r="AN8" s="126">
        <v>1</v>
      </c>
      <c r="AO8" s="118">
        <f t="shared" si="5"/>
        <v>129.17771883289129</v>
      </c>
      <c r="AP8" s="119">
        <f t="shared" si="6"/>
        <v>129.17771883289129</v>
      </c>
      <c r="AQ8" s="1153">
        <f>VLOOKUP(AJ8,Marination_Ordering!$A:$J,6,FALSE)</f>
        <v>1</v>
      </c>
      <c r="AR8" s="1153">
        <f>VLOOKUP(AJ8,Marination_Ordering!$A:$J,10,FALSE)</f>
        <v>15</v>
      </c>
      <c r="AS8" s="174">
        <f t="shared" si="10"/>
        <v>129.17771883289129</v>
      </c>
      <c r="AT8" s="1153">
        <f t="shared" si="11"/>
        <v>1.9376657824933692</v>
      </c>
    </row>
    <row r="9" spans="1:46" ht="14.25" customHeight="1" x14ac:dyDescent="0.3">
      <c r="A9" s="269" t="s">
        <v>95</v>
      </c>
      <c r="B9" s="531" t="s">
        <v>100</v>
      </c>
      <c r="C9" s="123" t="s">
        <v>14</v>
      </c>
      <c r="D9" s="124">
        <v>3</v>
      </c>
      <c r="E9" s="222">
        <f t="shared" si="7"/>
        <v>11.212977498691785</v>
      </c>
      <c r="F9" s="126">
        <v>1</v>
      </c>
      <c r="G9" s="118">
        <f t="shared" si="0"/>
        <v>33.638932496075356</v>
      </c>
      <c r="H9" s="119">
        <f t="shared" si="1"/>
        <v>33.638932496075356</v>
      </c>
      <c r="I9" s="80">
        <f>VLOOKUP(B9,All_Ingredients!$A$1:$F$149,6,FALSE())</f>
        <v>1</v>
      </c>
      <c r="J9" s="118">
        <f>VLOOKUP(B9,All_Ingredients!$A$1:$J$149,10,FALSE())</f>
        <v>31</v>
      </c>
      <c r="K9" s="121">
        <f t="shared" si="8"/>
        <v>3.3638932496075358E-2</v>
      </c>
      <c r="L9" s="121">
        <f t="shared" si="9"/>
        <v>1.0428069073783361</v>
      </c>
      <c r="M9" s="130"/>
      <c r="N9" s="130"/>
      <c r="AI9" s="1" t="s">
        <v>95</v>
      </c>
      <c r="AJ9" s="373" t="s">
        <v>760</v>
      </c>
      <c r="AK9" s="123" t="s">
        <v>14</v>
      </c>
      <c r="AL9" s="124">
        <v>100</v>
      </c>
      <c r="AM9" s="222">
        <f t="shared" si="4"/>
        <v>2.5835543766578257</v>
      </c>
      <c r="AN9" s="126">
        <v>1</v>
      </c>
      <c r="AO9" s="118">
        <f t="shared" si="5"/>
        <v>258.35543766578257</v>
      </c>
      <c r="AP9" s="119">
        <f t="shared" si="6"/>
        <v>258.35543766578257</v>
      </c>
      <c r="AQ9" s="1153">
        <f>VLOOKUP(AJ9,Marination_Ordering!$A:$J,6,FALSE)</f>
        <v>1</v>
      </c>
      <c r="AR9" s="1153">
        <f>VLOOKUP(AJ9,Marination_Ordering!$A:$J,10,FALSE)</f>
        <v>43.333333333333336</v>
      </c>
      <c r="AS9" s="174">
        <f t="shared" ref="AS9:AS14" si="12">AP9/AQ9</f>
        <v>258.35543766578257</v>
      </c>
      <c r="AT9" s="1153">
        <f t="shared" ref="AT9:AT14" si="13">AR9*(AS9/1000)</f>
        <v>11.195402298850578</v>
      </c>
    </row>
    <row r="10" spans="1:46" ht="14.25" customHeight="1" x14ac:dyDescent="0.3">
      <c r="A10" s="269" t="s">
        <v>95</v>
      </c>
      <c r="B10" s="531" t="s">
        <v>106</v>
      </c>
      <c r="C10" s="123" t="s">
        <v>14</v>
      </c>
      <c r="D10" s="124">
        <v>4</v>
      </c>
      <c r="E10" s="222">
        <f t="shared" si="7"/>
        <v>11.212977498691785</v>
      </c>
      <c r="F10" s="126">
        <v>1</v>
      </c>
      <c r="G10" s="118">
        <f t="shared" si="0"/>
        <v>44.851909994767141</v>
      </c>
      <c r="H10" s="119">
        <f t="shared" si="1"/>
        <v>44.851909994767141</v>
      </c>
      <c r="I10" s="80">
        <f>VLOOKUP(B10,All_Ingredients!$A$1:$F$149,6,FALSE())</f>
        <v>1</v>
      </c>
      <c r="J10" s="118">
        <f>VLOOKUP(B10,All_Ingredients!$A$1:$J$149,10,FALSE())</f>
        <v>15</v>
      </c>
      <c r="K10" s="121">
        <f t="shared" si="8"/>
        <v>4.4851909994767139E-2</v>
      </c>
      <c r="L10" s="121">
        <f t="shared" si="9"/>
        <v>0.67277864992150704</v>
      </c>
      <c r="M10" s="130"/>
      <c r="N10" s="130"/>
      <c r="AI10" s="1" t="s">
        <v>95</v>
      </c>
      <c r="AJ10" s="539" t="s">
        <v>94</v>
      </c>
      <c r="AK10" s="123" t="s">
        <v>14</v>
      </c>
      <c r="AL10" s="124">
        <v>25</v>
      </c>
      <c r="AM10" s="222">
        <f t="shared" si="4"/>
        <v>2.5835543766578257</v>
      </c>
      <c r="AN10" s="126">
        <v>1</v>
      </c>
      <c r="AO10" s="118">
        <f t="shared" si="5"/>
        <v>64.588859416445644</v>
      </c>
      <c r="AP10" s="119">
        <f t="shared" si="6"/>
        <v>64.588859416445644</v>
      </c>
      <c r="AQ10" s="1153">
        <f>VLOOKUP(AJ10,Marination_Ordering!$A:$J,6,FALSE)</f>
        <v>1</v>
      </c>
      <c r="AR10" s="1153">
        <f>VLOOKUP(AJ10,Marination_Ordering!$A:$J,10,FALSE)</f>
        <v>0.74</v>
      </c>
      <c r="AS10" s="174">
        <f t="shared" si="12"/>
        <v>64.588859416445644</v>
      </c>
      <c r="AT10" s="1153">
        <f t="shared" si="13"/>
        <v>4.7795755968169776E-2</v>
      </c>
    </row>
    <row r="11" spans="1:46" ht="14.25" customHeight="1" x14ac:dyDescent="0.3">
      <c r="A11" s="269" t="s">
        <v>95</v>
      </c>
      <c r="B11" s="531" t="s">
        <v>108</v>
      </c>
      <c r="C11" s="123" t="s">
        <v>14</v>
      </c>
      <c r="D11" s="124">
        <v>6</v>
      </c>
      <c r="E11" s="222">
        <f t="shared" si="7"/>
        <v>11.212977498691785</v>
      </c>
      <c r="F11" s="126">
        <v>1</v>
      </c>
      <c r="G11" s="118">
        <f t="shared" si="0"/>
        <v>67.277864992150711</v>
      </c>
      <c r="H11" s="119">
        <f t="shared" si="1"/>
        <v>67.277864992150711</v>
      </c>
      <c r="I11" s="80">
        <f>VLOOKUP(B11,All_Ingredients!$A$1:$F$149,6,FALSE())</f>
        <v>1</v>
      </c>
      <c r="J11" s="118">
        <f>VLOOKUP(B11,All_Ingredients!$A$1:$J$149,10,FALSE())</f>
        <v>8</v>
      </c>
      <c r="K11" s="121">
        <f t="shared" si="8"/>
        <v>6.7277864992150715E-2</v>
      </c>
      <c r="L11" s="121">
        <f t="shared" si="9"/>
        <v>0.53822291993720572</v>
      </c>
      <c r="M11" s="130"/>
      <c r="N11" s="130"/>
      <c r="AI11" s="1" t="s">
        <v>95</v>
      </c>
      <c r="AJ11" s="539" t="s">
        <v>100</v>
      </c>
      <c r="AK11" s="123" t="s">
        <v>14</v>
      </c>
      <c r="AL11" s="124">
        <v>25</v>
      </c>
      <c r="AM11" s="222">
        <f t="shared" si="4"/>
        <v>2.5835543766578257</v>
      </c>
      <c r="AN11" s="126">
        <v>1</v>
      </c>
      <c r="AO11" s="118">
        <f t="shared" si="5"/>
        <v>64.588859416445644</v>
      </c>
      <c r="AP11" s="119">
        <f t="shared" si="6"/>
        <v>64.588859416445644</v>
      </c>
      <c r="AQ11" s="1153">
        <f>VLOOKUP(AJ11,Marination_Ordering!$A:$J,6,FALSE)</f>
        <v>1</v>
      </c>
      <c r="AR11" s="1153">
        <f>VLOOKUP(AJ11,Marination_Ordering!$A:$J,10,FALSE)</f>
        <v>31</v>
      </c>
      <c r="AS11" s="174">
        <f t="shared" si="12"/>
        <v>64.588859416445644</v>
      </c>
      <c r="AT11" s="1153">
        <f t="shared" si="13"/>
        <v>2.0022546419098148</v>
      </c>
    </row>
    <row r="12" spans="1:46" ht="14.25" customHeight="1" x14ac:dyDescent="0.3">
      <c r="A12" s="269" t="s">
        <v>95</v>
      </c>
      <c r="B12" s="531" t="s">
        <v>123</v>
      </c>
      <c r="C12" s="123" t="s">
        <v>14</v>
      </c>
      <c r="D12" s="124">
        <v>5</v>
      </c>
      <c r="E12" s="222">
        <f t="shared" si="7"/>
        <v>11.212977498691785</v>
      </c>
      <c r="F12" s="126">
        <v>0.9</v>
      </c>
      <c r="G12" s="118">
        <f t="shared" si="0"/>
        <v>56.064887493458926</v>
      </c>
      <c r="H12" s="119">
        <f t="shared" si="1"/>
        <v>50.458398744113033</v>
      </c>
      <c r="I12" s="80">
        <f>VLOOKUP(B12,All_Ingredients!$A$1:$F$149,6,FALSE())</f>
        <v>1</v>
      </c>
      <c r="J12" s="118">
        <f>VLOOKUP(B12,All_Ingredients!$A$1:$J$149,10,FALSE())</f>
        <v>14</v>
      </c>
      <c r="K12" s="121">
        <f t="shared" si="8"/>
        <v>5.0458398744113037E-2</v>
      </c>
      <c r="L12" s="121">
        <f t="shared" si="9"/>
        <v>0.70641758241758246</v>
      </c>
      <c r="M12" s="130"/>
      <c r="N12" s="130"/>
      <c r="AI12" s="1" t="s">
        <v>95</v>
      </c>
      <c r="AJ12" s="539" t="s">
        <v>108</v>
      </c>
      <c r="AK12" s="123" t="s">
        <v>14</v>
      </c>
      <c r="AL12" s="124">
        <v>50</v>
      </c>
      <c r="AM12" s="222">
        <f t="shared" si="4"/>
        <v>2.5835543766578257</v>
      </c>
      <c r="AN12" s="126">
        <v>1</v>
      </c>
      <c r="AO12" s="118">
        <f t="shared" si="5"/>
        <v>129.17771883289129</v>
      </c>
      <c r="AP12" s="119">
        <f t="shared" si="6"/>
        <v>129.17771883289129</v>
      </c>
      <c r="AQ12" s="1153">
        <f>VLOOKUP(AJ12,Marination_Ordering!$A:$J,6,FALSE)</f>
        <v>1</v>
      </c>
      <c r="AR12" s="1153">
        <f>VLOOKUP(AJ12,Marination_Ordering!$A:$J,10,FALSE)</f>
        <v>8</v>
      </c>
      <c r="AS12" s="174">
        <f t="shared" si="12"/>
        <v>129.17771883289129</v>
      </c>
      <c r="AT12" s="1153">
        <f t="shared" si="13"/>
        <v>1.0334217506631302</v>
      </c>
    </row>
    <row r="13" spans="1:46" ht="14.25" customHeight="1" x14ac:dyDescent="0.3">
      <c r="A13" s="269" t="s">
        <v>95</v>
      </c>
      <c r="B13" s="531" t="s">
        <v>94</v>
      </c>
      <c r="C13" s="123" t="s">
        <v>14</v>
      </c>
      <c r="D13" s="124">
        <v>11</v>
      </c>
      <c r="E13" s="222">
        <f t="shared" si="7"/>
        <v>11.212977498691785</v>
      </c>
      <c r="F13" s="126">
        <v>0.75</v>
      </c>
      <c r="G13" s="118">
        <f t="shared" si="0"/>
        <v>123.34275248560964</v>
      </c>
      <c r="H13" s="119">
        <f t="shared" si="1"/>
        <v>92.507064364207224</v>
      </c>
      <c r="I13" s="80">
        <f>VLOOKUP(B13,All_Ingredients!$A$1:$F$149,6,FALSE())</f>
        <v>1</v>
      </c>
      <c r="J13" s="118">
        <f>VLOOKUP(B13,All_Ingredients!$A$1:$J$149,10,FALSE())</f>
        <v>0.74</v>
      </c>
      <c r="K13" s="121">
        <f t="shared" si="8"/>
        <v>9.250706436420722E-2</v>
      </c>
      <c r="L13" s="121">
        <f t="shared" si="9"/>
        <v>6.8455227629513338E-2</v>
      </c>
      <c r="M13" s="130"/>
      <c r="N13" s="130"/>
      <c r="AI13" s="1" t="s">
        <v>95</v>
      </c>
      <c r="AJ13" s="373" t="s">
        <v>119</v>
      </c>
      <c r="AK13" s="123" t="s">
        <v>14</v>
      </c>
      <c r="AL13" s="124">
        <v>50</v>
      </c>
      <c r="AM13" s="222">
        <f t="shared" si="4"/>
        <v>2.5835543766578257</v>
      </c>
      <c r="AN13" s="126">
        <v>1</v>
      </c>
      <c r="AO13" s="118">
        <f t="shared" si="5"/>
        <v>129.17771883289129</v>
      </c>
      <c r="AP13" s="119">
        <f t="shared" si="6"/>
        <v>129.17771883289129</v>
      </c>
      <c r="AQ13" s="1153">
        <f>VLOOKUP(AJ13,Marination_Ordering!$A:$J,6,FALSE)</f>
        <v>1</v>
      </c>
      <c r="AR13" s="1153">
        <f>VLOOKUP(AJ13,Marination_Ordering!$A:$J,10,FALSE)</f>
        <v>15</v>
      </c>
      <c r="AS13" s="174">
        <f t="shared" si="12"/>
        <v>129.17771883289129</v>
      </c>
      <c r="AT13" s="1153">
        <f t="shared" si="13"/>
        <v>1.9376657824933692</v>
      </c>
    </row>
    <row r="14" spans="1:46" ht="14.25" customHeight="1" x14ac:dyDescent="0.3">
      <c r="A14" s="269" t="s">
        <v>192</v>
      </c>
      <c r="B14" s="531" t="s">
        <v>731</v>
      </c>
      <c r="C14" s="123" t="s">
        <v>14</v>
      </c>
      <c r="D14" s="124">
        <v>300</v>
      </c>
      <c r="E14" s="222">
        <f t="shared" si="7"/>
        <v>11.212977498691785</v>
      </c>
      <c r="F14" s="126">
        <v>1</v>
      </c>
      <c r="G14" s="118">
        <f t="shared" si="0"/>
        <v>3363.8932496075354</v>
      </c>
      <c r="H14" s="119">
        <f t="shared" si="1"/>
        <v>3363.8932496075354</v>
      </c>
      <c r="I14" s="80">
        <f>VLOOKUP(B14,All_Ingredients!$A$1:$F$149,6,FALSE())</f>
        <v>1</v>
      </c>
      <c r="J14" s="118">
        <f>VLOOKUP(B14,All_Ingredients!$A$1:$J$149,10,FALSE())</f>
        <v>8.1520833333333336</v>
      </c>
      <c r="K14" s="121">
        <f t="shared" si="8"/>
        <v>3.3638932496075356</v>
      </c>
      <c r="L14" s="121">
        <f t="shared" si="9"/>
        <v>27.422738095238099</v>
      </c>
      <c r="M14" s="130"/>
      <c r="N14" s="130"/>
      <c r="AI14" s="1" t="s">
        <v>62</v>
      </c>
      <c r="AJ14" s="539" t="s">
        <v>65</v>
      </c>
      <c r="AK14" s="123" t="s">
        <v>14</v>
      </c>
      <c r="AL14" s="124">
        <v>100</v>
      </c>
      <c r="AM14" s="222">
        <f t="shared" si="4"/>
        <v>2.5835543766578257</v>
      </c>
      <c r="AN14" s="126">
        <v>1</v>
      </c>
      <c r="AO14" s="118">
        <f t="shared" si="5"/>
        <v>258.35543766578257</v>
      </c>
      <c r="AP14" s="119">
        <f t="shared" si="6"/>
        <v>258.35543766578257</v>
      </c>
      <c r="AQ14" s="1153">
        <f>VLOOKUP(AJ14,Marination_Ordering!$A:$J,6,FALSE)</f>
        <v>0.65</v>
      </c>
      <c r="AR14" s="1153">
        <f>VLOOKUP(AJ14,Marination_Ordering!$A:$J,10,FALSE)</f>
        <v>3.5</v>
      </c>
      <c r="AS14" s="174">
        <f t="shared" si="12"/>
        <v>397.46990410120395</v>
      </c>
      <c r="AT14" s="1153">
        <f t="shared" si="13"/>
        <v>1.391144664354214</v>
      </c>
    </row>
    <row r="15" spans="1:46" ht="14.25" customHeight="1" x14ac:dyDescent="0.3">
      <c r="A15" s="269" t="s">
        <v>188</v>
      </c>
      <c r="B15" s="531" t="s">
        <v>189</v>
      </c>
      <c r="C15" s="123" t="s">
        <v>14</v>
      </c>
      <c r="D15" s="124">
        <v>50</v>
      </c>
      <c r="E15" s="222">
        <f t="shared" si="7"/>
        <v>11.212977498691785</v>
      </c>
      <c r="F15" s="126">
        <v>1</v>
      </c>
      <c r="G15" s="118">
        <f t="shared" si="0"/>
        <v>560.64887493458923</v>
      </c>
      <c r="H15" s="119">
        <f t="shared" si="1"/>
        <v>560.64887493458923</v>
      </c>
      <c r="I15" s="80">
        <f>VLOOKUP(B15,All_Ingredients!$A$1:$F$149,6,FALSE())</f>
        <v>0.9</v>
      </c>
      <c r="J15" s="118">
        <f>VLOOKUP(B15,All_Ingredients!$A$1:$J$149,10,FALSE())</f>
        <v>2.3199999999999998</v>
      </c>
      <c r="K15" s="121">
        <f t="shared" si="8"/>
        <v>0.62294319437176582</v>
      </c>
      <c r="L15" s="121">
        <f t="shared" si="9"/>
        <v>1.4452282109424965</v>
      </c>
      <c r="M15" s="130"/>
      <c r="N15" s="130"/>
    </row>
    <row r="16" spans="1:46" ht="14.25" customHeight="1" x14ac:dyDescent="0.3">
      <c r="A16" s="269" t="s">
        <v>154</v>
      </c>
      <c r="B16" s="531" t="s">
        <v>153</v>
      </c>
      <c r="C16" s="123" t="s">
        <v>14</v>
      </c>
      <c r="D16" s="124">
        <v>25</v>
      </c>
      <c r="E16" s="222">
        <f t="shared" si="7"/>
        <v>11.212977498691785</v>
      </c>
      <c r="F16" s="126">
        <v>1</v>
      </c>
      <c r="G16" s="118">
        <f t="shared" si="0"/>
        <v>280.32443746729462</v>
      </c>
      <c r="H16" s="119">
        <f t="shared" si="1"/>
        <v>280.32443746729462</v>
      </c>
      <c r="I16" s="80">
        <f>VLOOKUP(B16,All_Ingredients!$A$1:$F$149,6,FALSE())</f>
        <v>1</v>
      </c>
      <c r="J16" s="118">
        <f>VLOOKUP(B16,All_Ingredients!$A$1:$J$149,10,FALSE())</f>
        <v>30</v>
      </c>
      <c r="K16" s="121">
        <f t="shared" si="8"/>
        <v>0.28032443746729463</v>
      </c>
      <c r="L16" s="121">
        <f t="shared" si="9"/>
        <v>8.4097331240188389</v>
      </c>
      <c r="M16" s="130"/>
      <c r="N16" s="130"/>
      <c r="T16" s="1225"/>
    </row>
    <row r="17" spans="1:32" ht="14.25" customHeight="1" x14ac:dyDescent="0.3">
      <c r="A17" s="540" t="s">
        <v>95</v>
      </c>
      <c r="B17" s="541" t="s">
        <v>140</v>
      </c>
      <c r="C17" s="123" t="s">
        <v>14</v>
      </c>
      <c r="D17" s="419">
        <v>10</v>
      </c>
      <c r="E17" s="542">
        <f t="shared" si="7"/>
        <v>11.212977498691785</v>
      </c>
      <c r="F17" s="444">
        <v>0.75</v>
      </c>
      <c r="G17" s="452">
        <f t="shared" si="0"/>
        <v>112.12977498691785</v>
      </c>
      <c r="H17" s="446">
        <f t="shared" si="1"/>
        <v>84.097331240188396</v>
      </c>
      <c r="I17" s="80">
        <f>VLOOKUP(B17,All_Ingredients!$A$1:$F$149,6,FALSE())</f>
        <v>1</v>
      </c>
      <c r="J17" s="118">
        <f>VLOOKUP(B17,All_Ingredients!$A$1:$J$149,10,FALSE())</f>
        <v>15.277777777777779</v>
      </c>
      <c r="K17" s="121">
        <f t="shared" si="8"/>
        <v>8.4097331240188394E-2</v>
      </c>
      <c r="L17" s="121">
        <f t="shared" si="9"/>
        <v>1.2848203383917671</v>
      </c>
      <c r="M17" s="130"/>
      <c r="N17" s="130"/>
    </row>
    <row r="18" spans="1:32" ht="14.25" customHeight="1" x14ac:dyDescent="0.3">
      <c r="A18" s="543"/>
      <c r="B18" s="357"/>
      <c r="C18" s="357"/>
      <c r="D18" s="357"/>
      <c r="E18" s="357"/>
      <c r="F18" s="359"/>
      <c r="G18" s="421"/>
      <c r="H18" s="361"/>
      <c r="I18" s="421"/>
      <c r="J18" s="486"/>
      <c r="K18" s="421"/>
      <c r="L18" s="208"/>
    </row>
    <row r="19" spans="1:32" ht="14.25" customHeight="1" x14ac:dyDescent="0.3">
      <c r="B19" s="253"/>
      <c r="C19" s="253"/>
      <c r="D19" s="253"/>
      <c r="E19" s="253"/>
      <c r="F19" s="135"/>
      <c r="G19" s="91"/>
      <c r="H19" s="137"/>
      <c r="I19" s="91"/>
      <c r="J19" s="138"/>
      <c r="K19" s="91"/>
      <c r="L19" s="208"/>
    </row>
    <row r="20" spans="1:32" ht="14.25" customHeight="1" x14ac:dyDescent="0.3">
      <c r="I20" s="91"/>
      <c r="J20" s="138"/>
      <c r="K20" s="91"/>
      <c r="L20" s="208"/>
    </row>
    <row r="21" spans="1:32" ht="14.25" customHeight="1" x14ac:dyDescent="0.3">
      <c r="I21" s="91"/>
      <c r="J21" s="138"/>
      <c r="K21" s="91"/>
      <c r="L21" s="208"/>
    </row>
    <row r="22" spans="1:32" ht="14.25" customHeight="1" x14ac:dyDescent="0.3">
      <c r="I22" s="91"/>
      <c r="J22" s="138"/>
      <c r="K22" s="91"/>
      <c r="L22" s="208"/>
    </row>
    <row r="23" spans="1:32" ht="14.25" customHeight="1" x14ac:dyDescent="0.3">
      <c r="I23" s="91"/>
      <c r="J23" s="138"/>
      <c r="K23" s="91"/>
      <c r="L23" s="208"/>
    </row>
    <row r="24" spans="1:32" ht="14.25" customHeight="1" x14ac:dyDescent="0.3">
      <c r="B24" s="99"/>
      <c r="C24" s="849"/>
      <c r="D24" s="849"/>
      <c r="E24" s="849"/>
      <c r="F24" s="849"/>
      <c r="G24" s="849"/>
      <c r="I24" s="91"/>
      <c r="J24" s="138"/>
      <c r="K24" s="91"/>
      <c r="L24" s="208"/>
      <c r="V24" s="14"/>
      <c r="Z24" s="1265"/>
    </row>
    <row r="25" spans="1:32" ht="14.25" customHeight="1" x14ac:dyDescent="0.35">
      <c r="B25" s="370"/>
      <c r="C25" s="347"/>
      <c r="D25" s="263"/>
      <c r="E25" s="370"/>
      <c r="F25" s="370"/>
      <c r="G25" s="263"/>
      <c r="H25" s="55"/>
      <c r="I25" s="91"/>
      <c r="J25" s="138"/>
      <c r="K25" s="91"/>
      <c r="L25" s="208"/>
      <c r="R25" s="1440" t="s">
        <v>448</v>
      </c>
      <c r="S25" s="1444"/>
      <c r="T25" s="1444"/>
      <c r="U25" s="1444"/>
      <c r="V25" s="1132"/>
      <c r="Z25" s="140" t="s">
        <v>256</v>
      </c>
      <c r="AA25" s="141">
        <v>1</v>
      </c>
      <c r="AB25" s="140" t="s">
        <v>253</v>
      </c>
      <c r="AC25" s="142">
        <f>(AF30*(4/3)*AA25)+(AA30*(AB28/R1))</f>
        <v>2.0358665073773735E-2</v>
      </c>
      <c r="AD25" s="14"/>
    </row>
    <row r="26" spans="1:32" ht="14.25" customHeight="1" x14ac:dyDescent="0.3">
      <c r="B26" s="370"/>
      <c r="C26" s="347"/>
      <c r="D26" s="263"/>
      <c r="E26" s="370"/>
      <c r="F26" s="370"/>
      <c r="G26" s="263"/>
      <c r="H26" s="55"/>
      <c r="I26" s="91"/>
      <c r="J26" s="138"/>
      <c r="K26" s="91"/>
      <c r="L26" s="208"/>
      <c r="R26" s="1459" t="s">
        <v>257</v>
      </c>
      <c r="S26" s="1444"/>
      <c r="T26" s="1444"/>
      <c r="U26" s="1444"/>
      <c r="V26" s="1132"/>
      <c r="Z26" s="14"/>
      <c r="AA26" s="14"/>
      <c r="AB26" s="14"/>
      <c r="AC26" s="14"/>
      <c r="AD26" s="14"/>
    </row>
    <row r="27" spans="1:32" ht="14.25" customHeight="1" thickBot="1" x14ac:dyDescent="0.35">
      <c r="I27" s="91"/>
      <c r="J27" s="138"/>
      <c r="K27" s="91"/>
      <c r="L27" s="208"/>
      <c r="R27" s="144" t="s">
        <v>258</v>
      </c>
      <c r="S27" s="145" t="s">
        <v>449</v>
      </c>
      <c r="T27" s="145" t="s">
        <v>260</v>
      </c>
      <c r="U27" s="145" t="s">
        <v>261</v>
      </c>
      <c r="V27" s="145" t="s">
        <v>808</v>
      </c>
      <c r="W27" s="145" t="s">
        <v>817</v>
      </c>
      <c r="Z27" s="140" t="s">
        <v>262</v>
      </c>
      <c r="AA27" s="1166" t="s">
        <v>316</v>
      </c>
      <c r="AB27" s="146" t="s">
        <v>263</v>
      </c>
      <c r="AC27" s="146" t="s">
        <v>264</v>
      </c>
      <c r="AD27" s="146" t="s">
        <v>265</v>
      </c>
      <c r="AE27" s="1167" t="s">
        <v>817</v>
      </c>
      <c r="AF27" s="146" t="s">
        <v>266</v>
      </c>
    </row>
    <row r="28" spans="1:32" ht="14.25" customHeight="1" thickBot="1" x14ac:dyDescent="0.35">
      <c r="I28" s="91"/>
      <c r="J28" s="138"/>
      <c r="K28" s="91"/>
      <c r="L28" s="208"/>
      <c r="R28" s="147" t="s">
        <v>267</v>
      </c>
      <c r="S28" s="754">
        <f>U28*S40</f>
        <v>14215.384615384617</v>
      </c>
      <c r="T28" s="754">
        <f>U28*U40</f>
        <v>4264.6153846153848</v>
      </c>
      <c r="U28" s="760">
        <f>$Z$1</f>
        <v>18480</v>
      </c>
      <c r="V28" s="148">
        <f>SUM(AP5:AP13)</f>
        <v>1059.2572944297085</v>
      </c>
      <c r="W28" s="148">
        <f>SUM(H37:H38)</f>
        <v>134.82</v>
      </c>
      <c r="Z28" s="150"/>
      <c r="AA28" s="1169"/>
      <c r="AB28" s="151">
        <f>AA25*$S$40</f>
        <v>0.76923076923076927</v>
      </c>
      <c r="AC28" s="151">
        <f>AA25*$U$40</f>
        <v>0.23076923076923078</v>
      </c>
      <c r="AD28" s="152">
        <f>AA25*(1/3)</f>
        <v>0.33333333333333331</v>
      </c>
      <c r="AE28" s="1169"/>
      <c r="AF28" s="153">
        <f>SUM(AB28:AD28)</f>
        <v>1.3333333333333333</v>
      </c>
    </row>
    <row r="29" spans="1:32" ht="14.25" customHeight="1" thickBot="1" x14ac:dyDescent="0.35">
      <c r="I29" s="91"/>
      <c r="J29" s="138"/>
      <c r="K29" s="91"/>
      <c r="L29" s="208"/>
      <c r="R29" s="147" t="s">
        <v>268</v>
      </c>
      <c r="S29" s="756"/>
      <c r="T29" s="148">
        <f>U28*(1/3)</f>
        <v>6160</v>
      </c>
      <c r="U29" s="754">
        <f>T29</f>
        <v>6160</v>
      </c>
      <c r="V29" s="148"/>
      <c r="W29" s="148"/>
      <c r="Z29" s="150"/>
      <c r="AA29" s="1173"/>
      <c r="AB29" s="155">
        <f>AB28/$AF$28</f>
        <v>0.57692307692307698</v>
      </c>
      <c r="AC29" s="155">
        <f>AC28/$AF$28</f>
        <v>0.1730769230769231</v>
      </c>
      <c r="AD29" s="155">
        <f>AD28/$AF$28</f>
        <v>0.25</v>
      </c>
      <c r="AE29" s="1173"/>
      <c r="AF29" s="155">
        <f>AF28/$AF$28</f>
        <v>1</v>
      </c>
    </row>
    <row r="30" spans="1:32" ht="14.25" customHeight="1" thickBot="1" x14ac:dyDescent="0.35">
      <c r="I30" s="91"/>
      <c r="J30" s="138"/>
      <c r="K30" s="91"/>
      <c r="L30" s="208"/>
      <c r="R30" s="147" t="s">
        <v>269</v>
      </c>
      <c r="S30" s="1343">
        <f>U30*S40</f>
        <v>769.23076923076928</v>
      </c>
      <c r="T30" s="1343">
        <f>(U30*U40)+(U30*(1/3))</f>
        <v>564.10256410256409</v>
      </c>
      <c r="U30" s="1329">
        <f>$AB$1</f>
        <v>1000</v>
      </c>
      <c r="V30" s="1124"/>
      <c r="W30" s="1124"/>
      <c r="Z30" s="140" t="s">
        <v>270</v>
      </c>
      <c r="AA30" s="1177">
        <f>V35/(S32/R1)</f>
        <v>8.9652948717948726E-4</v>
      </c>
      <c r="AB30" s="156">
        <f>S35/(S32)</f>
        <v>2.0463253221873919E-2</v>
      </c>
      <c r="AC30" s="157">
        <f>T35/T32</f>
        <v>5.9870382248137354E-3</v>
      </c>
      <c r="AD30" s="157">
        <f>T35/T32</f>
        <v>5.9870382248137354E-3</v>
      </c>
      <c r="AE30" s="1180">
        <f>W35/U32</f>
        <v>3.8524719633549202E-5</v>
      </c>
      <c r="AF30" s="1182">
        <f>SUMPRODUCT(AB30:AD30,AB29:AD29)+AE30</f>
        <v>1.4377225442751237E-2</v>
      </c>
    </row>
    <row r="31" spans="1:32" ht="14.75" customHeight="1" thickBot="1" x14ac:dyDescent="0.35">
      <c r="I31" s="91"/>
      <c r="J31" s="138"/>
      <c r="K31" s="91"/>
      <c r="L31" s="208"/>
      <c r="R31" s="147" t="s">
        <v>271</v>
      </c>
      <c r="S31" s="154"/>
      <c r="T31" s="148"/>
      <c r="U31" s="148"/>
      <c r="V31" s="148"/>
      <c r="W31" s="148"/>
    </row>
    <row r="32" spans="1:32" ht="14.25" customHeight="1" thickBot="1" x14ac:dyDescent="0.35">
      <c r="I32" s="91"/>
      <c r="J32" s="138"/>
      <c r="K32" s="91"/>
      <c r="L32" s="208"/>
      <c r="R32" s="159" t="s">
        <v>261</v>
      </c>
      <c r="S32" s="148">
        <f>SUM(S28:S30)</f>
        <v>14984.615384615387</v>
      </c>
      <c r="T32" s="148">
        <f>SUM(T28:T30)</f>
        <v>10988.717948717949</v>
      </c>
      <c r="U32" s="148">
        <f>SUM(S32:T32)</f>
        <v>25973.333333333336</v>
      </c>
      <c r="V32" s="148">
        <f>SUM(V28:V30)</f>
        <v>1059.2572944297085</v>
      </c>
      <c r="W32" s="148">
        <f>SUM(W28:W30)</f>
        <v>134.82</v>
      </c>
    </row>
    <row r="33" spans="2:23" ht="18.75" customHeight="1" thickBot="1" x14ac:dyDescent="0.35">
      <c r="I33" s="91"/>
      <c r="J33" s="138"/>
      <c r="K33" s="91"/>
      <c r="L33" s="208"/>
      <c r="R33" s="160" t="s">
        <v>272</v>
      </c>
      <c r="S33" s="154"/>
      <c r="T33" s="154">
        <f>F79+F98</f>
        <v>0</v>
      </c>
      <c r="U33" s="154"/>
      <c r="V33" s="154"/>
      <c r="W33" s="154"/>
    </row>
    <row r="34" spans="2:23" ht="14.25" customHeight="1" thickBot="1" x14ac:dyDescent="0.35">
      <c r="B34" s="253"/>
      <c r="C34" s="253"/>
      <c r="D34" s="253"/>
      <c r="E34" s="253"/>
      <c r="F34" s="135"/>
      <c r="G34" s="91"/>
      <c r="H34" s="137"/>
      <c r="I34" s="91"/>
      <c r="J34" s="138"/>
      <c r="K34" s="91"/>
      <c r="L34" s="208"/>
      <c r="R34" s="161" t="s">
        <v>273</v>
      </c>
      <c r="S34" s="154"/>
      <c r="T34" s="148"/>
      <c r="U34" s="154"/>
      <c r="V34" s="154"/>
      <c r="W34" s="154"/>
    </row>
    <row r="35" spans="2:23" ht="14.25" customHeight="1" thickBot="1" x14ac:dyDescent="0.35">
      <c r="B35" s="1484" t="s">
        <v>693</v>
      </c>
      <c r="C35" s="1484"/>
      <c r="D35" s="1484"/>
      <c r="E35" s="1484"/>
      <c r="F35" s="1484"/>
      <c r="G35" s="871"/>
      <c r="H35" s="872"/>
      <c r="I35" s="877"/>
      <c r="J35" s="877"/>
      <c r="K35" s="877"/>
      <c r="L35" s="877"/>
      <c r="R35" s="162" t="s">
        <v>253</v>
      </c>
      <c r="S35" s="1125">
        <f>$L$5</f>
        <v>306.6339790477723</v>
      </c>
      <c r="T35" s="1284">
        <f>SUM(L6:L17)</f>
        <v>65.789874400671138</v>
      </c>
      <c r="U35" s="1125">
        <f>S35+T35+V35+W35</f>
        <v>396.5867956371124</v>
      </c>
      <c r="V35" s="1125">
        <f>SUM(AT6:AT14)</f>
        <v>23.162326804053603</v>
      </c>
      <c r="W35" s="1198">
        <f>SUM(L37:L38)</f>
        <v>1.0006153846153847</v>
      </c>
    </row>
    <row r="36" spans="2:23" ht="14.25" customHeight="1" x14ac:dyDescent="0.3">
      <c r="B36" s="848" t="s">
        <v>245</v>
      </c>
      <c r="C36" s="848" t="s">
        <v>321</v>
      </c>
      <c r="D36" s="850" t="s">
        <v>645</v>
      </c>
      <c r="E36" s="847" t="s">
        <v>646</v>
      </c>
      <c r="F36" s="850" t="s">
        <v>647</v>
      </c>
      <c r="G36" s="873"/>
      <c r="H36" s="850" t="s">
        <v>647</v>
      </c>
      <c r="I36" s="850" t="s">
        <v>250</v>
      </c>
      <c r="J36" s="850" t="s">
        <v>251</v>
      </c>
      <c r="K36" s="850" t="s">
        <v>252</v>
      </c>
      <c r="L36" s="850" t="s">
        <v>253</v>
      </c>
    </row>
    <row r="37" spans="2:23" ht="14.25" customHeight="1" x14ac:dyDescent="0.3">
      <c r="B37" s="843" t="s">
        <v>716</v>
      </c>
      <c r="C37" s="844" t="s">
        <v>14</v>
      </c>
      <c r="D37" s="845">
        <v>7.0000000000000007E-2</v>
      </c>
      <c r="E37" s="843">
        <f>$AD$1</f>
        <v>126</v>
      </c>
      <c r="F37" s="843">
        <f>D37*E37</f>
        <v>8.82</v>
      </c>
      <c r="G37" s="867"/>
      <c r="H37" s="843">
        <f>F37</f>
        <v>8.82</v>
      </c>
      <c r="I37" s="843">
        <f>VLOOKUP(B37,All_Ingredients!$A$1:$F$149,6,FALSE())</f>
        <v>0.65</v>
      </c>
      <c r="J37" s="843">
        <f>VLOOKUP(B37,All_Ingredients!$A$1:$J$149,10,FALSE())</f>
        <v>45</v>
      </c>
      <c r="K37" s="843">
        <f>(H37/I37)/1000</f>
        <v>1.3569230769230769E-2</v>
      </c>
      <c r="L37" s="843">
        <f>K37*J37</f>
        <v>0.61061538461538456</v>
      </c>
    </row>
    <row r="38" spans="2:23" ht="14.25" customHeight="1" x14ac:dyDescent="0.3">
      <c r="B38" s="843" t="s">
        <v>19</v>
      </c>
      <c r="C38" s="844" t="s">
        <v>14</v>
      </c>
      <c r="D38" s="845">
        <v>1</v>
      </c>
      <c r="E38" s="843">
        <f>$AD$1</f>
        <v>126</v>
      </c>
      <c r="F38" s="843">
        <f>D38*E38</f>
        <v>126</v>
      </c>
      <c r="H38" s="843">
        <f>F38</f>
        <v>126</v>
      </c>
      <c r="I38" s="843">
        <f>VLOOKUP(B38,All_Ingredients!$A$1:$F$149,6,FALSE())</f>
        <v>0.84</v>
      </c>
      <c r="J38" s="843">
        <f>VLOOKUP(B38,All_Ingredients!$A$1:$J$149,10,FALSE())</f>
        <v>2.6</v>
      </c>
      <c r="K38" s="843">
        <f>(H38/I38)/1000</f>
        <v>0.15</v>
      </c>
      <c r="L38" s="843">
        <f>K38*J38</f>
        <v>0.39</v>
      </c>
    </row>
    <row r="39" spans="2:23" ht="14.25" customHeight="1" x14ac:dyDescent="0.3">
      <c r="B39" s="253"/>
      <c r="C39" s="253"/>
      <c r="D39" s="253"/>
      <c r="E39" s="253"/>
      <c r="F39" s="135"/>
      <c r="G39" s="91"/>
      <c r="H39" s="137"/>
      <c r="I39" s="91"/>
      <c r="J39" s="138"/>
      <c r="K39" s="91"/>
      <c r="L39" s="208"/>
    </row>
    <row r="40" spans="2:23" ht="46.5" customHeight="1" x14ac:dyDescent="0.3">
      <c r="B40" s="253"/>
      <c r="C40" s="253"/>
      <c r="D40" s="253"/>
      <c r="E40" s="253"/>
      <c r="F40" s="135"/>
      <c r="G40" s="91"/>
      <c r="H40" s="137"/>
      <c r="I40" s="91"/>
      <c r="J40" s="138"/>
      <c r="K40" s="91"/>
      <c r="L40" s="208"/>
      <c r="Q40" s="14"/>
      <c r="R40" s="164" t="s">
        <v>274</v>
      </c>
      <c r="S40" s="534">
        <v>0.76923076923076927</v>
      </c>
      <c r="T40" s="164" t="s">
        <v>275</v>
      </c>
      <c r="U40" s="534">
        <v>0.23076923076923078</v>
      </c>
      <c r="V40" s="167">
        <f>S40+U40</f>
        <v>1</v>
      </c>
      <c r="W40" s="14"/>
    </row>
    <row r="41" spans="2:23" ht="14.25" customHeight="1" x14ac:dyDescent="0.3">
      <c r="B41" s="253"/>
      <c r="C41" s="253"/>
      <c r="D41" s="253"/>
      <c r="E41" s="253"/>
      <c r="F41" s="135"/>
      <c r="G41" s="91"/>
      <c r="H41" s="137"/>
      <c r="I41" s="91"/>
      <c r="J41" s="138"/>
      <c r="K41" s="91"/>
      <c r="L41" s="208"/>
      <c r="Q41" s="14"/>
      <c r="R41" s="14"/>
      <c r="S41" s="14"/>
      <c r="T41" s="14"/>
      <c r="U41" s="168"/>
      <c r="V41" s="14"/>
      <c r="W41" s="14"/>
    </row>
    <row r="42" spans="2:23" ht="14.25" customHeight="1" x14ac:dyDescent="0.3">
      <c r="B42" s="253"/>
      <c r="C42" s="253"/>
      <c r="D42" s="253"/>
      <c r="E42" s="253"/>
      <c r="F42" s="135"/>
      <c r="G42" s="91"/>
      <c r="H42" s="137"/>
      <c r="I42" s="91"/>
      <c r="J42" s="138"/>
      <c r="K42" s="91"/>
      <c r="L42" s="208"/>
      <c r="Q42" s="14"/>
      <c r="R42" s="14"/>
      <c r="S42" s="14"/>
      <c r="T42" s="14"/>
      <c r="U42" s="14"/>
      <c r="V42" s="14"/>
      <c r="W42" s="14"/>
    </row>
    <row r="43" spans="2:23" ht="14.25" customHeight="1" thickBot="1" x14ac:dyDescent="0.35">
      <c r="B43" s="1"/>
      <c r="C43" s="132"/>
      <c r="D43" s="253"/>
      <c r="E43" s="253"/>
      <c r="F43" s="135"/>
      <c r="G43" s="91"/>
      <c r="H43" s="137"/>
      <c r="I43" s="91"/>
      <c r="J43" s="138"/>
      <c r="K43" s="91"/>
      <c r="L43" s="208"/>
      <c r="Q43" s="169" t="s">
        <v>276</v>
      </c>
      <c r="R43" s="169" t="s">
        <v>277</v>
      </c>
      <c r="S43" s="169" t="s">
        <v>278</v>
      </c>
      <c r="T43" s="169" t="s">
        <v>279</v>
      </c>
      <c r="U43" s="169" t="s">
        <v>280</v>
      </c>
      <c r="V43" s="169" t="s">
        <v>281</v>
      </c>
      <c r="W43" s="257" t="s">
        <v>282</v>
      </c>
    </row>
    <row r="44" spans="2:23" ht="14.25" customHeight="1" thickBot="1" x14ac:dyDescent="0.35">
      <c r="B44" s="1"/>
      <c r="E44" s="99"/>
      <c r="F44" s="99"/>
      <c r="L44" s="208"/>
      <c r="Q44" s="1338">
        <v>17728</v>
      </c>
      <c r="R44" s="172">
        <f>D51</f>
        <v>10000</v>
      </c>
      <c r="S44" s="494">
        <v>0.40909090909090912</v>
      </c>
      <c r="T44" s="494">
        <v>0.59090909090909094</v>
      </c>
      <c r="U44" s="241">
        <f>R44*S44</f>
        <v>4090.909090909091</v>
      </c>
      <c r="V44" s="175">
        <f>R44*T44</f>
        <v>5909.090909090909</v>
      </c>
      <c r="W44" s="259">
        <f>Q44-U44</f>
        <v>13637.090909090908</v>
      </c>
    </row>
    <row r="45" spans="2:23" ht="14.25" customHeight="1" x14ac:dyDescent="0.3">
      <c r="B45" s="99"/>
      <c r="E45" s="99"/>
      <c r="F45" s="99"/>
      <c r="L45" s="208"/>
    </row>
    <row r="46" spans="2:23" ht="14.25" customHeight="1" x14ac:dyDescent="0.3">
      <c r="B46" s="99"/>
      <c r="E46" s="99"/>
      <c r="F46" s="99"/>
      <c r="L46" s="208"/>
      <c r="S46" s="1161"/>
    </row>
    <row r="47" spans="2:23" ht="14.25" customHeight="1" x14ac:dyDescent="0.3">
      <c r="L47" s="208"/>
    </row>
    <row r="48" spans="2:23" ht="14.25" customHeight="1" x14ac:dyDescent="0.3">
      <c r="L48" s="208"/>
      <c r="S48" s="1161"/>
    </row>
    <row r="49" spans="1:12" ht="14.25" customHeight="1" x14ac:dyDescent="0.3">
      <c r="L49" s="208"/>
    </row>
    <row r="50" spans="1:12" ht="14.25" customHeight="1" x14ac:dyDescent="0.3">
      <c r="B50" s="144"/>
      <c r="C50" s="144" t="s">
        <v>237</v>
      </c>
      <c r="D50" s="144" t="s">
        <v>283</v>
      </c>
      <c r="E50" s="178"/>
      <c r="F50" s="99"/>
      <c r="G50" s="144" t="s">
        <v>284</v>
      </c>
      <c r="H50" s="144" t="s">
        <v>237</v>
      </c>
      <c r="I50" s="144" t="s">
        <v>285</v>
      </c>
      <c r="J50" s="144" t="s">
        <v>286</v>
      </c>
      <c r="L50" s="208"/>
    </row>
    <row r="51" spans="1:12" ht="14.25" customHeight="1" x14ac:dyDescent="0.3">
      <c r="B51" s="179" t="s">
        <v>287</v>
      </c>
      <c r="C51" s="180">
        <f>10/$K$1</f>
        <v>10.204081632653061</v>
      </c>
      <c r="D51" s="181">
        <f>$C$1*10</f>
        <v>10000</v>
      </c>
      <c r="E51" s="182"/>
      <c r="F51" s="99"/>
      <c r="G51" s="179" t="s">
        <v>287</v>
      </c>
      <c r="H51" s="276">
        <f>I51/$D$5</f>
        <v>10</v>
      </c>
      <c r="I51" s="180">
        <f>J51/$R$1</f>
        <v>23512.225705329154</v>
      </c>
      <c r="J51" s="180">
        <f>$W$44</f>
        <v>13637.090909090908</v>
      </c>
    </row>
    <row r="52" spans="1:12" ht="14.25" customHeight="1" x14ac:dyDescent="0.3">
      <c r="B52" s="230" t="s">
        <v>266</v>
      </c>
      <c r="C52" s="231">
        <f>$I$1</f>
        <v>11.212977498691785</v>
      </c>
      <c r="D52" s="232">
        <f>$E$1</f>
        <v>10988.717948717949</v>
      </c>
      <c r="E52" s="99"/>
      <c r="F52" s="99"/>
      <c r="G52" s="147" t="s">
        <v>266</v>
      </c>
      <c r="H52" s="209">
        <f>I52/$D$5</f>
        <v>10.988131915015817</v>
      </c>
      <c r="I52" s="175">
        <f>J52/$R$1</f>
        <v>25835.543766578256</v>
      </c>
      <c r="J52" s="183">
        <f>$S$32</f>
        <v>14984.615384615387</v>
      </c>
    </row>
    <row r="53" spans="1:12" ht="14.25" customHeight="1" x14ac:dyDescent="0.3">
      <c r="B53" s="230" t="s">
        <v>288</v>
      </c>
      <c r="C53" s="233">
        <f>MIN(C52, C51)</f>
        <v>10.204081632653061</v>
      </c>
      <c r="D53" s="232">
        <f>(C53*$K$1)*$C$1</f>
        <v>10000</v>
      </c>
      <c r="E53" s="99"/>
      <c r="F53" s="99"/>
      <c r="G53" s="147" t="s">
        <v>288</v>
      </c>
      <c r="H53" s="186">
        <f>MIN(H52,H51)</f>
        <v>10</v>
      </c>
      <c r="I53" s="175">
        <f>J53/$R$1</f>
        <v>23512.225705329154</v>
      </c>
      <c r="J53" s="175">
        <f>MIN(J52,J51)</f>
        <v>13637.090909090908</v>
      </c>
    </row>
    <row r="54" spans="1:12" ht="14.25" customHeight="1" x14ac:dyDescent="0.3">
      <c r="B54" s="230" t="s">
        <v>289</v>
      </c>
      <c r="C54" s="233">
        <f>MIN(MAX(C52-C53,0),C51)</f>
        <v>1.0088958660387242</v>
      </c>
      <c r="D54" s="232">
        <f>(C54*$K$1)*$C$1</f>
        <v>988.71794871794987</v>
      </c>
      <c r="E54" s="99"/>
      <c r="F54" s="99"/>
      <c r="G54" s="147" t="s">
        <v>289</v>
      </c>
      <c r="H54" s="186">
        <f>MIN(MAX(H52-H53),H51)</f>
        <v>0.98813191501581699</v>
      </c>
      <c r="I54" s="175">
        <f>J54/$R$1</f>
        <v>2323.318061249101</v>
      </c>
      <c r="J54" s="175">
        <f>MIN(MAX(J52-J53),J51)</f>
        <v>1347.5244755244785</v>
      </c>
    </row>
    <row r="55" spans="1:12" ht="14.25" customHeight="1" x14ac:dyDescent="0.3">
      <c r="B55" s="230" t="s">
        <v>290</v>
      </c>
      <c r="C55" s="233">
        <f>MIN(MAX(C52-C53-C54,0),C51)</f>
        <v>0</v>
      </c>
      <c r="D55" s="232">
        <f>(C55*$K$1)*$C$1</f>
        <v>0</v>
      </c>
      <c r="E55" s="99"/>
      <c r="F55" s="99"/>
      <c r="G55" s="144" t="s">
        <v>290</v>
      </c>
      <c r="H55" s="186">
        <f>MIN(MAX(H52-H53-H54),H51)</f>
        <v>0</v>
      </c>
      <c r="I55" s="175">
        <f>J55/$R$1</f>
        <v>0</v>
      </c>
      <c r="J55" s="175">
        <f>MIN(MAX(J52-J53-J54),J51)</f>
        <v>0</v>
      </c>
    </row>
    <row r="56" spans="1:12" ht="14.25" customHeight="1" x14ac:dyDescent="0.3">
      <c r="B56" s="178"/>
      <c r="C56" s="178"/>
      <c r="D56" s="178"/>
      <c r="E56" s="178"/>
      <c r="F56" s="99"/>
    </row>
    <row r="57" spans="1:12" ht="14.25" customHeight="1" x14ac:dyDescent="0.3">
      <c r="B57" s="178"/>
      <c r="C57" s="178"/>
      <c r="D57" s="178"/>
      <c r="E57" s="178"/>
      <c r="F57" s="99"/>
    </row>
    <row r="58" spans="1:12" ht="14.25" customHeight="1" x14ac:dyDescent="0.3">
      <c r="B58" s="178"/>
      <c r="C58" s="178"/>
      <c r="D58" s="178"/>
      <c r="E58" s="178"/>
      <c r="F58" s="99"/>
    </row>
    <row r="59" spans="1:12" ht="14.25" customHeight="1" x14ac:dyDescent="0.3">
      <c r="B59" s="99"/>
      <c r="E59" s="99"/>
      <c r="F59" s="99"/>
    </row>
    <row r="60" spans="1:12" ht="14.25" customHeight="1" x14ac:dyDescent="0.3">
      <c r="B60" s="99"/>
      <c r="E60" s="99"/>
      <c r="F60" s="99"/>
    </row>
    <row r="61" spans="1:12" ht="14.25" customHeight="1" x14ac:dyDescent="0.3">
      <c r="B61" s="99"/>
      <c r="E61" s="99"/>
      <c r="F61" s="99"/>
    </row>
    <row r="62" spans="1:12" ht="17.75" customHeight="1" x14ac:dyDescent="0.3">
      <c r="A62" s="923"/>
      <c r="B62" s="1438" t="str">
        <f>"كباب هندى   1 / " &amp; COUNTIF(C$53:C$55, "&gt;0")</f>
        <v>كباب هندى   1 / 2</v>
      </c>
      <c r="C62" s="1439"/>
      <c r="D62" s="1439"/>
      <c r="E62" s="1439"/>
      <c r="F62" s="1439"/>
      <c r="G62" s="1439"/>
      <c r="H62" s="1439"/>
    </row>
    <row r="63" spans="1:12" ht="17.75" customHeight="1" x14ac:dyDescent="0.3">
      <c r="A63" s="923"/>
      <c r="B63" s="1436" t="str">
        <f>"Kebab Hindi 1 / " &amp; COUNTIF($C$53:$C$55, "&gt;0")</f>
        <v>Kebab Hindi 1 / 2</v>
      </c>
      <c r="C63" s="1437"/>
      <c r="D63" s="1437"/>
      <c r="E63" s="1437"/>
      <c r="F63" s="1437"/>
      <c r="G63" s="1437"/>
      <c r="H63" s="1437"/>
    </row>
    <row r="64" spans="1:12" ht="47" customHeight="1" x14ac:dyDescent="0.3">
      <c r="A64" s="90"/>
      <c r="B64" s="90" t="s">
        <v>245</v>
      </c>
      <c r="C64" s="106" t="s">
        <v>246</v>
      </c>
      <c r="D64" s="90" t="s">
        <v>235</v>
      </c>
      <c r="E64" s="107" t="s">
        <v>238</v>
      </c>
      <c r="F64" s="107" t="s">
        <v>247</v>
      </c>
      <c r="G64" s="90" t="s">
        <v>248</v>
      </c>
      <c r="H64" s="217" t="s">
        <v>249</v>
      </c>
    </row>
    <row r="65" spans="1:8" ht="14.25" customHeight="1" x14ac:dyDescent="0.3">
      <c r="A65" s="218" t="s">
        <v>225</v>
      </c>
      <c r="B65" s="322" t="str">
        <f t="shared" ref="B65:D77" si="14">B5</f>
        <v>Indian Meat Tammam Mafroom - مفروم هندى</v>
      </c>
      <c r="C65" s="322" t="str">
        <f t="shared" si="14"/>
        <v>gm</v>
      </c>
      <c r="D65" s="485">
        <f t="shared" si="14"/>
        <v>2351.2225705329156</v>
      </c>
      <c r="E65" s="196">
        <f>H53</f>
        <v>10</v>
      </c>
      <c r="F65" s="126">
        <f t="shared" ref="F65:F77" si="15">F5</f>
        <v>1</v>
      </c>
      <c r="G65" s="118">
        <f t="shared" ref="G65:G77" si="16">D65*E65</f>
        <v>23512.225705329154</v>
      </c>
      <c r="H65" s="119">
        <f t="shared" ref="H65:H77" si="17">G65*F65</f>
        <v>23512.225705329154</v>
      </c>
    </row>
    <row r="66" spans="1:8" ht="14.25" customHeight="1" x14ac:dyDescent="0.3">
      <c r="A66" s="269" t="s">
        <v>13</v>
      </c>
      <c r="B66" s="322" t="str">
        <f t="shared" si="14"/>
        <v>Onion - بصل</v>
      </c>
      <c r="C66" s="322" t="str">
        <f t="shared" si="14"/>
        <v>gm</v>
      </c>
      <c r="D66" s="322">
        <f t="shared" si="14"/>
        <v>200</v>
      </c>
      <c r="E66" s="196">
        <f t="shared" ref="E66:E77" si="18">$C$53</f>
        <v>10.204081632653061</v>
      </c>
      <c r="F66" s="126">
        <f t="shared" si="15"/>
        <v>1</v>
      </c>
      <c r="G66" s="118">
        <f t="shared" si="16"/>
        <v>2040.8163265306123</v>
      </c>
      <c r="H66" s="119">
        <f t="shared" si="17"/>
        <v>2040.8163265306123</v>
      </c>
    </row>
    <row r="67" spans="1:8" ht="14.25" customHeight="1" x14ac:dyDescent="0.3">
      <c r="A67" s="269" t="s">
        <v>13</v>
      </c>
      <c r="B67" s="322" t="str">
        <f t="shared" si="14"/>
        <v>Tomato - طماطم</v>
      </c>
      <c r="C67" s="322" t="str">
        <f t="shared" si="14"/>
        <v>gm</v>
      </c>
      <c r="D67" s="322">
        <f t="shared" si="14"/>
        <v>300</v>
      </c>
      <c r="E67" s="196">
        <f>$C$53</f>
        <v>10.204081632653061</v>
      </c>
      <c r="F67" s="126">
        <f t="shared" si="15"/>
        <v>1</v>
      </c>
      <c r="G67" s="118">
        <f t="shared" si="16"/>
        <v>3061.2244897959181</v>
      </c>
      <c r="H67" s="119">
        <f t="shared" si="17"/>
        <v>3061.2244897959181</v>
      </c>
    </row>
    <row r="68" spans="1:8" ht="14.25" customHeight="1" x14ac:dyDescent="0.3">
      <c r="A68" s="269" t="s">
        <v>13</v>
      </c>
      <c r="B68" s="322" t="str">
        <f t="shared" si="14"/>
        <v>Garlic - ثوم مقشر</v>
      </c>
      <c r="C68" s="322" t="str">
        <f t="shared" si="14"/>
        <v>gm</v>
      </c>
      <c r="D68" s="322">
        <f t="shared" si="14"/>
        <v>40</v>
      </c>
      <c r="E68" s="196">
        <f t="shared" si="18"/>
        <v>10.204081632653061</v>
      </c>
      <c r="F68" s="126">
        <f t="shared" si="15"/>
        <v>1</v>
      </c>
      <c r="G68" s="118">
        <f t="shared" si="16"/>
        <v>408.16326530612241</v>
      </c>
      <c r="H68" s="119">
        <f t="shared" si="17"/>
        <v>408.16326530612241</v>
      </c>
    </row>
    <row r="69" spans="1:8" ht="14.25" customHeight="1" x14ac:dyDescent="0.3">
      <c r="A69" s="269" t="s">
        <v>95</v>
      </c>
      <c r="B69" s="322" t="str">
        <f t="shared" si="14"/>
        <v>Black Pepper Powder - فلفل أسود مطحون</v>
      </c>
      <c r="C69" s="322" t="str">
        <f t="shared" si="14"/>
        <v>gm</v>
      </c>
      <c r="D69" s="322">
        <f t="shared" si="14"/>
        <v>3</v>
      </c>
      <c r="E69" s="196">
        <f t="shared" si="18"/>
        <v>10.204081632653061</v>
      </c>
      <c r="F69" s="126">
        <f t="shared" si="15"/>
        <v>1</v>
      </c>
      <c r="G69" s="118">
        <f t="shared" si="16"/>
        <v>30.612244897959183</v>
      </c>
      <c r="H69" s="119">
        <f t="shared" si="17"/>
        <v>30.612244897959183</v>
      </c>
    </row>
    <row r="70" spans="1:8" ht="14.25" customHeight="1" x14ac:dyDescent="0.3">
      <c r="A70" s="269" t="s">
        <v>95</v>
      </c>
      <c r="B70" s="322" t="str">
        <f t="shared" si="14"/>
        <v>Cumin Powder - كمون مطحون</v>
      </c>
      <c r="C70" s="322" t="str">
        <f t="shared" si="14"/>
        <v>gm</v>
      </c>
      <c r="D70" s="322">
        <f t="shared" si="14"/>
        <v>4</v>
      </c>
      <c r="E70" s="196">
        <f t="shared" si="18"/>
        <v>10.204081632653061</v>
      </c>
      <c r="F70" s="126">
        <f t="shared" si="15"/>
        <v>1</v>
      </c>
      <c r="G70" s="118">
        <f t="shared" si="16"/>
        <v>40.816326530612244</v>
      </c>
      <c r="H70" s="119">
        <f t="shared" si="17"/>
        <v>40.816326530612244</v>
      </c>
    </row>
    <row r="71" spans="1:8" ht="14.25" customHeight="1" x14ac:dyDescent="0.3">
      <c r="A71" s="269" t="s">
        <v>95</v>
      </c>
      <c r="B71" s="322" t="str">
        <f t="shared" si="14"/>
        <v>Coriander Powder - كزبرة مطحونة</v>
      </c>
      <c r="C71" s="322" t="str">
        <f t="shared" si="14"/>
        <v>gm</v>
      </c>
      <c r="D71" s="322">
        <f t="shared" si="14"/>
        <v>6</v>
      </c>
      <c r="E71" s="196">
        <f t="shared" si="18"/>
        <v>10.204081632653061</v>
      </c>
      <c r="F71" s="126">
        <f t="shared" si="15"/>
        <v>1</v>
      </c>
      <c r="G71" s="118">
        <f t="shared" si="16"/>
        <v>61.224489795918366</v>
      </c>
      <c r="H71" s="119">
        <f t="shared" si="17"/>
        <v>61.224489795918366</v>
      </c>
    </row>
    <row r="72" spans="1:8" ht="14.25" customHeight="1" x14ac:dyDescent="0.3">
      <c r="A72" s="269" t="s">
        <v>95</v>
      </c>
      <c r="B72" s="322" t="str">
        <f t="shared" si="14"/>
        <v>Cinnamon Powder - قرفة مطحونة</v>
      </c>
      <c r="C72" s="322" t="str">
        <f t="shared" si="14"/>
        <v>gm</v>
      </c>
      <c r="D72" s="322">
        <f t="shared" si="14"/>
        <v>5</v>
      </c>
      <c r="E72" s="196">
        <f t="shared" si="18"/>
        <v>10.204081632653061</v>
      </c>
      <c r="F72" s="126">
        <f t="shared" si="15"/>
        <v>0.9</v>
      </c>
      <c r="G72" s="118">
        <f t="shared" si="16"/>
        <v>51.020408163265301</v>
      </c>
      <c r="H72" s="119">
        <f t="shared" si="17"/>
        <v>45.918367346938773</v>
      </c>
    </row>
    <row r="73" spans="1:8" ht="14.25" customHeight="1" x14ac:dyDescent="0.3">
      <c r="A73" s="269" t="s">
        <v>95</v>
      </c>
      <c r="B73" s="322" t="str">
        <f t="shared" si="14"/>
        <v>Salt - ملح</v>
      </c>
      <c r="C73" s="322" t="str">
        <f t="shared" si="14"/>
        <v>gm</v>
      </c>
      <c r="D73" s="322">
        <f t="shared" si="14"/>
        <v>11</v>
      </c>
      <c r="E73" s="196">
        <f t="shared" si="18"/>
        <v>10.204081632653061</v>
      </c>
      <c r="F73" s="126">
        <f t="shared" si="15"/>
        <v>0.75</v>
      </c>
      <c r="G73" s="118">
        <f t="shared" si="16"/>
        <v>112.24489795918367</v>
      </c>
      <c r="H73" s="119">
        <f t="shared" si="17"/>
        <v>84.183673469387756</v>
      </c>
    </row>
    <row r="74" spans="1:8" ht="14.25" customHeight="1" x14ac:dyDescent="0.3">
      <c r="A74" s="269" t="s">
        <v>192</v>
      </c>
      <c r="B74" s="322" t="str">
        <f t="shared" si="14"/>
        <v>Tomato Paste - صلصة طماطم</v>
      </c>
      <c r="C74" s="322" t="str">
        <f t="shared" si="14"/>
        <v>gm</v>
      </c>
      <c r="D74" s="322">
        <f t="shared" si="14"/>
        <v>300</v>
      </c>
      <c r="E74" s="196">
        <f t="shared" si="18"/>
        <v>10.204081632653061</v>
      </c>
      <c r="F74" s="126">
        <f t="shared" si="15"/>
        <v>1</v>
      </c>
      <c r="G74" s="118">
        <f t="shared" si="16"/>
        <v>3061.2244897959181</v>
      </c>
      <c r="H74" s="119">
        <f t="shared" si="17"/>
        <v>3061.2244897959181</v>
      </c>
    </row>
    <row r="75" spans="1:8" ht="14.25" customHeight="1" x14ac:dyDescent="0.3">
      <c r="A75" s="269" t="s">
        <v>188</v>
      </c>
      <c r="B75" s="322" t="str">
        <f t="shared" si="14"/>
        <v>Corn Starch - نشا ذرة</v>
      </c>
      <c r="C75" s="322" t="str">
        <f t="shared" si="14"/>
        <v>gm</v>
      </c>
      <c r="D75" s="322">
        <f t="shared" si="14"/>
        <v>50</v>
      </c>
      <c r="E75" s="196">
        <f t="shared" si="18"/>
        <v>10.204081632653061</v>
      </c>
      <c r="F75" s="126">
        <f t="shared" si="15"/>
        <v>1</v>
      </c>
      <c r="G75" s="118">
        <f t="shared" si="16"/>
        <v>510.20408163265307</v>
      </c>
      <c r="H75" s="119">
        <f t="shared" si="17"/>
        <v>510.20408163265307</v>
      </c>
    </row>
    <row r="76" spans="1:8" ht="14.25" customHeight="1" x14ac:dyDescent="0.3">
      <c r="A76" s="269" t="s">
        <v>154</v>
      </c>
      <c r="B76" s="322" t="str">
        <f t="shared" si="14"/>
        <v>Butter - زبدة</v>
      </c>
      <c r="C76" s="322" t="str">
        <f t="shared" si="14"/>
        <v>gm</v>
      </c>
      <c r="D76" s="322">
        <f t="shared" si="14"/>
        <v>25</v>
      </c>
      <c r="E76" s="196">
        <f t="shared" si="18"/>
        <v>10.204081632653061</v>
      </c>
      <c r="F76" s="126">
        <f t="shared" si="15"/>
        <v>1</v>
      </c>
      <c r="G76" s="118">
        <f t="shared" si="16"/>
        <v>255.10204081632654</v>
      </c>
      <c r="H76" s="119">
        <f t="shared" si="17"/>
        <v>255.10204081632654</v>
      </c>
    </row>
    <row r="77" spans="1:8" ht="14.25" customHeight="1" x14ac:dyDescent="0.3">
      <c r="A77" s="269" t="s">
        <v>95</v>
      </c>
      <c r="B77" s="322" t="str">
        <f t="shared" si="14"/>
        <v>Maggi Cubes - مكعبات ماجي</v>
      </c>
      <c r="C77" s="322" t="str">
        <f t="shared" si="14"/>
        <v>gm</v>
      </c>
      <c r="D77" s="322">
        <f t="shared" si="14"/>
        <v>10</v>
      </c>
      <c r="E77" s="196">
        <f t="shared" si="18"/>
        <v>10.204081632653061</v>
      </c>
      <c r="F77" s="126">
        <f t="shared" si="15"/>
        <v>0.75</v>
      </c>
      <c r="G77" s="118">
        <f t="shared" si="16"/>
        <v>102.0408163265306</v>
      </c>
      <c r="H77" s="119">
        <f t="shared" si="17"/>
        <v>76.530612244897952</v>
      </c>
    </row>
    <row r="78" spans="1:8" ht="20.25" customHeight="1" x14ac:dyDescent="0.3">
      <c r="A78" s="210"/>
      <c r="B78" s="197" t="s">
        <v>291</v>
      </c>
      <c r="C78" s="199" t="s">
        <v>277</v>
      </c>
      <c r="D78" s="14"/>
      <c r="E78" s="199" t="s">
        <v>292</v>
      </c>
      <c r="F78" s="14"/>
      <c r="G78" s="878" t="s">
        <v>268</v>
      </c>
      <c r="H78" s="878" t="s">
        <v>703</v>
      </c>
    </row>
    <row r="79" spans="1:8" ht="19.5" customHeight="1" x14ac:dyDescent="0.4">
      <c r="A79" s="210"/>
      <c r="B79" s="198">
        <f>$J$53</f>
        <v>13637.090909090908</v>
      </c>
      <c r="C79" s="198">
        <f>E79+G79</f>
        <v>10000</v>
      </c>
      <c r="D79" s="915"/>
      <c r="E79" s="198">
        <f>$D$53*$S$44</f>
        <v>4090.909090909091</v>
      </c>
      <c r="F79" s="919"/>
      <c r="G79" s="198">
        <f>$D$53*$T$44</f>
        <v>5909.090909090909</v>
      </c>
      <c r="H79" s="198">
        <f>B79+E79</f>
        <v>17728</v>
      </c>
    </row>
    <row r="80" spans="1:8" ht="14.25" customHeight="1" x14ac:dyDescent="0.3">
      <c r="B80" s="99"/>
      <c r="E80" s="99"/>
      <c r="F80" s="99"/>
    </row>
    <row r="81" spans="1:8" ht="17.75" customHeight="1" x14ac:dyDescent="0.3">
      <c r="A81" s="923"/>
      <c r="B81" s="1438" t="str">
        <f>"كباب هندى   2 / " &amp; COUNTIF(C$53:C$55, "&gt;0")</f>
        <v>كباب هندى   2 / 2</v>
      </c>
      <c r="C81" s="1439"/>
      <c r="D81" s="1439"/>
      <c r="E81" s="1439"/>
      <c r="F81" s="1439"/>
      <c r="G81" s="1439"/>
      <c r="H81" s="1439"/>
    </row>
    <row r="82" spans="1:8" ht="17.75" customHeight="1" x14ac:dyDescent="0.3">
      <c r="A82" s="923"/>
      <c r="B82" s="1436" t="str">
        <f>"Kebab Hindi 2 / " &amp; COUNTIF($C$53:$C$55, "&gt;0")</f>
        <v>Kebab Hindi 2 / 2</v>
      </c>
      <c r="C82" s="1437"/>
      <c r="D82" s="1437"/>
      <c r="E82" s="1437"/>
      <c r="F82" s="1437"/>
      <c r="G82" s="1437"/>
      <c r="H82" s="1437"/>
    </row>
    <row r="83" spans="1:8" ht="42" customHeight="1" x14ac:dyDescent="0.3">
      <c r="A83" s="90"/>
      <c r="B83" s="90" t="s">
        <v>245</v>
      </c>
      <c r="C83" s="106" t="s">
        <v>246</v>
      </c>
      <c r="D83" s="90" t="s">
        <v>235</v>
      </c>
      <c r="E83" s="107" t="s">
        <v>238</v>
      </c>
      <c r="F83" s="107" t="s">
        <v>247</v>
      </c>
      <c r="G83" s="90" t="s">
        <v>248</v>
      </c>
      <c r="H83" s="217" t="s">
        <v>249</v>
      </c>
    </row>
    <row r="84" spans="1:8" ht="14.25" customHeight="1" x14ac:dyDescent="0.3">
      <c r="A84" s="269" t="s">
        <v>225</v>
      </c>
      <c r="B84" s="123" t="str">
        <f t="shared" ref="B84:D96" si="19">B5</f>
        <v>Indian Meat Tammam Mafroom - مفروم هندى</v>
      </c>
      <c r="C84" s="123" t="str">
        <f t="shared" si="19"/>
        <v>gm</v>
      </c>
      <c r="D84" s="119">
        <f t="shared" si="19"/>
        <v>2351.2225705329156</v>
      </c>
      <c r="E84" s="196">
        <f>H54</f>
        <v>0.98813191501581699</v>
      </c>
      <c r="F84" s="126">
        <f t="shared" ref="F84:F96" si="20">F5</f>
        <v>1</v>
      </c>
      <c r="G84" s="118">
        <f t="shared" ref="G84:G96" si="21">D84*E84</f>
        <v>2323.3180612491019</v>
      </c>
      <c r="H84" s="119">
        <f t="shared" ref="H84:H96" si="22">G84*F84</f>
        <v>2323.3180612491019</v>
      </c>
    </row>
    <row r="85" spans="1:8" ht="14.25" customHeight="1" x14ac:dyDescent="0.3">
      <c r="A85" s="269" t="s">
        <v>13</v>
      </c>
      <c r="B85" s="123" t="str">
        <f t="shared" si="19"/>
        <v>Onion - بصل</v>
      </c>
      <c r="C85" s="123" t="str">
        <f t="shared" si="19"/>
        <v>gm</v>
      </c>
      <c r="D85" s="123">
        <f t="shared" si="19"/>
        <v>200</v>
      </c>
      <c r="E85" s="196">
        <f>$C$54</f>
        <v>1.0088958660387242</v>
      </c>
      <c r="F85" s="126">
        <f t="shared" si="20"/>
        <v>1</v>
      </c>
      <c r="G85" s="118">
        <f t="shared" si="21"/>
        <v>201.77917320774483</v>
      </c>
      <c r="H85" s="119">
        <f t="shared" si="22"/>
        <v>201.77917320774483</v>
      </c>
    </row>
    <row r="86" spans="1:8" ht="14.25" customHeight="1" x14ac:dyDescent="0.3">
      <c r="A86" s="269" t="s">
        <v>13</v>
      </c>
      <c r="B86" s="123" t="str">
        <f t="shared" si="19"/>
        <v>Tomato - طماطم</v>
      </c>
      <c r="C86" s="123" t="str">
        <f t="shared" si="19"/>
        <v>gm</v>
      </c>
      <c r="D86" s="123">
        <f t="shared" si="19"/>
        <v>300</v>
      </c>
      <c r="E86" s="196">
        <f t="shared" ref="E86:E96" si="23">$C$54</f>
        <v>1.0088958660387242</v>
      </c>
      <c r="F86" s="126">
        <f t="shared" si="20"/>
        <v>1</v>
      </c>
      <c r="G86" s="118">
        <f t="shared" si="21"/>
        <v>302.66875981161724</v>
      </c>
      <c r="H86" s="119">
        <f t="shared" si="22"/>
        <v>302.66875981161724</v>
      </c>
    </row>
    <row r="87" spans="1:8" ht="14.25" customHeight="1" x14ac:dyDescent="0.3">
      <c r="A87" s="269" t="s">
        <v>13</v>
      </c>
      <c r="B87" s="123" t="str">
        <f t="shared" si="19"/>
        <v>Garlic - ثوم مقشر</v>
      </c>
      <c r="C87" s="123" t="str">
        <f t="shared" si="19"/>
        <v>gm</v>
      </c>
      <c r="D87" s="123">
        <f t="shared" si="19"/>
        <v>40</v>
      </c>
      <c r="E87" s="196">
        <f t="shared" si="23"/>
        <v>1.0088958660387242</v>
      </c>
      <c r="F87" s="126">
        <f t="shared" si="20"/>
        <v>1</v>
      </c>
      <c r="G87" s="118">
        <f t="shared" si="21"/>
        <v>40.355834641548967</v>
      </c>
      <c r="H87" s="119">
        <f t="shared" si="22"/>
        <v>40.355834641548967</v>
      </c>
    </row>
    <row r="88" spans="1:8" ht="14.25" customHeight="1" x14ac:dyDescent="0.3">
      <c r="A88" s="269" t="s">
        <v>95</v>
      </c>
      <c r="B88" s="123" t="str">
        <f t="shared" si="19"/>
        <v>Black Pepper Powder - فلفل أسود مطحون</v>
      </c>
      <c r="C88" s="123" t="str">
        <f t="shared" si="19"/>
        <v>gm</v>
      </c>
      <c r="D88" s="123">
        <f t="shared" si="19"/>
        <v>3</v>
      </c>
      <c r="E88" s="196">
        <f t="shared" si="23"/>
        <v>1.0088958660387242</v>
      </c>
      <c r="F88" s="126">
        <f t="shared" si="20"/>
        <v>1</v>
      </c>
      <c r="G88" s="118">
        <f t="shared" si="21"/>
        <v>3.0266875981161725</v>
      </c>
      <c r="H88" s="119">
        <f t="shared" si="22"/>
        <v>3.0266875981161725</v>
      </c>
    </row>
    <row r="89" spans="1:8" ht="14.25" customHeight="1" x14ac:dyDescent="0.3">
      <c r="A89" s="269" t="s">
        <v>95</v>
      </c>
      <c r="B89" s="123" t="str">
        <f t="shared" si="19"/>
        <v>Cumin Powder - كمون مطحون</v>
      </c>
      <c r="C89" s="123" t="str">
        <f t="shared" si="19"/>
        <v>gm</v>
      </c>
      <c r="D89" s="123">
        <f t="shared" si="19"/>
        <v>4</v>
      </c>
      <c r="E89" s="196">
        <f t="shared" si="23"/>
        <v>1.0088958660387242</v>
      </c>
      <c r="F89" s="126">
        <f t="shared" si="20"/>
        <v>1</v>
      </c>
      <c r="G89" s="118">
        <f t="shared" si="21"/>
        <v>4.0355834641548967</v>
      </c>
      <c r="H89" s="119">
        <f t="shared" si="22"/>
        <v>4.0355834641548967</v>
      </c>
    </row>
    <row r="90" spans="1:8" ht="14.25" customHeight="1" x14ac:dyDescent="0.3">
      <c r="A90" s="269" t="s">
        <v>95</v>
      </c>
      <c r="B90" s="123" t="str">
        <f t="shared" si="19"/>
        <v>Coriander Powder - كزبرة مطحونة</v>
      </c>
      <c r="C90" s="123" t="str">
        <f t="shared" si="19"/>
        <v>gm</v>
      </c>
      <c r="D90" s="123">
        <f t="shared" si="19"/>
        <v>6</v>
      </c>
      <c r="E90" s="196">
        <f t="shared" si="23"/>
        <v>1.0088958660387242</v>
      </c>
      <c r="F90" s="126">
        <f t="shared" si="20"/>
        <v>1</v>
      </c>
      <c r="G90" s="118">
        <f t="shared" si="21"/>
        <v>6.053375196232345</v>
      </c>
      <c r="H90" s="119">
        <f t="shared" si="22"/>
        <v>6.053375196232345</v>
      </c>
    </row>
    <row r="91" spans="1:8" ht="14.25" customHeight="1" x14ac:dyDescent="0.3">
      <c r="A91" s="269" t="s">
        <v>95</v>
      </c>
      <c r="B91" s="123" t="str">
        <f t="shared" si="19"/>
        <v>Cinnamon Powder - قرفة مطحونة</v>
      </c>
      <c r="C91" s="123" t="str">
        <f t="shared" si="19"/>
        <v>gm</v>
      </c>
      <c r="D91" s="123">
        <f t="shared" si="19"/>
        <v>5</v>
      </c>
      <c r="E91" s="196">
        <f t="shared" si="23"/>
        <v>1.0088958660387242</v>
      </c>
      <c r="F91" s="126">
        <f t="shared" si="20"/>
        <v>0.9</v>
      </c>
      <c r="G91" s="118">
        <f t="shared" si="21"/>
        <v>5.0444793301936208</v>
      </c>
      <c r="H91" s="119">
        <f t="shared" si="22"/>
        <v>4.5400313971742587</v>
      </c>
    </row>
    <row r="92" spans="1:8" ht="14.25" customHeight="1" x14ac:dyDescent="0.3">
      <c r="A92" s="269" t="s">
        <v>95</v>
      </c>
      <c r="B92" s="123" t="str">
        <f t="shared" si="19"/>
        <v>Salt - ملح</v>
      </c>
      <c r="C92" s="123" t="str">
        <f t="shared" si="19"/>
        <v>gm</v>
      </c>
      <c r="D92" s="123">
        <f t="shared" si="19"/>
        <v>11</v>
      </c>
      <c r="E92" s="196">
        <f t="shared" si="23"/>
        <v>1.0088958660387242</v>
      </c>
      <c r="F92" s="126">
        <f t="shared" si="20"/>
        <v>0.75</v>
      </c>
      <c r="G92" s="118">
        <f t="shared" si="21"/>
        <v>11.097854526425966</v>
      </c>
      <c r="H92" s="119">
        <f t="shared" si="22"/>
        <v>8.3233908948194752</v>
      </c>
    </row>
    <row r="93" spans="1:8" ht="14.25" customHeight="1" x14ac:dyDescent="0.3">
      <c r="A93" s="269" t="s">
        <v>192</v>
      </c>
      <c r="B93" s="123" t="str">
        <f t="shared" si="19"/>
        <v>Tomato Paste - صلصة طماطم</v>
      </c>
      <c r="C93" s="123" t="str">
        <f t="shared" si="19"/>
        <v>gm</v>
      </c>
      <c r="D93" s="123">
        <f t="shared" si="19"/>
        <v>300</v>
      </c>
      <c r="E93" s="196">
        <f t="shared" si="23"/>
        <v>1.0088958660387242</v>
      </c>
      <c r="F93" s="126">
        <f t="shared" si="20"/>
        <v>1</v>
      </c>
      <c r="G93" s="118">
        <f t="shared" si="21"/>
        <v>302.66875981161724</v>
      </c>
      <c r="H93" s="119">
        <f t="shared" si="22"/>
        <v>302.66875981161724</v>
      </c>
    </row>
    <row r="94" spans="1:8" ht="14.25" customHeight="1" x14ac:dyDescent="0.3">
      <c r="A94" s="269" t="s">
        <v>188</v>
      </c>
      <c r="B94" s="123" t="str">
        <f t="shared" si="19"/>
        <v>Corn Starch - نشا ذرة</v>
      </c>
      <c r="C94" s="123" t="str">
        <f t="shared" si="19"/>
        <v>gm</v>
      </c>
      <c r="D94" s="123">
        <f t="shared" si="19"/>
        <v>50</v>
      </c>
      <c r="E94" s="196">
        <f t="shared" si="23"/>
        <v>1.0088958660387242</v>
      </c>
      <c r="F94" s="126">
        <f t="shared" si="20"/>
        <v>1</v>
      </c>
      <c r="G94" s="118">
        <f t="shared" si="21"/>
        <v>50.444793301936208</v>
      </c>
      <c r="H94" s="119">
        <f t="shared" si="22"/>
        <v>50.444793301936208</v>
      </c>
    </row>
    <row r="95" spans="1:8" ht="14.25" customHeight="1" x14ac:dyDescent="0.3">
      <c r="A95" s="269" t="s">
        <v>154</v>
      </c>
      <c r="B95" s="123" t="str">
        <f t="shared" si="19"/>
        <v>Butter - زبدة</v>
      </c>
      <c r="C95" s="123" t="str">
        <f t="shared" si="19"/>
        <v>gm</v>
      </c>
      <c r="D95" s="123">
        <f t="shared" si="19"/>
        <v>25</v>
      </c>
      <c r="E95" s="196">
        <f t="shared" si="23"/>
        <v>1.0088958660387242</v>
      </c>
      <c r="F95" s="126">
        <f t="shared" si="20"/>
        <v>1</v>
      </c>
      <c r="G95" s="118">
        <f t="shared" si="21"/>
        <v>25.222396650968104</v>
      </c>
      <c r="H95" s="119">
        <f t="shared" si="22"/>
        <v>25.222396650968104</v>
      </c>
    </row>
    <row r="96" spans="1:8" ht="14.25" customHeight="1" x14ac:dyDescent="0.3">
      <c r="A96" s="269" t="s">
        <v>95</v>
      </c>
      <c r="B96" s="123" t="str">
        <f t="shared" si="19"/>
        <v>Maggi Cubes - مكعبات ماجي</v>
      </c>
      <c r="C96" s="123" t="str">
        <f t="shared" si="19"/>
        <v>gm</v>
      </c>
      <c r="D96" s="123">
        <f t="shared" si="19"/>
        <v>10</v>
      </c>
      <c r="E96" s="196">
        <f t="shared" si="23"/>
        <v>1.0088958660387242</v>
      </c>
      <c r="F96" s="126">
        <f t="shared" si="20"/>
        <v>0.75</v>
      </c>
      <c r="G96" s="118">
        <f t="shared" si="21"/>
        <v>10.088958660387242</v>
      </c>
      <c r="H96" s="119">
        <f t="shared" si="22"/>
        <v>7.5667189952904312</v>
      </c>
    </row>
    <row r="97" spans="1:10" ht="20.25" customHeight="1" x14ac:dyDescent="0.4">
      <c r="A97" s="210"/>
      <c r="B97" s="197" t="s">
        <v>291</v>
      </c>
      <c r="C97" s="199" t="s">
        <v>277</v>
      </c>
      <c r="D97" s="14"/>
      <c r="E97" s="199" t="s">
        <v>292</v>
      </c>
      <c r="F97" s="14"/>
      <c r="G97" s="878" t="s">
        <v>268</v>
      </c>
      <c r="H97" s="878" t="s">
        <v>703</v>
      </c>
      <c r="I97" s="203"/>
      <c r="J97" s="202"/>
    </row>
    <row r="98" spans="1:10" ht="20" x14ac:dyDescent="0.4">
      <c r="A98" s="210"/>
      <c r="B98" s="198">
        <f>$J$54</f>
        <v>1347.5244755244785</v>
      </c>
      <c r="C98" s="924">
        <f>E98+G98</f>
        <v>988.71794871794987</v>
      </c>
      <c r="D98" s="925"/>
      <c r="E98" s="924">
        <f>$D$54*$S$44</f>
        <v>404.47552447552499</v>
      </c>
      <c r="F98" s="926"/>
      <c r="G98" s="924">
        <f>$D$54*$T$44</f>
        <v>584.24242424242493</v>
      </c>
      <c r="H98" s="924">
        <f>B98+E98</f>
        <v>1752.0000000000034</v>
      </c>
    </row>
  </sheetData>
  <mergeCells count="11">
    <mergeCell ref="B2:J3"/>
    <mergeCell ref="AE2:AG3"/>
    <mergeCell ref="B82:H82"/>
    <mergeCell ref="R26:U26"/>
    <mergeCell ref="AN2:AN3"/>
    <mergeCell ref="R25:U25"/>
    <mergeCell ref="B62:H62"/>
    <mergeCell ref="B81:H81"/>
    <mergeCell ref="B63:H63"/>
    <mergeCell ref="AK2:AM2"/>
    <mergeCell ref="B35:F35"/>
  </mergeCells>
  <printOptions horizontalCentered="1"/>
  <pageMargins left="0.5" right="0.5" top="1" bottom="0.5" header="0.3" footer="0.511811023622047"/>
  <pageSetup paperSize="9" scale="32" orientation="portrait" r:id="rId1"/>
  <legacyDrawing r:id="rId2"/>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tabColor theme="5" tint="-0.249977111117893"/>
    <pageSetUpPr fitToPage="1"/>
  </sheetPr>
  <dimension ref="A1:AT80"/>
  <sheetViews>
    <sheetView topLeftCell="R1" zoomScale="101" zoomScaleNormal="101" workbookViewId="0">
      <selection activeCell="Z3" sqref="Z3"/>
    </sheetView>
  </sheetViews>
  <sheetFormatPr defaultColWidth="12.5" defaultRowHeight="14" x14ac:dyDescent="0.3"/>
  <cols>
    <col min="1" max="1" width="11.5" style="78" customWidth="1"/>
    <col min="2" max="2" width="31.6640625" style="14" customWidth="1"/>
    <col min="3" max="3" width="21.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5.6640625" style="14" customWidth="1"/>
    <col min="15" max="17" width="12.5" style="14" customWidth="1"/>
    <col min="18" max="18" width="30.5" style="14" customWidth="1"/>
    <col min="19" max="27" width="12.5" style="14" customWidth="1"/>
    <col min="28" max="28" width="11.75" style="14" bestFit="1" customWidth="1"/>
    <col min="29" max="29" width="13.25" style="14" bestFit="1" customWidth="1"/>
    <col min="30" max="30" width="10.08203125" style="14" bestFit="1" customWidth="1"/>
    <col min="31" max="31" width="11.33203125" style="14" bestFit="1" customWidth="1"/>
    <col min="32" max="34" width="4.9140625" style="14" customWidth="1"/>
    <col min="35" max="35" width="12.5" style="14" customWidth="1"/>
    <col min="36" max="36" width="32.08203125" style="14" customWidth="1"/>
    <col min="37" max="37" width="12.5" style="14" customWidth="1"/>
    <col min="38" max="16384" width="12.5" style="14"/>
  </cols>
  <sheetData>
    <row r="1" spans="1:46" ht="35.25" customHeight="1" x14ac:dyDescent="0.3">
      <c r="B1" s="79" t="s">
        <v>235</v>
      </c>
      <c r="C1" s="80">
        <v>1000</v>
      </c>
      <c r="D1" s="81" t="s">
        <v>236</v>
      </c>
      <c r="E1" s="116">
        <f>T32</f>
        <v>6064.6153846153911</v>
      </c>
      <c r="F1" s="79" t="s">
        <v>237</v>
      </c>
      <c r="G1" s="80">
        <f>E1/C1</f>
        <v>6.064615384615391</v>
      </c>
      <c r="H1" s="79" t="s">
        <v>238</v>
      </c>
      <c r="I1" s="248">
        <f>(G1/K1)</f>
        <v>6.1883830455259092</v>
      </c>
      <c r="J1" s="85" t="s">
        <v>239</v>
      </c>
      <c r="K1" s="80">
        <v>0.98</v>
      </c>
      <c r="L1" s="99"/>
      <c r="M1" s="88"/>
      <c r="N1" s="89"/>
      <c r="O1" s="90" t="s">
        <v>240</v>
      </c>
      <c r="P1" s="91" t="s">
        <v>241</v>
      </c>
      <c r="Q1" s="92" t="s">
        <v>242</v>
      </c>
      <c r="R1" s="91">
        <v>0.59</v>
      </c>
      <c r="Y1" s="90" t="s">
        <v>463</v>
      </c>
      <c r="Z1" s="835">
        <v>25280</v>
      </c>
      <c r="AA1" s="90" t="s">
        <v>578</v>
      </c>
      <c r="AB1" s="835">
        <v>1000</v>
      </c>
      <c r="AC1" s="90" t="s">
        <v>567</v>
      </c>
      <c r="AD1" s="835">
        <v>172</v>
      </c>
      <c r="AE1" s="249"/>
      <c r="AF1" s="251"/>
      <c r="AG1" s="91"/>
      <c r="AI1" s="78"/>
      <c r="AJ1" s="93" t="s">
        <v>254</v>
      </c>
      <c r="AK1" s="93">
        <v>10000</v>
      </c>
      <c r="AL1" s="623" t="s">
        <v>503</v>
      </c>
      <c r="AM1" s="624">
        <f>$S$32</f>
        <v>20215.38461538461</v>
      </c>
      <c r="AN1" s="93" t="s">
        <v>243</v>
      </c>
      <c r="AO1" s="328">
        <f>((S32)/$R$1)/$AK$1</f>
        <v>3.4263363754889169</v>
      </c>
      <c r="AP1" s="95"/>
    </row>
    <row r="2" spans="1:46" ht="12.75" customHeight="1" x14ac:dyDescent="0.3">
      <c r="A2" s="96"/>
      <c r="B2" s="97"/>
      <c r="C2" s="97"/>
      <c r="D2" s="97"/>
      <c r="E2" s="97"/>
      <c r="F2" s="1443" t="s">
        <v>133</v>
      </c>
      <c r="G2" s="97"/>
      <c r="H2" s="97"/>
      <c r="I2" s="97"/>
      <c r="J2" s="97"/>
      <c r="K2" s="97"/>
      <c r="L2" s="292"/>
      <c r="M2" s="99"/>
      <c r="N2" s="99"/>
      <c r="O2" s="99"/>
      <c r="P2" s="99"/>
      <c r="Q2" s="99"/>
      <c r="R2" s="99"/>
      <c r="AC2" s="98"/>
      <c r="AD2" s="98"/>
      <c r="AE2" s="1457"/>
      <c r="AF2" s="1460"/>
      <c r="AG2" s="1460"/>
      <c r="AI2" s="78"/>
      <c r="AJ2" s="100"/>
      <c r="AK2" s="1442" t="s">
        <v>509</v>
      </c>
      <c r="AL2" s="1442"/>
      <c r="AM2" s="1442"/>
      <c r="AN2" s="1442"/>
      <c r="AO2" s="100"/>
      <c r="AP2" s="100"/>
    </row>
    <row r="3" spans="1:46" ht="12.75" customHeight="1" x14ac:dyDescent="0.3">
      <c r="A3" s="96"/>
      <c r="B3" s="102"/>
      <c r="C3" s="102"/>
      <c r="D3" s="102"/>
      <c r="E3" s="102"/>
      <c r="F3" s="1444"/>
      <c r="G3" s="102"/>
      <c r="H3" s="102"/>
      <c r="I3" s="102"/>
      <c r="J3" s="102"/>
      <c r="K3" s="102"/>
      <c r="L3" s="292"/>
      <c r="M3" s="99"/>
      <c r="N3" s="99"/>
      <c r="O3" s="99"/>
      <c r="P3" s="99"/>
      <c r="Q3" s="99"/>
      <c r="R3" s="99"/>
      <c r="AC3" s="98"/>
      <c r="AD3" s="98"/>
      <c r="AE3" s="1460"/>
      <c r="AF3" s="1460"/>
      <c r="AG3" s="1460"/>
      <c r="AI3" s="78"/>
      <c r="AJ3" s="100"/>
      <c r="AK3" s="100"/>
      <c r="AL3" s="100"/>
      <c r="AM3" s="100"/>
      <c r="AN3" s="1460"/>
      <c r="AO3" s="100"/>
      <c r="AP3" s="100"/>
    </row>
    <row r="4" spans="1:46" ht="46.5" customHeight="1" x14ac:dyDescent="0.3">
      <c r="A4" s="90" t="s">
        <v>1</v>
      </c>
      <c r="B4" s="90" t="s">
        <v>245</v>
      </c>
      <c r="C4" s="106" t="s">
        <v>246</v>
      </c>
      <c r="D4" s="90" t="s">
        <v>235</v>
      </c>
      <c r="E4" s="107" t="s">
        <v>238</v>
      </c>
      <c r="F4" s="107" t="s">
        <v>247</v>
      </c>
      <c r="G4" s="90" t="s">
        <v>248</v>
      </c>
      <c r="H4" s="330" t="s">
        <v>339</v>
      </c>
      <c r="I4" s="90" t="s">
        <v>250</v>
      </c>
      <c r="J4" s="90" t="s">
        <v>251</v>
      </c>
      <c r="K4" s="90" t="s">
        <v>252</v>
      </c>
      <c r="L4" s="90" t="s">
        <v>253</v>
      </c>
      <c r="M4" s="370"/>
      <c r="N4" s="370"/>
      <c r="O4" s="99"/>
      <c r="P4" s="99"/>
      <c r="Q4" s="99"/>
      <c r="R4" s="99"/>
      <c r="AC4" s="250"/>
      <c r="AD4" s="252"/>
      <c r="AE4" s="250"/>
      <c r="AF4" s="250"/>
      <c r="AG4" s="250"/>
      <c r="AI4" s="78"/>
      <c r="AJ4" s="93" t="s">
        <v>245</v>
      </c>
      <c r="AK4" s="527" t="s">
        <v>246</v>
      </c>
      <c r="AL4" s="93" t="s">
        <v>254</v>
      </c>
      <c r="AM4" s="93" t="s">
        <v>238</v>
      </c>
      <c r="AN4" s="93" t="s">
        <v>247</v>
      </c>
      <c r="AO4" s="93" t="s">
        <v>248</v>
      </c>
      <c r="AP4" s="93" t="s">
        <v>339</v>
      </c>
      <c r="AQ4" s="90" t="s">
        <v>250</v>
      </c>
      <c r="AR4" s="90" t="s">
        <v>251</v>
      </c>
      <c r="AS4" s="90" t="s">
        <v>252</v>
      </c>
      <c r="AT4" s="90" t="s">
        <v>253</v>
      </c>
    </row>
    <row r="5" spans="1:46" ht="14.25" customHeight="1" x14ac:dyDescent="0.3">
      <c r="A5" s="265" t="s">
        <v>225</v>
      </c>
      <c r="B5" s="308" t="s">
        <v>224</v>
      </c>
      <c r="C5" s="114" t="s">
        <v>14</v>
      </c>
      <c r="D5" s="120">
        <f>I51/10</f>
        <v>5649.8305084745762</v>
      </c>
      <c r="E5" s="116">
        <f>H52</f>
        <v>6.0644940947334884</v>
      </c>
      <c r="F5" s="298">
        <v>1</v>
      </c>
      <c r="G5" s="118">
        <f t="shared" ref="G5:G18" si="0">D5*E5</f>
        <v>34263.363754889171</v>
      </c>
      <c r="H5" s="206">
        <f t="shared" ref="H5:H18" si="1">G5*F5</f>
        <v>34263.363754889171</v>
      </c>
      <c r="I5" s="80">
        <f>VLOOKUP(B5,All_Ingredients!$A$1:$F$149,6,FALSE())</f>
        <v>0.86</v>
      </c>
      <c r="J5" s="118">
        <f>VLOOKUP(B5,All_Ingredients!$A$1:$J$149,10,FALSE())</f>
        <v>17.100000000000001</v>
      </c>
      <c r="K5" s="121">
        <f t="shared" ref="K5" si="2">(H5/I5)/1000</f>
        <v>39.841120645219966</v>
      </c>
      <c r="L5" s="121">
        <f t="shared" ref="L5" si="3">K5*J5</f>
        <v>681.28316303326153</v>
      </c>
      <c r="M5" s="130"/>
      <c r="N5" s="130"/>
      <c r="O5" s="99"/>
      <c r="P5" s="99"/>
      <c r="Q5" s="99"/>
      <c r="R5" s="99"/>
      <c r="AC5" s="91"/>
      <c r="AD5" s="132"/>
      <c r="AE5" s="253"/>
      <c r="AF5" s="134"/>
      <c r="AG5" s="135"/>
      <c r="AI5" s="78"/>
      <c r="AJ5" s="373" t="s">
        <v>224</v>
      </c>
      <c r="AK5" s="114" t="s">
        <v>231</v>
      </c>
      <c r="AL5" s="124">
        <v>10</v>
      </c>
      <c r="AM5" s="196">
        <f t="shared" ref="AM5:AM12" si="4">$AO$1</f>
        <v>3.4263363754889169</v>
      </c>
      <c r="AN5" s="298">
        <v>1</v>
      </c>
      <c r="AO5" s="118">
        <v>644.819466248038</v>
      </c>
      <c r="AP5" s="206">
        <v>644.819466248038</v>
      </c>
      <c r="AQ5" s="294"/>
      <c r="AR5" s="1152"/>
      <c r="AS5" s="174"/>
      <c r="AT5" s="1153"/>
    </row>
    <row r="6" spans="1:46" ht="14.25" customHeight="1" x14ac:dyDescent="0.3">
      <c r="A6" s="127" t="s">
        <v>81</v>
      </c>
      <c r="B6" s="113" t="s">
        <v>83</v>
      </c>
      <c r="C6" s="114" t="s">
        <v>14</v>
      </c>
      <c r="D6" s="124">
        <v>1</v>
      </c>
      <c r="E6" s="196">
        <f t="shared" ref="E6:E18" si="5">$I$1</f>
        <v>6.1883830455259092</v>
      </c>
      <c r="F6" s="298">
        <v>1</v>
      </c>
      <c r="G6" s="118">
        <f t="shared" si="0"/>
        <v>6.1883830455259092</v>
      </c>
      <c r="H6" s="206">
        <f t="shared" si="1"/>
        <v>6.1883830455259092</v>
      </c>
      <c r="I6" s="80">
        <f>VLOOKUP(B6,All_Ingredients!$A$1:$F$149,6,FALSE())</f>
        <v>1</v>
      </c>
      <c r="J6" s="118">
        <f>VLOOKUP(B6,All_Ingredients!$A$1:$J$149,10,FALSE())</f>
        <v>147.88732394366198</v>
      </c>
      <c r="K6" s="121">
        <f t="shared" ref="K6:K18" si="6">(H6/I6)/1000</f>
        <v>6.188383045525909E-3</v>
      </c>
      <c r="L6" s="121">
        <f t="shared" ref="L6:L18" si="7">K6*J6</f>
        <v>0.91518340814115562</v>
      </c>
      <c r="M6" s="130"/>
      <c r="N6" s="130"/>
      <c r="AI6" s="78" t="s">
        <v>56</v>
      </c>
      <c r="AJ6" s="80" t="s">
        <v>55</v>
      </c>
      <c r="AK6" s="114" t="s">
        <v>14</v>
      </c>
      <c r="AL6" s="124">
        <v>100</v>
      </c>
      <c r="AM6" s="196">
        <f t="shared" si="4"/>
        <v>3.4263363754889169</v>
      </c>
      <c r="AN6" s="298">
        <v>1</v>
      </c>
      <c r="AO6" s="118">
        <v>644.819466248038</v>
      </c>
      <c r="AP6" s="206">
        <v>644.819466248038</v>
      </c>
      <c r="AQ6" s="1153">
        <f>VLOOKUP(AJ6,Marination_Ordering!$A:$J,6,FALSE)</f>
        <v>0.87</v>
      </c>
      <c r="AR6" s="1153">
        <f>VLOOKUP(AJ6,Marination_Ordering!$A:$J,10,FALSE)</f>
        <v>3.2</v>
      </c>
      <c r="AS6" s="174">
        <f>AP6/AQ6</f>
        <v>741.1718002851012</v>
      </c>
      <c r="AT6" s="1153">
        <f>AR6*(AS6/1000)</f>
        <v>2.3717497609123241</v>
      </c>
    </row>
    <row r="7" spans="1:46" ht="14.25" customHeight="1" x14ac:dyDescent="0.3">
      <c r="A7" s="127" t="s">
        <v>13</v>
      </c>
      <c r="B7" s="113" t="s">
        <v>762</v>
      </c>
      <c r="C7" s="114" t="s">
        <v>14</v>
      </c>
      <c r="D7" s="124">
        <v>30</v>
      </c>
      <c r="E7" s="196">
        <f t="shared" si="5"/>
        <v>6.1883830455259092</v>
      </c>
      <c r="F7" s="298">
        <v>1</v>
      </c>
      <c r="G7" s="118">
        <f t="shared" si="0"/>
        <v>185.65149136577728</v>
      </c>
      <c r="H7" s="206">
        <f t="shared" si="1"/>
        <v>185.65149136577728</v>
      </c>
      <c r="I7" s="80">
        <f>VLOOKUP(B7,All_Ingredients!$A$1:$F$149,6,FALSE())</f>
        <v>1</v>
      </c>
      <c r="J7" s="118">
        <f>VLOOKUP(B7,All_Ingredients!$A$1:$J$149,10,FALSE())</f>
        <v>10.5</v>
      </c>
      <c r="K7" s="121">
        <f t="shared" si="6"/>
        <v>0.18565149136577727</v>
      </c>
      <c r="L7" s="121">
        <f t="shared" si="7"/>
        <v>1.9493406593406613</v>
      </c>
      <c r="M7" s="130"/>
      <c r="N7" s="130"/>
      <c r="AI7" s="78" t="s">
        <v>13</v>
      </c>
      <c r="AJ7" s="80" t="s">
        <v>762</v>
      </c>
      <c r="AK7" s="114" t="s">
        <v>14</v>
      </c>
      <c r="AL7" s="124">
        <v>200</v>
      </c>
      <c r="AM7" s="196">
        <f t="shared" si="4"/>
        <v>3.4263363754889169</v>
      </c>
      <c r="AN7" s="298">
        <v>1</v>
      </c>
      <c r="AO7" s="118">
        <v>1289.6389324960801</v>
      </c>
      <c r="AP7" s="206">
        <v>1160.6750392464701</v>
      </c>
      <c r="AQ7" s="1153">
        <f>VLOOKUP(AJ7,Marination_Ordering!$A:$J,6,FALSE)</f>
        <v>1</v>
      </c>
      <c r="AR7" s="1153">
        <f>VLOOKUP(AJ7,Marination_Ordering!$A:$J,10,FALSE)</f>
        <v>10.5</v>
      </c>
      <c r="AS7" s="174">
        <f t="shared" ref="AS7:AS8" si="8">AP7/AQ7</f>
        <v>1160.6750392464701</v>
      </c>
      <c r="AT7" s="1153">
        <f t="shared" ref="AT7:AT8" si="9">AR7*(AS7/1000)</f>
        <v>12.187087912087934</v>
      </c>
    </row>
    <row r="8" spans="1:46" ht="14.25" customHeight="1" x14ac:dyDescent="0.3">
      <c r="A8" s="127" t="s">
        <v>13</v>
      </c>
      <c r="B8" s="113" t="s">
        <v>17</v>
      </c>
      <c r="C8" s="114" t="s">
        <v>14</v>
      </c>
      <c r="D8" s="124">
        <v>400</v>
      </c>
      <c r="E8" s="196">
        <f t="shared" si="5"/>
        <v>6.1883830455259092</v>
      </c>
      <c r="F8" s="298">
        <v>0.9</v>
      </c>
      <c r="G8" s="118">
        <f t="shared" si="0"/>
        <v>2475.3532182103636</v>
      </c>
      <c r="H8" s="206">
        <f t="shared" si="1"/>
        <v>2227.8178963893274</v>
      </c>
      <c r="I8" s="80">
        <f>VLOOKUP(B8,All_Ingredients!$A$1:$F$149,6,FALSE())</f>
        <v>0.98</v>
      </c>
      <c r="J8" s="118">
        <f>VLOOKUP(B8,All_Ingredients!$A$1:$J$149,10,FALSE())</f>
        <v>3.5</v>
      </c>
      <c r="K8" s="121">
        <f t="shared" si="6"/>
        <v>2.2732835677442118</v>
      </c>
      <c r="L8" s="121">
        <f t="shared" si="7"/>
        <v>7.9564924871047413</v>
      </c>
      <c r="M8" s="130"/>
      <c r="N8" s="130"/>
      <c r="AI8" s="78" t="s">
        <v>206</v>
      </c>
      <c r="AJ8" s="80" t="s">
        <v>214</v>
      </c>
      <c r="AK8" s="114" t="s">
        <v>161</v>
      </c>
      <c r="AL8" s="124">
        <v>350</v>
      </c>
      <c r="AM8" s="196">
        <f t="shared" si="4"/>
        <v>3.4263363754889169</v>
      </c>
      <c r="AN8" s="298">
        <v>1</v>
      </c>
      <c r="AO8" s="118">
        <v>2256.8681318681301</v>
      </c>
      <c r="AP8" s="206">
        <v>2031.1813186813199</v>
      </c>
      <c r="AQ8" s="1153">
        <f>VLOOKUP(AJ8,Marination_Ordering!$A:$J,6,FALSE)</f>
        <v>1</v>
      </c>
      <c r="AR8" s="1153">
        <f>VLOOKUP(AJ8,Marination_Ordering!$A:$J,10,FALSE)</f>
        <v>5</v>
      </c>
      <c r="AS8" s="174">
        <f t="shared" si="8"/>
        <v>2031.1813186813199</v>
      </c>
      <c r="AT8" s="1153">
        <f t="shared" si="9"/>
        <v>10.1559065934066</v>
      </c>
    </row>
    <row r="9" spans="1:46" ht="14.25" customHeight="1" x14ac:dyDescent="0.3">
      <c r="A9" s="127" t="s">
        <v>192</v>
      </c>
      <c r="B9" s="113" t="s">
        <v>731</v>
      </c>
      <c r="C9" s="114" t="s">
        <v>14</v>
      </c>
      <c r="D9" s="124">
        <v>200</v>
      </c>
      <c r="E9" s="196">
        <f t="shared" si="5"/>
        <v>6.1883830455259092</v>
      </c>
      <c r="F9" s="298">
        <v>0.9</v>
      </c>
      <c r="G9" s="118">
        <f t="shared" si="0"/>
        <v>1237.6766091051818</v>
      </c>
      <c r="H9" s="206">
        <f t="shared" si="1"/>
        <v>1113.9089481946637</v>
      </c>
      <c r="I9" s="80">
        <f>VLOOKUP(B9,All_Ingredients!$A$1:$F$149,6,FALSE())</f>
        <v>1</v>
      </c>
      <c r="J9" s="118">
        <f>VLOOKUP(B9,All_Ingredients!$A$1:$J$149,10,FALSE())</f>
        <v>8.1520833333333336</v>
      </c>
      <c r="K9" s="121">
        <f t="shared" si="6"/>
        <v>1.1139089481946638</v>
      </c>
      <c r="L9" s="121">
        <f t="shared" si="7"/>
        <v>9.0806785714285816</v>
      </c>
      <c r="M9" s="130"/>
      <c r="N9" s="130"/>
      <c r="AI9" s="78" t="s">
        <v>206</v>
      </c>
      <c r="AJ9" s="80" t="s">
        <v>210</v>
      </c>
      <c r="AK9" s="123" t="s">
        <v>161</v>
      </c>
      <c r="AL9" s="124">
        <v>50</v>
      </c>
      <c r="AM9" s="196">
        <f t="shared" si="4"/>
        <v>3.4263363754889169</v>
      </c>
      <c r="AN9" s="298">
        <v>1</v>
      </c>
      <c r="AO9" s="118">
        <v>322.409733124019</v>
      </c>
      <c r="AP9" s="206">
        <v>322.409733124019</v>
      </c>
      <c r="AQ9" s="1153">
        <f>VLOOKUP(AJ9,Marination_Ordering!$A:$J,6,FALSE)</f>
        <v>1</v>
      </c>
      <c r="AR9" s="1153">
        <f>VLOOKUP(AJ9,Marination_Ordering!$A:$J,10,FALSE)</f>
        <v>2.1621621621621623</v>
      </c>
      <c r="AS9" s="174">
        <f t="shared" ref="AS9:AS12" si="10">AP9/AQ9</f>
        <v>322.409733124019</v>
      </c>
      <c r="AT9" s="1153">
        <f t="shared" ref="AT9:AT12" si="11">AR9*(AS9/1000)</f>
        <v>0.69710212567355467</v>
      </c>
    </row>
    <row r="10" spans="1:46" ht="14.25" customHeight="1" x14ac:dyDescent="0.3">
      <c r="A10" s="127" t="s">
        <v>182</v>
      </c>
      <c r="B10" s="113" t="s">
        <v>181</v>
      </c>
      <c r="C10" s="114" t="s">
        <v>14</v>
      </c>
      <c r="D10" s="124">
        <v>10</v>
      </c>
      <c r="E10" s="196">
        <f t="shared" si="5"/>
        <v>6.1883830455259092</v>
      </c>
      <c r="F10" s="298">
        <v>1</v>
      </c>
      <c r="G10" s="118">
        <f t="shared" si="0"/>
        <v>61.883830455259094</v>
      </c>
      <c r="H10" s="206">
        <f t="shared" si="1"/>
        <v>61.883830455259094</v>
      </c>
      <c r="I10" s="80">
        <f>VLOOKUP(B10,All_Ingredients!$A$1:$F$149,6,FALSE())</f>
        <v>1</v>
      </c>
      <c r="J10" s="118">
        <f>VLOOKUP(B10,All_Ingredients!$A$1:$J$149,10,FALSE())</f>
        <v>2.7</v>
      </c>
      <c r="K10" s="121">
        <f t="shared" si="6"/>
        <v>6.1883830455259095E-2</v>
      </c>
      <c r="L10" s="121">
        <f t="shared" si="7"/>
        <v>0.16708634222919957</v>
      </c>
      <c r="M10" s="130"/>
      <c r="N10" s="130"/>
      <c r="AI10" s="78" t="s">
        <v>95</v>
      </c>
      <c r="AJ10" s="80" t="s">
        <v>94</v>
      </c>
      <c r="AK10" s="114" t="s">
        <v>14</v>
      </c>
      <c r="AL10" s="124">
        <v>2</v>
      </c>
      <c r="AM10" s="196">
        <f t="shared" si="4"/>
        <v>3.4263363754889169</v>
      </c>
      <c r="AN10" s="298">
        <v>1</v>
      </c>
      <c r="AO10" s="118">
        <v>12.896389324960801</v>
      </c>
      <c r="AP10" s="206">
        <v>12.896389324960801</v>
      </c>
      <c r="AQ10" s="1153">
        <f>VLOOKUP(AJ10,Marination_Ordering!$A:$J,6,FALSE)</f>
        <v>1</v>
      </c>
      <c r="AR10" s="1153">
        <f>VLOOKUP(AJ10,Marination_Ordering!$A:$J,10,FALSE)</f>
        <v>0.74</v>
      </c>
      <c r="AS10" s="174">
        <f t="shared" si="10"/>
        <v>12.896389324960801</v>
      </c>
      <c r="AT10" s="1153">
        <f t="shared" si="11"/>
        <v>9.5433281004709929E-3</v>
      </c>
    </row>
    <row r="11" spans="1:46" ht="14" customHeight="1" x14ac:dyDescent="0.3">
      <c r="A11" s="127" t="s">
        <v>206</v>
      </c>
      <c r="B11" s="113" t="s">
        <v>210</v>
      </c>
      <c r="C11" s="114" t="s">
        <v>161</v>
      </c>
      <c r="D11" s="124">
        <v>5</v>
      </c>
      <c r="E11" s="196">
        <f t="shared" si="5"/>
        <v>6.1883830455259092</v>
      </c>
      <c r="F11" s="298">
        <v>1</v>
      </c>
      <c r="G11" s="118">
        <f t="shared" si="0"/>
        <v>30.941915227629547</v>
      </c>
      <c r="H11" s="206">
        <f t="shared" si="1"/>
        <v>30.941915227629547</v>
      </c>
      <c r="I11" s="80">
        <f>VLOOKUP(B11,All_Ingredients!$A$1:$F$149,6,FALSE())</f>
        <v>1</v>
      </c>
      <c r="J11" s="118">
        <f>VLOOKUP(B11,All_Ingredients!$A$1:$J$149,10,FALSE())</f>
        <v>2.1621621621621623</v>
      </c>
      <c r="K11" s="121">
        <f t="shared" si="6"/>
        <v>3.0941915227629548E-2</v>
      </c>
      <c r="L11" s="121">
        <f t="shared" si="7"/>
        <v>6.6901438330009833E-2</v>
      </c>
      <c r="M11" s="130"/>
      <c r="N11" s="130"/>
      <c r="AI11" s="78" t="s">
        <v>95</v>
      </c>
      <c r="AJ11" s="80" t="s">
        <v>100</v>
      </c>
      <c r="AK11" s="114" t="s">
        <v>14</v>
      </c>
      <c r="AL11" s="124">
        <v>2</v>
      </c>
      <c r="AM11" s="196">
        <f t="shared" si="4"/>
        <v>3.4263363754889169</v>
      </c>
      <c r="AN11" s="298">
        <v>1</v>
      </c>
      <c r="AO11" s="118">
        <v>12.896389324960801</v>
      </c>
      <c r="AP11" s="206">
        <v>12.896389324960801</v>
      </c>
      <c r="AQ11" s="1153">
        <f>VLOOKUP(AJ11,Marination_Ordering!$A:$J,6,FALSE)</f>
        <v>1</v>
      </c>
      <c r="AR11" s="1153">
        <f>VLOOKUP(AJ11,Marination_Ordering!$A:$J,10,FALSE)</f>
        <v>31</v>
      </c>
      <c r="AS11" s="174">
        <f t="shared" si="10"/>
        <v>12.896389324960801</v>
      </c>
      <c r="AT11" s="1153">
        <f t="shared" si="11"/>
        <v>0.39978806907378484</v>
      </c>
    </row>
    <row r="12" spans="1:46" x14ac:dyDescent="0.3">
      <c r="A12" s="127" t="s">
        <v>154</v>
      </c>
      <c r="B12" s="122" t="s">
        <v>153</v>
      </c>
      <c r="C12" s="114" t="s">
        <v>14</v>
      </c>
      <c r="D12" s="124">
        <v>25</v>
      </c>
      <c r="E12" s="196">
        <f t="shared" si="5"/>
        <v>6.1883830455259092</v>
      </c>
      <c r="F12" s="298">
        <v>1</v>
      </c>
      <c r="G12" s="118">
        <f t="shared" si="0"/>
        <v>154.70957613814772</v>
      </c>
      <c r="H12" s="206">
        <f t="shared" si="1"/>
        <v>154.70957613814772</v>
      </c>
      <c r="I12" s="80">
        <f>VLOOKUP(B12,All_Ingredients!$A$1:$F$149,6,FALSE())</f>
        <v>1</v>
      </c>
      <c r="J12" s="118">
        <f>VLOOKUP(B12,All_Ingredients!$A$1:$J$149,10,FALSE())</f>
        <v>30</v>
      </c>
      <c r="K12" s="121">
        <f t="shared" si="6"/>
        <v>0.15470957613814773</v>
      </c>
      <c r="L12" s="121">
        <f t="shared" si="7"/>
        <v>4.6412872841444317</v>
      </c>
      <c r="M12" s="130"/>
      <c r="N12" s="130"/>
      <c r="AI12" s="78" t="s">
        <v>95</v>
      </c>
      <c r="AJ12" s="80" t="s">
        <v>111</v>
      </c>
      <c r="AK12" s="114" t="s">
        <v>14</v>
      </c>
      <c r="AL12" s="124">
        <v>7</v>
      </c>
      <c r="AM12" s="196">
        <f t="shared" si="4"/>
        <v>3.4263363754889169</v>
      </c>
      <c r="AN12" s="298">
        <v>1</v>
      </c>
      <c r="AO12" s="118">
        <v>45.1373626373626</v>
      </c>
      <c r="AP12" s="206">
        <v>40.623626373626401</v>
      </c>
      <c r="AQ12" s="1153">
        <f>VLOOKUP(AJ12,Marination_Ordering!$A:$J,6,FALSE)</f>
        <v>1</v>
      </c>
      <c r="AR12" s="1153">
        <f>VLOOKUP(AJ12,Marination_Ordering!$A:$J,10,FALSE)</f>
        <v>64.243759177679877</v>
      </c>
      <c r="AS12" s="174">
        <f t="shared" si="10"/>
        <v>40.623626373626401</v>
      </c>
      <c r="AT12" s="1153">
        <f t="shared" si="11"/>
        <v>2.6098144696712997</v>
      </c>
    </row>
    <row r="13" spans="1:46" ht="14.25" customHeight="1" x14ac:dyDescent="0.3">
      <c r="A13" s="127" t="s">
        <v>81</v>
      </c>
      <c r="B13" s="122" t="s">
        <v>85</v>
      </c>
      <c r="C13" s="114" t="s">
        <v>14</v>
      </c>
      <c r="D13" s="124">
        <v>1</v>
      </c>
      <c r="E13" s="196">
        <f t="shared" si="5"/>
        <v>6.1883830455259092</v>
      </c>
      <c r="F13" s="298">
        <v>0.9</v>
      </c>
      <c r="G13" s="118">
        <f t="shared" si="0"/>
        <v>6.1883830455259092</v>
      </c>
      <c r="H13" s="206">
        <f t="shared" si="1"/>
        <v>5.5695447409733188</v>
      </c>
      <c r="I13" s="80">
        <f>VLOOKUP(B13,All_Ingredients!$A$1:$F$149,6,FALSE())</f>
        <v>1</v>
      </c>
      <c r="J13" s="118">
        <f>VLOOKUP(B13,All_Ingredients!$A$1:$J$149,10,FALSE())</f>
        <v>140.84507042253523</v>
      </c>
      <c r="K13" s="121">
        <f t="shared" si="6"/>
        <v>5.5695447409733184E-3</v>
      </c>
      <c r="L13" s="121">
        <f t="shared" si="7"/>
        <v>0.78444292126384774</v>
      </c>
      <c r="M13" s="130"/>
      <c r="N13" s="130"/>
      <c r="R13" s="14" t="s">
        <v>450</v>
      </c>
      <c r="S13" s="14" t="s">
        <v>451</v>
      </c>
      <c r="T13" s="14" t="s">
        <v>452</v>
      </c>
    </row>
    <row r="14" spans="1:46" ht="14.25" customHeight="1" x14ac:dyDescent="0.3">
      <c r="A14" s="127" t="s">
        <v>192</v>
      </c>
      <c r="B14" s="122" t="s">
        <v>194</v>
      </c>
      <c r="C14" s="114" t="s">
        <v>161</v>
      </c>
      <c r="D14" s="124">
        <v>35</v>
      </c>
      <c r="E14" s="196">
        <f t="shared" si="5"/>
        <v>6.1883830455259092</v>
      </c>
      <c r="F14" s="298">
        <v>0.75</v>
      </c>
      <c r="G14" s="118">
        <f t="shared" si="0"/>
        <v>216.59340659340683</v>
      </c>
      <c r="H14" s="206">
        <f t="shared" si="1"/>
        <v>162.44505494505512</v>
      </c>
      <c r="I14" s="80">
        <f>VLOOKUP(B14,All_Ingredients!$A$1:$F$149,6,FALSE())</f>
        <v>1</v>
      </c>
      <c r="J14" s="118">
        <f>VLOOKUP(B14,All_Ingredients!$A$1:$J$149,10,FALSE())</f>
        <v>58.685446009389672</v>
      </c>
      <c r="K14" s="121">
        <f t="shared" si="6"/>
        <v>0.16244505494505512</v>
      </c>
      <c r="L14" s="121">
        <f t="shared" si="7"/>
        <v>9.5331605014703715</v>
      </c>
      <c r="M14" s="130"/>
      <c r="N14" s="130"/>
    </row>
    <row r="15" spans="1:46" ht="14.25" customHeight="1" x14ac:dyDescent="0.35">
      <c r="A15" s="127" t="s">
        <v>192</v>
      </c>
      <c r="B15" s="122" t="s">
        <v>200</v>
      </c>
      <c r="C15" s="992" t="s">
        <v>161</v>
      </c>
      <c r="D15" s="124">
        <v>200</v>
      </c>
      <c r="E15" s="196">
        <f t="shared" si="5"/>
        <v>6.1883830455259092</v>
      </c>
      <c r="F15" s="298">
        <v>0.9</v>
      </c>
      <c r="G15" s="118">
        <f t="shared" si="0"/>
        <v>1237.6766091051818</v>
      </c>
      <c r="H15" s="206">
        <f t="shared" si="1"/>
        <v>1113.9089481946637</v>
      </c>
      <c r="I15" s="80">
        <f>VLOOKUP(B15,All_Ingredients!$A$1:$F$149,6,FALSE())</f>
        <v>1</v>
      </c>
      <c r="J15" s="118">
        <f>VLOOKUP(B15,All_Ingredients!$A$1:$J$149,10,FALSE())</f>
        <v>3.25</v>
      </c>
      <c r="K15" s="121">
        <f t="shared" si="6"/>
        <v>1.1139089481946638</v>
      </c>
      <c r="L15" s="121">
        <f t="shared" si="7"/>
        <v>3.6202040816326573</v>
      </c>
      <c r="M15" s="130"/>
      <c r="N15" s="130"/>
    </row>
    <row r="16" spans="1:46" ht="14.25" customHeight="1" x14ac:dyDescent="0.3">
      <c r="A16" s="127" t="s">
        <v>95</v>
      </c>
      <c r="B16" s="122" t="s">
        <v>94</v>
      </c>
      <c r="C16" s="114" t="s">
        <v>14</v>
      </c>
      <c r="D16" s="124">
        <v>5</v>
      </c>
      <c r="E16" s="196">
        <f t="shared" si="5"/>
        <v>6.1883830455259092</v>
      </c>
      <c r="F16" s="298">
        <v>1</v>
      </c>
      <c r="G16" s="118">
        <f t="shared" si="0"/>
        <v>30.941915227629547</v>
      </c>
      <c r="H16" s="206">
        <f t="shared" si="1"/>
        <v>30.941915227629547</v>
      </c>
      <c r="I16" s="80">
        <f>VLOOKUP(B16,All_Ingredients!$A$1:$F$149,6,FALSE())</f>
        <v>1</v>
      </c>
      <c r="J16" s="118">
        <f>VLOOKUP(B16,All_Ingredients!$A$1:$J$149,10,FALSE())</f>
        <v>0.74</v>
      </c>
      <c r="K16" s="121">
        <f t="shared" si="6"/>
        <v>3.0941915227629548E-2</v>
      </c>
      <c r="L16" s="121">
        <f t="shared" si="7"/>
        <v>2.2897017268445865E-2</v>
      </c>
      <c r="M16" s="130"/>
      <c r="N16" s="130"/>
      <c r="S16" s="1305" t="s">
        <v>841</v>
      </c>
    </row>
    <row r="17" spans="1:31" ht="14.25" customHeight="1" x14ac:dyDescent="0.3">
      <c r="A17" s="127" t="s">
        <v>154</v>
      </c>
      <c r="B17" s="293" t="s">
        <v>174</v>
      </c>
      <c r="C17" s="114" t="s">
        <v>14</v>
      </c>
      <c r="D17" s="124">
        <v>150</v>
      </c>
      <c r="E17" s="196">
        <f t="shared" si="5"/>
        <v>6.1883830455259092</v>
      </c>
      <c r="F17" s="298">
        <v>1</v>
      </c>
      <c r="G17" s="118">
        <f t="shared" si="0"/>
        <v>928.25745682888635</v>
      </c>
      <c r="H17" s="206">
        <f t="shared" si="1"/>
        <v>928.25745682888635</v>
      </c>
      <c r="I17" s="80">
        <f>VLOOKUP(B17,All_Ingredients!$A$1:$F$149,6,FALSE())</f>
        <v>1</v>
      </c>
      <c r="J17" s="118">
        <f>VLOOKUP(B17,All_Ingredients!$A$1:$J$149,10,FALSE())</f>
        <v>17.934782608695652</v>
      </c>
      <c r="K17" s="121">
        <f t="shared" si="6"/>
        <v>0.92825745682888638</v>
      </c>
      <c r="L17" s="121">
        <f t="shared" si="7"/>
        <v>16.648095693126766</v>
      </c>
      <c r="M17" s="130"/>
      <c r="N17" s="130"/>
    </row>
    <row r="18" spans="1:31" ht="14.25" customHeight="1" x14ac:dyDescent="0.3">
      <c r="A18" s="127" t="s">
        <v>154</v>
      </c>
      <c r="B18" s="411" t="s">
        <v>876</v>
      </c>
      <c r="C18" s="114" t="s">
        <v>234</v>
      </c>
      <c r="D18" s="124">
        <v>50</v>
      </c>
      <c r="E18" s="196">
        <f t="shared" si="5"/>
        <v>6.1883830455259092</v>
      </c>
      <c r="F18" s="298">
        <v>1</v>
      </c>
      <c r="G18" s="118">
        <f t="shared" si="0"/>
        <v>309.41915227629545</v>
      </c>
      <c r="H18" s="206">
        <f t="shared" si="1"/>
        <v>309.41915227629545</v>
      </c>
      <c r="I18" s="80">
        <f>VLOOKUP(B18,All_Ingredients!$A$1:$F$149,6,FALSE())</f>
        <v>1</v>
      </c>
      <c r="J18" s="118">
        <f>VLOOKUP(B18,All_Ingredients!$A$1:$J$149,10,FALSE())</f>
        <v>0.58333333333333337</v>
      </c>
      <c r="K18" s="121">
        <f t="shared" si="6"/>
        <v>0.30941915227629546</v>
      </c>
      <c r="L18" s="121">
        <f t="shared" si="7"/>
        <v>0.18049450549450569</v>
      </c>
      <c r="M18" s="130"/>
      <c r="N18" s="130"/>
    </row>
    <row r="19" spans="1:31" ht="14.25" customHeight="1" x14ac:dyDescent="0.3">
      <c r="B19" s="91"/>
      <c r="C19" s="249"/>
      <c r="D19" s="253"/>
      <c r="E19" s="295"/>
      <c r="F19" s="532"/>
      <c r="G19" s="136"/>
      <c r="H19" s="533"/>
      <c r="I19" s="91"/>
      <c r="J19" s="138"/>
      <c r="K19" s="91"/>
      <c r="L19" s="136"/>
      <c r="M19" s="130"/>
      <c r="N19" s="130"/>
      <c r="X19"/>
    </row>
    <row r="20" spans="1:31" ht="14.25" customHeight="1" x14ac:dyDescent="0.3">
      <c r="I20" s="91"/>
      <c r="J20" s="138"/>
      <c r="K20" s="91"/>
      <c r="L20" s="136"/>
      <c r="M20" s="130"/>
      <c r="N20" s="130"/>
    </row>
    <row r="21" spans="1:31" ht="14.25" customHeight="1" x14ac:dyDescent="0.3">
      <c r="I21" s="91"/>
      <c r="J21" s="138"/>
      <c r="K21" s="91"/>
      <c r="L21" s="136"/>
      <c r="M21" s="130"/>
      <c r="N21" s="130"/>
    </row>
    <row r="22" spans="1:31" ht="14.25" customHeight="1" x14ac:dyDescent="0.3">
      <c r="I22" s="91"/>
      <c r="J22" s="138"/>
      <c r="K22" s="91"/>
      <c r="L22" s="136"/>
      <c r="M22" s="130"/>
      <c r="N22" s="130"/>
    </row>
    <row r="23" spans="1:31" ht="14.25" customHeight="1" x14ac:dyDescent="0.3">
      <c r="I23" s="91"/>
      <c r="J23" s="138"/>
      <c r="K23" s="91"/>
      <c r="L23" s="136"/>
      <c r="M23" s="130"/>
      <c r="N23" s="130"/>
    </row>
    <row r="24" spans="1:31" ht="14.25" customHeight="1" x14ac:dyDescent="0.3">
      <c r="I24" s="91"/>
      <c r="J24" s="138"/>
      <c r="K24" s="91"/>
      <c r="L24" s="136"/>
      <c r="M24" s="130"/>
      <c r="N24" s="130"/>
      <c r="Z24" s="1208"/>
    </row>
    <row r="25" spans="1:31" ht="14.25" customHeight="1" x14ac:dyDescent="0.35">
      <c r="I25" s="91"/>
      <c r="J25" s="138"/>
      <c r="K25" s="91"/>
      <c r="L25" s="136"/>
      <c r="M25" s="130"/>
      <c r="N25" s="130"/>
      <c r="R25" s="1440" t="s">
        <v>509</v>
      </c>
      <c r="S25" s="1444"/>
      <c r="T25" s="1444"/>
      <c r="U25" s="1444"/>
      <c r="V25" s="1187"/>
      <c r="W25" s="1187"/>
      <c r="Z25" s="140" t="s">
        <v>256</v>
      </c>
      <c r="AA25" s="141">
        <v>1</v>
      </c>
      <c r="AB25" s="140" t="s">
        <v>253</v>
      </c>
      <c r="AC25" s="142">
        <f>(AA25*AE30)+(AA30*(AB28/R1))</f>
        <v>2.915836339673427E-2</v>
      </c>
    </row>
    <row r="26" spans="1:31" ht="14.25" customHeight="1" x14ac:dyDescent="0.3">
      <c r="I26" s="91"/>
      <c r="J26" s="138"/>
      <c r="K26" s="91"/>
      <c r="L26" s="136"/>
      <c r="M26" s="130"/>
      <c r="N26" s="130"/>
      <c r="R26" s="1459" t="s">
        <v>365</v>
      </c>
      <c r="S26" s="1444"/>
      <c r="T26" s="1444"/>
      <c r="U26" s="1444"/>
      <c r="V26" s="1187"/>
      <c r="W26" s="1187"/>
    </row>
    <row r="27" spans="1:31" ht="14.25" customHeight="1" thickBot="1" x14ac:dyDescent="0.35">
      <c r="I27" s="91"/>
      <c r="J27" s="138"/>
      <c r="K27" s="91"/>
      <c r="L27" s="136"/>
      <c r="M27" s="130"/>
      <c r="N27" s="130"/>
      <c r="R27" s="144" t="s">
        <v>258</v>
      </c>
      <c r="S27" s="145" t="s">
        <v>259</v>
      </c>
      <c r="T27" s="145" t="s">
        <v>260</v>
      </c>
      <c r="U27" s="145" t="s">
        <v>261</v>
      </c>
      <c r="V27" s="145" t="s">
        <v>808</v>
      </c>
      <c r="W27" s="145" t="s">
        <v>817</v>
      </c>
      <c r="Z27" s="140" t="s">
        <v>262</v>
      </c>
      <c r="AA27" s="1166" t="s">
        <v>316</v>
      </c>
      <c r="AB27" s="146" t="s">
        <v>263</v>
      </c>
      <c r="AC27" s="146" t="s">
        <v>264</v>
      </c>
      <c r="AD27" s="1167" t="s">
        <v>817</v>
      </c>
      <c r="AE27" s="146" t="s">
        <v>266</v>
      </c>
    </row>
    <row r="28" spans="1:31" ht="14.25" customHeight="1" thickBot="1" x14ac:dyDescent="0.35">
      <c r="I28" s="91"/>
      <c r="J28" s="138"/>
      <c r="K28" s="91"/>
      <c r="L28" s="136"/>
      <c r="M28" s="130"/>
      <c r="N28" s="130"/>
      <c r="R28" s="147" t="s">
        <v>267</v>
      </c>
      <c r="S28" s="754">
        <f>U28*S40</f>
        <v>19446.15384615384</v>
      </c>
      <c r="T28" s="754">
        <f>U28*U40</f>
        <v>5833.8461538461597</v>
      </c>
      <c r="U28" s="760">
        <f>$Z$1</f>
        <v>25280</v>
      </c>
      <c r="V28" s="148">
        <f>SUM(AP5:AP13)</f>
        <v>4870.3214285714339</v>
      </c>
      <c r="W28" s="148">
        <f>H37</f>
        <v>86</v>
      </c>
      <c r="Z28" s="150"/>
      <c r="AA28" s="1169"/>
      <c r="AB28" s="151">
        <f>AA25*$S$40</f>
        <v>0.76923076923076905</v>
      </c>
      <c r="AC28" s="151">
        <f>AA25-AB28</f>
        <v>0.23076923076923095</v>
      </c>
      <c r="AD28" s="1169"/>
      <c r="AE28" s="153">
        <f>SUM(AB28:AC28)</f>
        <v>1</v>
      </c>
    </row>
    <row r="29" spans="1:31" ht="14.25" customHeight="1" thickBot="1" x14ac:dyDescent="0.35">
      <c r="I29" s="91"/>
      <c r="J29" s="138"/>
      <c r="K29" s="91"/>
      <c r="L29" s="136"/>
      <c r="M29" s="130"/>
      <c r="N29" s="130"/>
      <c r="R29" s="147" t="s">
        <v>268</v>
      </c>
      <c r="S29" s="756"/>
      <c r="T29" s="754"/>
      <c r="U29" s="148">
        <f>T29</f>
        <v>0</v>
      </c>
      <c r="V29" s="148"/>
      <c r="W29" s="148"/>
      <c r="Z29" s="150"/>
      <c r="AA29" s="1173"/>
      <c r="AB29" s="155">
        <f>AB28/$AE$28</f>
        <v>0.76923076923076905</v>
      </c>
      <c r="AC29" s="155">
        <f>AC28/$AE$28</f>
        <v>0.23076923076923095</v>
      </c>
      <c r="AD29" s="1173"/>
      <c r="AE29" s="155">
        <f>AE28/$AE$28</f>
        <v>1</v>
      </c>
    </row>
    <row r="30" spans="1:31" ht="14.25" customHeight="1" thickBot="1" x14ac:dyDescent="0.35">
      <c r="I30" s="91"/>
      <c r="J30" s="138"/>
      <c r="K30" s="91"/>
      <c r="L30" s="136"/>
      <c r="M30" s="130"/>
      <c r="N30" s="130"/>
      <c r="R30" s="147" t="s">
        <v>269</v>
      </c>
      <c r="S30" s="1318">
        <f>U30*S40</f>
        <v>769.23076923076906</v>
      </c>
      <c r="T30" s="1318">
        <f>U30*U40</f>
        <v>230.769230769231</v>
      </c>
      <c r="U30" s="760">
        <f>$AB$1</f>
        <v>1000</v>
      </c>
      <c r="V30" s="1124"/>
      <c r="W30" s="1124"/>
      <c r="Z30" s="140" t="s">
        <v>270</v>
      </c>
      <c r="AA30" s="1177">
        <f>V35/(S32/R1)</f>
        <v>8.2977819872892794E-4</v>
      </c>
      <c r="AB30" s="156">
        <f>S35/(S32)</f>
        <v>3.3701221915648408E-2</v>
      </c>
      <c r="AC30" s="157">
        <f>T35/T32</f>
        <v>9.1623724485372805E-3</v>
      </c>
      <c r="AD30" s="1180">
        <f>W35/U32</f>
        <v>3.8103876065970267E-5</v>
      </c>
      <c r="AE30" s="1182">
        <f>SUMPRODUCT(AB30:AC30,AB29:AC29)+AD30</f>
        <v>2.8076514376227192E-2</v>
      </c>
    </row>
    <row r="31" spans="1:31" ht="14.25" customHeight="1" thickBot="1" x14ac:dyDescent="0.35">
      <c r="I31" s="91"/>
      <c r="J31" s="138"/>
      <c r="K31" s="91"/>
      <c r="L31" s="136"/>
      <c r="M31" s="130"/>
      <c r="N31" s="130"/>
      <c r="R31" s="147" t="s">
        <v>271</v>
      </c>
      <c r="S31" s="154"/>
      <c r="T31" s="148"/>
      <c r="U31" s="148"/>
      <c r="V31" s="148"/>
      <c r="W31" s="148"/>
    </row>
    <row r="32" spans="1:31" ht="14.25" customHeight="1" thickBot="1" x14ac:dyDescent="0.35">
      <c r="B32" s="91"/>
      <c r="C32" s="249"/>
      <c r="D32" s="253"/>
      <c r="E32" s="295"/>
      <c r="F32" s="532"/>
      <c r="G32" s="136"/>
      <c r="H32" s="533"/>
      <c r="I32" s="91"/>
      <c r="J32" s="138"/>
      <c r="K32" s="91"/>
      <c r="L32" s="136"/>
      <c r="M32" s="130"/>
      <c r="N32" s="130"/>
      <c r="R32" s="159" t="s">
        <v>261</v>
      </c>
      <c r="S32" s="148">
        <f>SUM(S28:S30)</f>
        <v>20215.38461538461</v>
      </c>
      <c r="T32" s="148">
        <f>SUM(T28:T30)</f>
        <v>6064.6153846153911</v>
      </c>
      <c r="U32" s="148">
        <f>SUM(U28:U30)</f>
        <v>26280</v>
      </c>
      <c r="V32" s="148"/>
      <c r="W32" s="148">
        <f>SUM(W28:W30)</f>
        <v>86</v>
      </c>
    </row>
    <row r="33" spans="2:24" ht="14.25" customHeight="1" thickBot="1" x14ac:dyDescent="0.35">
      <c r="B33" s="91"/>
      <c r="C33" s="249"/>
      <c r="D33" s="253"/>
      <c r="E33" s="295"/>
      <c r="F33" s="532"/>
      <c r="G33" s="136"/>
      <c r="H33" s="533"/>
      <c r="I33" s="91"/>
      <c r="J33" s="138"/>
      <c r="K33" s="91"/>
      <c r="L33" s="136"/>
      <c r="M33" s="130"/>
      <c r="N33" s="130"/>
      <c r="R33" s="160" t="s">
        <v>272</v>
      </c>
      <c r="S33" s="154"/>
      <c r="T33" s="154"/>
      <c r="U33" s="154"/>
      <c r="V33" s="154"/>
      <c r="W33" s="154"/>
    </row>
    <row r="34" spans="2:24" ht="13.5" customHeight="1" thickBot="1" x14ac:dyDescent="0.35">
      <c r="B34" s="91"/>
      <c r="C34" s="249"/>
      <c r="D34" s="253"/>
      <c r="E34" s="295"/>
      <c r="F34" s="532"/>
      <c r="G34" s="136"/>
      <c r="H34" s="533"/>
      <c r="I34" s="91"/>
      <c r="J34" s="138"/>
      <c r="K34" s="91"/>
      <c r="L34" s="136"/>
      <c r="M34" s="130"/>
      <c r="N34" s="130"/>
      <c r="R34" s="161" t="s">
        <v>273</v>
      </c>
      <c r="S34" s="154"/>
      <c r="T34" s="148"/>
      <c r="U34" s="154"/>
      <c r="V34" s="154"/>
      <c r="W34" s="154"/>
    </row>
    <row r="35" spans="2:24" ht="13.5" customHeight="1" thickBot="1" x14ac:dyDescent="0.35">
      <c r="B35" s="1484" t="s">
        <v>842</v>
      </c>
      <c r="C35" s="1484"/>
      <c r="D35" s="1484"/>
      <c r="E35" s="1484"/>
      <c r="F35" s="1484"/>
      <c r="G35" s="870"/>
      <c r="H35" s="870"/>
      <c r="I35" s="877"/>
      <c r="J35" s="877"/>
      <c r="K35" s="877"/>
      <c r="L35" s="877"/>
      <c r="M35" s="130"/>
      <c r="N35" s="130"/>
      <c r="R35" s="162" t="s">
        <v>253</v>
      </c>
      <c r="S35" s="1125">
        <f>$L$5</f>
        <v>681.28316303326153</v>
      </c>
      <c r="T35" s="1125">
        <f>SUM(L6:L18)</f>
        <v>55.566264910975377</v>
      </c>
      <c r="U35" s="1125">
        <f>S35+T35+V35</f>
        <v>765.28042020316286</v>
      </c>
      <c r="V35" s="1125">
        <f>SUM(AT6:AT13)</f>
        <v>28.430992258925972</v>
      </c>
      <c r="W35" s="1125">
        <f>L37</f>
        <v>1.0013698630136987</v>
      </c>
    </row>
    <row r="36" spans="2:24" ht="14.25" customHeight="1" x14ac:dyDescent="0.3">
      <c r="B36" s="848" t="s">
        <v>245</v>
      </c>
      <c r="C36" s="848" t="s">
        <v>321</v>
      </c>
      <c r="D36" s="850" t="s">
        <v>645</v>
      </c>
      <c r="E36" s="847" t="s">
        <v>646</v>
      </c>
      <c r="F36" s="850" t="s">
        <v>647</v>
      </c>
      <c r="G36" s="870"/>
      <c r="H36" s="850" t="s">
        <v>647</v>
      </c>
      <c r="I36" s="850" t="s">
        <v>250</v>
      </c>
      <c r="J36" s="850" t="s">
        <v>251</v>
      </c>
      <c r="K36" s="850" t="s">
        <v>252</v>
      </c>
      <c r="L36" s="850" t="s">
        <v>253</v>
      </c>
      <c r="M36" s="130"/>
      <c r="N36" s="130"/>
      <c r="S36" s="170"/>
      <c r="T36" s="170"/>
      <c r="U36" s="170"/>
      <c r="V36" s="170"/>
    </row>
    <row r="37" spans="2:24" ht="14.25" customHeight="1" x14ac:dyDescent="0.3">
      <c r="B37" s="843" t="s">
        <v>28</v>
      </c>
      <c r="C37" s="844" t="s">
        <v>14</v>
      </c>
      <c r="D37" s="845">
        <v>0.5</v>
      </c>
      <c r="E37" s="843">
        <f>$AD$1</f>
        <v>172</v>
      </c>
      <c r="F37" s="843">
        <f>D37*E37</f>
        <v>86</v>
      </c>
      <c r="G37" s="869"/>
      <c r="H37" s="843">
        <f>F37</f>
        <v>86</v>
      </c>
      <c r="I37" s="843">
        <f>VLOOKUP(B37,All_Ingredients!$A$1:$F$149,6,FALSE())</f>
        <v>0.73</v>
      </c>
      <c r="J37" s="843">
        <f>VLOOKUP(B37,All_Ingredients!$A$1:$J$149,10,FALSE())</f>
        <v>8.5</v>
      </c>
      <c r="K37" s="843">
        <f>(H37/I37)/1000</f>
        <v>0.11780821917808219</v>
      </c>
      <c r="L37" s="843">
        <f>K37*J37</f>
        <v>1.0013698630136987</v>
      </c>
      <c r="M37" s="130"/>
      <c r="N37" s="130"/>
    </row>
    <row r="38" spans="2:24" ht="14.25" customHeight="1" x14ac:dyDescent="0.3">
      <c r="B38" s="843" t="s">
        <v>30</v>
      </c>
      <c r="C38" s="844" t="s">
        <v>14</v>
      </c>
      <c r="D38" s="845">
        <v>0.5</v>
      </c>
      <c r="E38" s="843">
        <f t="shared" ref="E38:E39" si="12">$AD$1</f>
        <v>172</v>
      </c>
      <c r="F38" s="843">
        <f t="shared" ref="F38:F39" si="13">D38*E38</f>
        <v>86</v>
      </c>
      <c r="G38" s="869"/>
      <c r="H38" s="843">
        <f t="shared" ref="H38:H39" si="14">F38</f>
        <v>86</v>
      </c>
      <c r="I38" s="843">
        <f>VLOOKUP(B38,All_Ingredients!$A$1:$F$149,6,FALSE())</f>
        <v>0.71</v>
      </c>
      <c r="J38" s="843">
        <f>VLOOKUP(B38,All_Ingredients!$A$1:$J$149,10,FALSE())</f>
        <v>8.5</v>
      </c>
      <c r="K38" s="843">
        <f t="shared" ref="K38:K39" si="15">(H38/I38)/1000</f>
        <v>0.12112676056338029</v>
      </c>
      <c r="L38" s="843">
        <f t="shared" ref="L38:L39" si="16">K38*J38</f>
        <v>1.0295774647887324</v>
      </c>
      <c r="M38" s="130"/>
      <c r="N38" s="130"/>
    </row>
    <row r="39" spans="2:24" ht="14.25" customHeight="1" x14ac:dyDescent="0.3">
      <c r="B39" s="843" t="s">
        <v>32</v>
      </c>
      <c r="C39" s="844" t="s">
        <v>14</v>
      </c>
      <c r="D39" s="845">
        <v>0.5</v>
      </c>
      <c r="E39" s="843">
        <f t="shared" si="12"/>
        <v>172</v>
      </c>
      <c r="F39" s="843">
        <f t="shared" si="13"/>
        <v>86</v>
      </c>
      <c r="G39" s="869"/>
      <c r="H39" s="843">
        <f t="shared" si="14"/>
        <v>86</v>
      </c>
      <c r="I39" s="843">
        <f>VLOOKUP(B39,All_Ingredients!$A$1:$F$149,6,FALSE())</f>
        <v>0.69</v>
      </c>
      <c r="J39" s="843">
        <f>VLOOKUP(B39,All_Ingredients!$A$1:$J$149,10,FALSE())</f>
        <v>4</v>
      </c>
      <c r="K39" s="843">
        <f t="shared" si="15"/>
        <v>0.1246376811594203</v>
      </c>
      <c r="L39" s="843">
        <f t="shared" si="16"/>
        <v>0.49855072463768119</v>
      </c>
      <c r="M39" s="130"/>
      <c r="N39" s="130"/>
    </row>
    <row r="40" spans="2:24" ht="15.75" customHeight="1" x14ac:dyDescent="0.3">
      <c r="B40" s="91"/>
      <c r="C40" s="249"/>
      <c r="D40" s="253"/>
      <c r="E40" s="295"/>
      <c r="F40" s="532"/>
      <c r="G40" s="136"/>
      <c r="H40" s="533"/>
      <c r="I40" s="91"/>
      <c r="J40" s="138"/>
      <c r="K40" s="91"/>
      <c r="L40" s="136"/>
      <c r="M40" s="130"/>
      <c r="N40" s="130"/>
      <c r="R40" s="164" t="s">
        <v>274</v>
      </c>
      <c r="S40" s="165">
        <v>0.76923076923076905</v>
      </c>
      <c r="T40" s="164" t="s">
        <v>275</v>
      </c>
      <c r="U40" s="166">
        <v>0.230769230769231</v>
      </c>
      <c r="V40" s="167">
        <f>S40+U40</f>
        <v>1</v>
      </c>
    </row>
    <row r="41" spans="2:24" ht="14.25" customHeight="1" x14ac:dyDescent="0.3">
      <c r="B41"/>
      <c r="C41" s="249"/>
      <c r="D41" s="253"/>
      <c r="E41" s="295"/>
      <c r="F41" s="532"/>
      <c r="G41" s="136"/>
      <c r="H41" s="533"/>
      <c r="I41" s="91"/>
      <c r="J41" s="138"/>
      <c r="K41" s="91"/>
      <c r="L41" s="136"/>
      <c r="M41" s="130"/>
      <c r="N41" s="130"/>
      <c r="U41" s="168"/>
    </row>
    <row r="42" spans="2:24" ht="14.25" customHeight="1" x14ac:dyDescent="0.3">
      <c r="E42" s="295"/>
      <c r="G42" s="136"/>
      <c r="H42" s="533"/>
      <c r="I42" s="91"/>
      <c r="J42" s="138"/>
      <c r="K42" s="91"/>
      <c r="L42" s="296"/>
    </row>
    <row r="43" spans="2:24" ht="14.25" customHeight="1" x14ac:dyDescent="0.3">
      <c r="L43" s="296"/>
      <c r="Q43" s="169" t="s">
        <v>276</v>
      </c>
      <c r="R43" s="169" t="s">
        <v>277</v>
      </c>
      <c r="S43" s="169" t="s">
        <v>278</v>
      </c>
      <c r="T43" s="169" t="s">
        <v>279</v>
      </c>
      <c r="U43" s="169" t="s">
        <v>280</v>
      </c>
      <c r="V43" s="169" t="s">
        <v>281</v>
      </c>
      <c r="W43" s="257" t="s">
        <v>282</v>
      </c>
      <c r="X43" s="544"/>
    </row>
    <row r="44" spans="2:24" ht="14.25" customHeight="1" x14ac:dyDescent="0.3">
      <c r="L44" s="296"/>
      <c r="Q44" s="171">
        <v>43334</v>
      </c>
      <c r="R44" s="172">
        <f>D51</f>
        <v>10000</v>
      </c>
      <c r="S44" s="173">
        <v>1</v>
      </c>
      <c r="T44" s="173">
        <v>0</v>
      </c>
      <c r="U44" s="241">
        <f>R44*S44</f>
        <v>10000</v>
      </c>
      <c r="V44" s="175">
        <f>R44*T44</f>
        <v>0</v>
      </c>
      <c r="W44" s="259">
        <f>Q44-U44</f>
        <v>33334</v>
      </c>
      <c r="X44" s="545"/>
    </row>
    <row r="45" spans="2:24" ht="14.25" customHeight="1" x14ac:dyDescent="0.3">
      <c r="L45" s="296"/>
    </row>
    <row r="46" spans="2:24" ht="14.25" customHeight="1" x14ac:dyDescent="0.3">
      <c r="L46" s="296"/>
    </row>
    <row r="47" spans="2:24" ht="14.25" customHeight="1" x14ac:dyDescent="0.3">
      <c r="I47" s="14" t="s">
        <v>883</v>
      </c>
      <c r="L47" s="296"/>
    </row>
    <row r="48" spans="2:24" ht="14.25" customHeight="1" x14ac:dyDescent="0.3">
      <c r="L48" s="296"/>
    </row>
    <row r="49" spans="1:12" ht="14.25" customHeight="1" x14ac:dyDescent="0.3">
      <c r="L49" s="296"/>
    </row>
    <row r="50" spans="1:12" ht="14.25" customHeight="1" x14ac:dyDescent="0.3">
      <c r="B50" s="275"/>
      <c r="C50" s="144" t="s">
        <v>237</v>
      </c>
      <c r="D50" s="144" t="s">
        <v>283</v>
      </c>
      <c r="E50" s="99"/>
      <c r="F50" s="99"/>
      <c r="G50" s="144" t="s">
        <v>284</v>
      </c>
      <c r="H50" s="144" t="s">
        <v>237</v>
      </c>
      <c r="I50" s="144" t="s">
        <v>285</v>
      </c>
      <c r="J50" s="144" t="s">
        <v>286</v>
      </c>
      <c r="L50" s="296"/>
    </row>
    <row r="51" spans="1:12" x14ac:dyDescent="0.3">
      <c r="B51" s="179" t="s">
        <v>287</v>
      </c>
      <c r="C51" s="180">
        <f>10/$K$1</f>
        <v>10.204081632653061</v>
      </c>
      <c r="D51" s="181">
        <f>$C$1*10</f>
        <v>10000</v>
      </c>
      <c r="E51" s="182"/>
      <c r="F51" s="99"/>
      <c r="G51" s="179" t="s">
        <v>287</v>
      </c>
      <c r="H51" s="276">
        <f>I51/$D$5</f>
        <v>10</v>
      </c>
      <c r="I51" s="180">
        <f>J51/$R$1</f>
        <v>56498.305084745763</v>
      </c>
      <c r="J51" s="180">
        <f>$W$44</f>
        <v>33334</v>
      </c>
    </row>
    <row r="52" spans="1:12" x14ac:dyDescent="0.3">
      <c r="B52" s="230" t="s">
        <v>266</v>
      </c>
      <c r="C52" s="231">
        <f>$I$1</f>
        <v>6.1883830455259092</v>
      </c>
      <c r="D52" s="232">
        <f>$E$1</f>
        <v>6064.6153846153911</v>
      </c>
      <c r="E52" s="99"/>
      <c r="F52" s="99"/>
      <c r="G52" s="147" t="s">
        <v>266</v>
      </c>
      <c r="H52" s="209">
        <f>I52/$D$5</f>
        <v>6.0644940947334884</v>
      </c>
      <c r="I52" s="175">
        <f>J52/$R$1</f>
        <v>34263.363754889171</v>
      </c>
      <c r="J52" s="183">
        <f>$S$32</f>
        <v>20215.38461538461</v>
      </c>
    </row>
    <row r="53" spans="1:12" x14ac:dyDescent="0.3">
      <c r="B53" s="230" t="s">
        <v>288</v>
      </c>
      <c r="C53" s="233">
        <f>MIN(C52, C51)</f>
        <v>6.1883830455259092</v>
      </c>
      <c r="D53" s="232">
        <f>(C53*$K$1)*$C$1</f>
        <v>6064.6153846153911</v>
      </c>
      <c r="E53" s="99"/>
      <c r="F53" s="99"/>
      <c r="G53" s="147" t="s">
        <v>288</v>
      </c>
      <c r="H53" s="186">
        <f>MIN(H52,H51)</f>
        <v>6.0644940947334884</v>
      </c>
      <c r="I53" s="175">
        <f>J53/$R$1</f>
        <v>34263.363754889171</v>
      </c>
      <c r="J53" s="175">
        <f>MIN(J52,J51)</f>
        <v>20215.38461538461</v>
      </c>
    </row>
    <row r="54" spans="1:12" x14ac:dyDescent="0.3">
      <c r="B54" s="230" t="s">
        <v>289</v>
      </c>
      <c r="C54" s="233">
        <f>MIN(MAX(C52-C53,0),C51)</f>
        <v>0</v>
      </c>
      <c r="D54" s="232">
        <f>(C54*$K$1)*$C$1</f>
        <v>0</v>
      </c>
      <c r="E54" s="99"/>
      <c r="F54" s="99"/>
      <c r="G54" s="147" t="s">
        <v>289</v>
      </c>
      <c r="H54" s="186">
        <f>MIN(MAX(H52-H53),H51)</f>
        <v>0</v>
      </c>
      <c r="I54" s="175">
        <f>J54/$R$1</f>
        <v>0</v>
      </c>
      <c r="J54" s="175">
        <f>MIN(MAX(J52-J53),J51)</f>
        <v>0</v>
      </c>
    </row>
    <row r="55" spans="1:12" x14ac:dyDescent="0.3">
      <c r="B55" s="230" t="s">
        <v>290</v>
      </c>
      <c r="C55" s="233">
        <f>MIN(MAX(C52-C53-C54,0),C51)</f>
        <v>0</v>
      </c>
      <c r="D55" s="232">
        <f>(C55*$K$1)*$C$1</f>
        <v>0</v>
      </c>
      <c r="E55" s="99"/>
      <c r="F55" s="99"/>
      <c r="G55" s="144" t="s">
        <v>290</v>
      </c>
      <c r="H55" s="186">
        <f>MIN(MAX(H52-H53-H54),H51)</f>
        <v>0</v>
      </c>
      <c r="I55" s="175">
        <f>J55/$R$1</f>
        <v>0</v>
      </c>
      <c r="J55" s="175">
        <f>MIN(MAX(J52-J53-J54),J51)</f>
        <v>0</v>
      </c>
    </row>
    <row r="57" spans="1:12" ht="14.25" customHeight="1" x14ac:dyDescent="0.3">
      <c r="B57" s="99"/>
      <c r="E57" s="99"/>
      <c r="F57" s="99"/>
    </row>
    <row r="62" spans="1:12" ht="17.75" customHeight="1" x14ac:dyDescent="0.3">
      <c r="A62" s="922"/>
      <c r="B62" s="1438" t="str">
        <f>"دجاج بيتزايولا    1 / " &amp; COUNTIF($C$53:$C$55, "&gt;0")</f>
        <v>دجاج بيتزايولا    1 / 1</v>
      </c>
      <c r="C62" s="1439"/>
      <c r="D62" s="1439"/>
      <c r="E62" s="1439"/>
      <c r="F62" s="1439"/>
      <c r="G62" s="1439"/>
      <c r="H62" s="1439"/>
    </row>
    <row r="63" spans="1:12" ht="17.75" customHeight="1" x14ac:dyDescent="0.3">
      <c r="A63" s="922"/>
      <c r="B63" s="1436" t="str">
        <f>"Pizziola Chicken  1 / " &amp; COUNTIF($C$53:$C$55, "&gt;0")</f>
        <v>Pizziola Chicken  1 / 1</v>
      </c>
      <c r="C63" s="1437"/>
      <c r="D63" s="1437"/>
      <c r="E63" s="1437"/>
      <c r="F63" s="1437"/>
      <c r="G63" s="1437"/>
      <c r="H63" s="1437"/>
    </row>
    <row r="64" spans="1:12" ht="25.5" customHeight="1" x14ac:dyDescent="0.25">
      <c r="A64" s="90"/>
      <c r="B64" s="242" t="s">
        <v>245</v>
      </c>
      <c r="C64" s="243" t="s">
        <v>246</v>
      </c>
      <c r="D64" s="244" t="s">
        <v>235</v>
      </c>
      <c r="E64" s="217" t="s">
        <v>238</v>
      </c>
      <c r="F64" s="217" t="s">
        <v>247</v>
      </c>
      <c r="G64" s="244" t="s">
        <v>248</v>
      </c>
      <c r="H64" s="217" t="s">
        <v>249</v>
      </c>
    </row>
    <row r="65" spans="1:10" ht="14.25" customHeight="1" x14ac:dyDescent="0.25">
      <c r="A65" s="218" t="s">
        <v>225</v>
      </c>
      <c r="B65" s="113" t="str">
        <f t="shared" ref="B65:D78" si="17">B5</f>
        <v>Chicken - دجاج</v>
      </c>
      <c r="C65" s="122" t="str">
        <f t="shared" si="17"/>
        <v>gm</v>
      </c>
      <c r="D65" s="262">
        <f t="shared" si="17"/>
        <v>5649.8305084745762</v>
      </c>
      <c r="E65" s="125">
        <f>H53</f>
        <v>6.0644940947334884</v>
      </c>
      <c r="F65" s="298">
        <f t="shared" ref="F65:F78" si="18">F5</f>
        <v>1</v>
      </c>
      <c r="G65" s="116">
        <f t="shared" ref="G65:G77" si="19">D65*E65</f>
        <v>34263.363754889171</v>
      </c>
      <c r="H65" s="206">
        <f t="shared" ref="H65:H77" si="20">G65*F65</f>
        <v>34263.363754889171</v>
      </c>
    </row>
    <row r="66" spans="1:10" ht="14.25" customHeight="1" x14ac:dyDescent="0.3">
      <c r="A66" s="127" t="s">
        <v>81</v>
      </c>
      <c r="B66" s="113" t="str">
        <f t="shared" si="17"/>
        <v>Dry Oregano - أوريجانو مجفف</v>
      </c>
      <c r="C66" s="122" t="str">
        <f t="shared" si="17"/>
        <v>gm</v>
      </c>
      <c r="D66" s="122">
        <f t="shared" si="17"/>
        <v>1</v>
      </c>
      <c r="E66" s="125">
        <f>$C$53</f>
        <v>6.1883830455259092</v>
      </c>
      <c r="F66" s="298">
        <f t="shared" si="18"/>
        <v>1</v>
      </c>
      <c r="G66" s="116">
        <f t="shared" si="19"/>
        <v>6.1883830455259092</v>
      </c>
      <c r="H66" s="206">
        <f t="shared" si="20"/>
        <v>6.1883830455259092</v>
      </c>
    </row>
    <row r="67" spans="1:10" ht="14.25" customHeight="1" x14ac:dyDescent="0.3">
      <c r="A67" s="127" t="s">
        <v>13</v>
      </c>
      <c r="B67" s="113" t="str">
        <f t="shared" si="17"/>
        <v>Garlic - ثوم مقشر</v>
      </c>
      <c r="C67" s="122" t="str">
        <f t="shared" si="17"/>
        <v>gm</v>
      </c>
      <c r="D67" s="122">
        <f t="shared" si="17"/>
        <v>30</v>
      </c>
      <c r="E67" s="125">
        <f t="shared" ref="E67:E78" si="21">$C$53</f>
        <v>6.1883830455259092</v>
      </c>
      <c r="F67" s="298">
        <f t="shared" si="18"/>
        <v>1</v>
      </c>
      <c r="G67" s="546">
        <f t="shared" si="19"/>
        <v>185.65149136577728</v>
      </c>
      <c r="H67" s="206">
        <f t="shared" si="20"/>
        <v>185.65149136577728</v>
      </c>
    </row>
    <row r="68" spans="1:10" ht="14.25" customHeight="1" x14ac:dyDescent="0.3">
      <c r="A68" s="127" t="s">
        <v>13</v>
      </c>
      <c r="B68" s="113" t="str">
        <f t="shared" si="17"/>
        <v>Tomato - طماطم</v>
      </c>
      <c r="C68" s="122" t="str">
        <f t="shared" si="17"/>
        <v>gm</v>
      </c>
      <c r="D68" s="122">
        <f t="shared" si="17"/>
        <v>400</v>
      </c>
      <c r="E68" s="125">
        <f t="shared" si="21"/>
        <v>6.1883830455259092</v>
      </c>
      <c r="F68" s="298">
        <f t="shared" si="18"/>
        <v>0.9</v>
      </c>
      <c r="G68" s="546">
        <f t="shared" si="19"/>
        <v>2475.3532182103636</v>
      </c>
      <c r="H68" s="206">
        <f t="shared" si="20"/>
        <v>2227.8178963893274</v>
      </c>
    </row>
    <row r="69" spans="1:10" ht="14.25" customHeight="1" x14ac:dyDescent="0.3">
      <c r="A69" s="127" t="s">
        <v>192</v>
      </c>
      <c r="B69" s="113" t="str">
        <f t="shared" si="17"/>
        <v>Tomato Paste - صلصة طماطم</v>
      </c>
      <c r="C69" s="122" t="str">
        <f t="shared" si="17"/>
        <v>gm</v>
      </c>
      <c r="D69" s="122">
        <f t="shared" si="17"/>
        <v>200</v>
      </c>
      <c r="E69" s="125">
        <f t="shared" si="21"/>
        <v>6.1883830455259092</v>
      </c>
      <c r="F69" s="298">
        <f t="shared" si="18"/>
        <v>0.9</v>
      </c>
      <c r="G69" s="546">
        <f t="shared" si="19"/>
        <v>1237.6766091051818</v>
      </c>
      <c r="H69" s="206">
        <f t="shared" si="20"/>
        <v>1113.9089481946637</v>
      </c>
    </row>
    <row r="70" spans="1:10" ht="14.25" customHeight="1" x14ac:dyDescent="0.3">
      <c r="A70" s="127" t="s">
        <v>182</v>
      </c>
      <c r="B70" s="113" t="str">
        <f t="shared" si="17"/>
        <v>Sugar - سكر</v>
      </c>
      <c r="C70" s="122" t="str">
        <f t="shared" si="17"/>
        <v>gm</v>
      </c>
      <c r="D70" s="122">
        <f t="shared" si="17"/>
        <v>10</v>
      </c>
      <c r="E70" s="125">
        <f t="shared" si="21"/>
        <v>6.1883830455259092</v>
      </c>
      <c r="F70" s="298">
        <f t="shared" si="18"/>
        <v>1</v>
      </c>
      <c r="G70" s="546">
        <f t="shared" si="19"/>
        <v>61.883830455259094</v>
      </c>
      <c r="H70" s="206">
        <f t="shared" si="20"/>
        <v>61.883830455259094</v>
      </c>
    </row>
    <row r="71" spans="1:10" ht="14.25" customHeight="1" x14ac:dyDescent="0.3">
      <c r="A71" s="127" t="s">
        <v>206</v>
      </c>
      <c r="B71" s="113" t="str">
        <f t="shared" si="17"/>
        <v>Vinegar - خل</v>
      </c>
      <c r="C71" s="122" t="str">
        <f t="shared" si="17"/>
        <v>ml</v>
      </c>
      <c r="D71" s="122">
        <f t="shared" si="17"/>
        <v>5</v>
      </c>
      <c r="E71" s="125">
        <f t="shared" si="21"/>
        <v>6.1883830455259092</v>
      </c>
      <c r="F71" s="298">
        <f t="shared" si="18"/>
        <v>1</v>
      </c>
      <c r="G71" s="546">
        <f t="shared" si="19"/>
        <v>30.941915227629547</v>
      </c>
      <c r="H71" s="206">
        <f t="shared" si="20"/>
        <v>30.941915227629547</v>
      </c>
    </row>
    <row r="72" spans="1:10" ht="14.25" customHeight="1" x14ac:dyDescent="0.3">
      <c r="A72" s="127" t="s">
        <v>154</v>
      </c>
      <c r="B72" s="113" t="str">
        <f t="shared" si="17"/>
        <v>Butter - زبدة</v>
      </c>
      <c r="C72" s="122" t="str">
        <f t="shared" si="17"/>
        <v>gm</v>
      </c>
      <c r="D72" s="122">
        <f t="shared" si="17"/>
        <v>25</v>
      </c>
      <c r="E72" s="125">
        <f t="shared" si="21"/>
        <v>6.1883830455259092</v>
      </c>
      <c r="F72" s="298">
        <f t="shared" si="18"/>
        <v>1</v>
      </c>
      <c r="G72" s="546">
        <f t="shared" si="19"/>
        <v>154.70957613814772</v>
      </c>
      <c r="H72" s="206">
        <f t="shared" si="20"/>
        <v>154.70957613814772</v>
      </c>
    </row>
    <row r="73" spans="1:10" ht="14.25" customHeight="1" x14ac:dyDescent="0.3">
      <c r="A73" s="127" t="s">
        <v>81</v>
      </c>
      <c r="B73" s="113" t="str">
        <f t="shared" si="17"/>
        <v>Dry Basil - ريحان مجفف</v>
      </c>
      <c r="C73" s="122" t="str">
        <f t="shared" si="17"/>
        <v>gm</v>
      </c>
      <c r="D73" s="122">
        <f t="shared" si="17"/>
        <v>1</v>
      </c>
      <c r="E73" s="125">
        <f t="shared" si="21"/>
        <v>6.1883830455259092</v>
      </c>
      <c r="F73" s="298">
        <f t="shared" si="18"/>
        <v>0.9</v>
      </c>
      <c r="G73" s="546">
        <f t="shared" si="19"/>
        <v>6.1883830455259092</v>
      </c>
      <c r="H73" s="206">
        <f t="shared" si="20"/>
        <v>5.5695447409733188</v>
      </c>
    </row>
    <row r="74" spans="1:10" ht="14.25" customHeight="1" x14ac:dyDescent="0.3">
      <c r="A74" s="127" t="s">
        <v>192</v>
      </c>
      <c r="B74" s="113" t="str">
        <f t="shared" si="17"/>
        <v>Sriracha Sauce - صوص سريراتشا</v>
      </c>
      <c r="C74" s="122" t="str">
        <f t="shared" si="17"/>
        <v>ml</v>
      </c>
      <c r="D74" s="122">
        <f t="shared" si="17"/>
        <v>35</v>
      </c>
      <c r="E74" s="125">
        <f t="shared" si="21"/>
        <v>6.1883830455259092</v>
      </c>
      <c r="F74" s="298">
        <f t="shared" si="18"/>
        <v>0.75</v>
      </c>
      <c r="G74" s="546">
        <f t="shared" si="19"/>
        <v>216.59340659340683</v>
      </c>
      <c r="H74" s="206">
        <f t="shared" si="20"/>
        <v>162.44505494505512</v>
      </c>
    </row>
    <row r="75" spans="1:10" ht="14.25" customHeight="1" x14ac:dyDescent="0.3">
      <c r="A75" s="127" t="s">
        <v>192</v>
      </c>
      <c r="B75" s="113" t="str">
        <f t="shared" si="17"/>
        <v>Tomato Ketchup - كاتشب طماطم</v>
      </c>
      <c r="C75" s="122" t="str">
        <f t="shared" si="17"/>
        <v>ml</v>
      </c>
      <c r="D75" s="122">
        <f t="shared" si="17"/>
        <v>200</v>
      </c>
      <c r="E75" s="125">
        <f t="shared" si="21"/>
        <v>6.1883830455259092</v>
      </c>
      <c r="F75" s="298">
        <f t="shared" si="18"/>
        <v>0.9</v>
      </c>
      <c r="G75" s="546">
        <f t="shared" si="19"/>
        <v>1237.6766091051818</v>
      </c>
      <c r="H75" s="206">
        <f t="shared" si="20"/>
        <v>1113.9089481946637</v>
      </c>
    </row>
    <row r="76" spans="1:10" ht="14.25" customHeight="1" x14ac:dyDescent="0.3">
      <c r="A76" s="127" t="s">
        <v>95</v>
      </c>
      <c r="B76" s="113" t="str">
        <f t="shared" si="17"/>
        <v>Salt - ملح</v>
      </c>
      <c r="C76" s="122" t="str">
        <f t="shared" si="17"/>
        <v>gm</v>
      </c>
      <c r="D76" s="122">
        <f t="shared" si="17"/>
        <v>5</v>
      </c>
      <c r="E76" s="125">
        <f t="shared" si="21"/>
        <v>6.1883830455259092</v>
      </c>
      <c r="F76" s="298">
        <f t="shared" si="18"/>
        <v>1</v>
      </c>
      <c r="G76" s="546">
        <f t="shared" si="19"/>
        <v>30.941915227629547</v>
      </c>
      <c r="H76" s="206">
        <f t="shared" si="20"/>
        <v>30.941915227629547</v>
      </c>
    </row>
    <row r="77" spans="1:10" ht="14.25" customHeight="1" x14ac:dyDescent="0.3">
      <c r="A77" s="127" t="s">
        <v>154</v>
      </c>
      <c r="B77" s="113" t="str">
        <f t="shared" si="17"/>
        <v>Mozzarella Cheese - جبنة موتزاريلا</v>
      </c>
      <c r="C77" s="122" t="str">
        <f t="shared" si="17"/>
        <v>gm</v>
      </c>
      <c r="D77" s="122">
        <f t="shared" si="17"/>
        <v>150</v>
      </c>
      <c r="E77" s="125">
        <f t="shared" si="21"/>
        <v>6.1883830455259092</v>
      </c>
      <c r="F77" s="298">
        <f t="shared" si="18"/>
        <v>1</v>
      </c>
      <c r="G77" s="546">
        <f t="shared" si="19"/>
        <v>928.25745682888635</v>
      </c>
      <c r="H77" s="206">
        <f t="shared" si="20"/>
        <v>928.25745682888635</v>
      </c>
    </row>
    <row r="78" spans="1:10" ht="20.25" customHeight="1" x14ac:dyDescent="0.4">
      <c r="A78" s="127" t="s">
        <v>154</v>
      </c>
      <c r="B78" s="113" t="str">
        <f t="shared" si="17"/>
        <v>Sliced cheese - جبنة شرائح</v>
      </c>
      <c r="C78" s="122" t="str">
        <f t="shared" si="17"/>
        <v>Piece</v>
      </c>
      <c r="D78" s="122">
        <f t="shared" si="17"/>
        <v>50</v>
      </c>
      <c r="E78" s="125">
        <f t="shared" si="21"/>
        <v>6.1883830455259092</v>
      </c>
      <c r="F78" s="298">
        <f t="shared" si="18"/>
        <v>1</v>
      </c>
      <c r="G78" s="546">
        <f>D78*E78</f>
        <v>309.41915227629545</v>
      </c>
      <c r="H78" s="206">
        <f>G78*F78</f>
        <v>309.41915227629545</v>
      </c>
      <c r="I78" s="203"/>
      <c r="J78" s="202"/>
    </row>
    <row r="79" spans="1:10" ht="18" x14ac:dyDescent="0.3">
      <c r="A79" s="210"/>
      <c r="B79" s="197" t="s">
        <v>291</v>
      </c>
      <c r="C79" s="199" t="s">
        <v>277</v>
      </c>
      <c r="E79" s="199" t="s">
        <v>292</v>
      </c>
      <c r="G79" s="878" t="s">
        <v>268</v>
      </c>
      <c r="H79" s="878" t="s">
        <v>703</v>
      </c>
    </row>
    <row r="80" spans="1:10" ht="20" x14ac:dyDescent="0.4">
      <c r="A80" s="210"/>
      <c r="B80" s="198">
        <f>$J$53</f>
        <v>20215.38461538461</v>
      </c>
      <c r="C80" s="198">
        <f>E80+G80</f>
        <v>6064.6153846153911</v>
      </c>
      <c r="D80" s="915"/>
      <c r="E80" s="198">
        <f>$D$53*$S$44</f>
        <v>6064.6153846153911</v>
      </c>
      <c r="F80" s="919"/>
      <c r="G80" s="198">
        <f>$D$53*$T$44</f>
        <v>0</v>
      </c>
      <c r="H80" s="198">
        <f>B80+E80</f>
        <v>26280</v>
      </c>
    </row>
  </sheetData>
  <mergeCells count="9">
    <mergeCell ref="B63:H63"/>
    <mergeCell ref="AE2:AG3"/>
    <mergeCell ref="R26:U26"/>
    <mergeCell ref="AN2:AN3"/>
    <mergeCell ref="B62:H62"/>
    <mergeCell ref="R25:U25"/>
    <mergeCell ref="F2:F3"/>
    <mergeCell ref="AK2:AM2"/>
    <mergeCell ref="B35:F35"/>
  </mergeCells>
  <printOptions horizontalCentered="1"/>
  <pageMargins left="0.5" right="0.5" top="1" bottom="0.5" header="0.3" footer="0.511811023622047"/>
  <pageSetup paperSize="9" scale="31" orientation="portrait" r:id="rId1"/>
  <legacy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tabColor rgb="FFC55A11"/>
    <pageSetUpPr fitToPage="1"/>
  </sheetPr>
  <dimension ref="A1:AG83"/>
  <sheetViews>
    <sheetView topLeftCell="R4" zoomScale="85" zoomScaleNormal="85" workbookViewId="0">
      <selection activeCell="Q43" sqref="Q43:T44"/>
    </sheetView>
  </sheetViews>
  <sheetFormatPr defaultColWidth="12.5" defaultRowHeight="14" x14ac:dyDescent="0.3"/>
  <cols>
    <col min="1" max="1" width="12.5" style="78" customWidth="1"/>
    <col min="2" max="2" width="36.7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3.4140625" style="14" customWidth="1"/>
    <col min="15" max="17" width="12.5" style="14" customWidth="1"/>
    <col min="18" max="18" width="30.5" style="14" customWidth="1"/>
    <col min="19" max="19" width="12.5" style="14" customWidth="1"/>
    <col min="20" max="16384" width="12.5" style="14"/>
  </cols>
  <sheetData>
    <row r="1" spans="1:33" ht="35.25" customHeight="1" x14ac:dyDescent="0.3">
      <c r="B1" s="79" t="s">
        <v>235</v>
      </c>
      <c r="C1" s="80">
        <v>1000</v>
      </c>
      <c r="D1" s="81" t="s">
        <v>236</v>
      </c>
      <c r="E1" s="116">
        <f>T32</f>
        <v>5933.7210000000005</v>
      </c>
      <c r="F1" s="79" t="s">
        <v>237</v>
      </c>
      <c r="G1" s="80">
        <f>E1/C1</f>
        <v>5.9337210000000002</v>
      </c>
      <c r="H1" s="79" t="s">
        <v>238</v>
      </c>
      <c r="I1" s="282">
        <f>G1/K1</f>
        <v>5.9337210000000002</v>
      </c>
      <c r="J1" s="85" t="s">
        <v>239</v>
      </c>
      <c r="K1" s="99">
        <v>1</v>
      </c>
      <c r="L1" s="99"/>
      <c r="M1" s="88"/>
      <c r="N1" s="89"/>
      <c r="O1" s="90" t="s">
        <v>240</v>
      </c>
      <c r="P1" s="91" t="s">
        <v>293</v>
      </c>
      <c r="Q1" s="92" t="s">
        <v>242</v>
      </c>
      <c r="R1" s="91">
        <v>0.66</v>
      </c>
      <c r="Y1" s="90" t="s">
        <v>463</v>
      </c>
      <c r="Z1" s="835">
        <v>16710</v>
      </c>
      <c r="AA1" s="90" t="s">
        <v>578</v>
      </c>
      <c r="AB1" s="835">
        <v>0</v>
      </c>
      <c r="AC1" s="90" t="s">
        <v>567</v>
      </c>
      <c r="AD1" s="835">
        <v>115</v>
      </c>
      <c r="AE1" s="249"/>
      <c r="AF1" s="251"/>
      <c r="AG1" s="91"/>
    </row>
    <row r="2" spans="1:33" ht="12.75" customHeight="1" x14ac:dyDescent="0.3">
      <c r="A2" s="96"/>
      <c r="B2" s="1523" t="s">
        <v>135</v>
      </c>
      <c r="C2" s="1466"/>
      <c r="D2" s="1466"/>
      <c r="E2" s="1466"/>
      <c r="F2" s="1466"/>
      <c r="G2" s="1466"/>
      <c r="H2" s="1466"/>
      <c r="I2" s="1466"/>
      <c r="J2" s="1466"/>
      <c r="K2" s="1524"/>
      <c r="L2" s="292"/>
      <c r="M2" s="99"/>
      <c r="N2" s="99"/>
      <c r="O2" s="99"/>
      <c r="P2" s="99"/>
      <c r="Q2" s="99"/>
      <c r="R2" s="99"/>
      <c r="AC2" s="98"/>
      <c r="AD2" s="98"/>
      <c r="AE2" s="1457"/>
      <c r="AF2" s="1460"/>
      <c r="AG2" s="1460"/>
    </row>
    <row r="3" spans="1:33" ht="12.75" customHeight="1" x14ac:dyDescent="0.3">
      <c r="A3" s="96"/>
      <c r="B3" s="1444"/>
      <c r="C3" s="1444"/>
      <c r="D3" s="1444"/>
      <c r="E3" s="1444"/>
      <c r="F3" s="1444"/>
      <c r="G3" s="1444"/>
      <c r="H3" s="1444"/>
      <c r="I3" s="1444"/>
      <c r="J3" s="1444"/>
      <c r="K3" s="1489"/>
      <c r="L3" s="292"/>
      <c r="M3" s="99"/>
      <c r="N3" s="99"/>
      <c r="O3" s="99"/>
      <c r="P3" s="99"/>
      <c r="Q3" s="99"/>
      <c r="R3" s="99"/>
      <c r="AC3" s="98"/>
      <c r="AD3" s="98"/>
      <c r="AE3" s="1460"/>
      <c r="AF3" s="1460"/>
      <c r="AG3" s="1460"/>
    </row>
    <row r="4" spans="1:33" ht="35.25" customHeight="1" x14ac:dyDescent="0.25">
      <c r="A4" s="90" t="s">
        <v>1</v>
      </c>
      <c r="B4" s="90" t="s">
        <v>245</v>
      </c>
      <c r="C4" s="106" t="s">
        <v>246</v>
      </c>
      <c r="D4" s="90" t="s">
        <v>235</v>
      </c>
      <c r="E4" s="217" t="s">
        <v>238</v>
      </c>
      <c r="F4" s="107" t="s">
        <v>247</v>
      </c>
      <c r="G4" s="90" t="s">
        <v>248</v>
      </c>
      <c r="H4" s="106" t="s">
        <v>339</v>
      </c>
      <c r="I4" s="90" t="s">
        <v>250</v>
      </c>
      <c r="J4" s="90" t="s">
        <v>251</v>
      </c>
      <c r="K4" s="90" t="s">
        <v>252</v>
      </c>
      <c r="L4" s="90" t="s">
        <v>253</v>
      </c>
      <c r="M4" s="99"/>
      <c r="N4" s="99"/>
      <c r="O4" s="99"/>
      <c r="P4" s="99"/>
      <c r="AA4" s="250"/>
      <c r="AB4" s="252"/>
      <c r="AC4" s="250"/>
      <c r="AD4" s="250"/>
      <c r="AE4" s="250"/>
    </row>
    <row r="5" spans="1:33" ht="14.25" customHeight="1" x14ac:dyDescent="0.25">
      <c r="A5" s="265" t="s">
        <v>225</v>
      </c>
      <c r="B5" s="285" t="s">
        <v>230</v>
      </c>
      <c r="C5" s="114" t="s">
        <v>14</v>
      </c>
      <c r="D5" s="120">
        <f>I51/10</f>
        <v>5050.6060606060601</v>
      </c>
      <c r="E5" s="116">
        <f>H52</f>
        <v>3.232819043619128</v>
      </c>
      <c r="F5" s="126">
        <v>1</v>
      </c>
      <c r="G5" s="120">
        <f t="shared" ref="G5:G20" si="0">D5*E5</f>
        <v>16327.695454545454</v>
      </c>
      <c r="H5" s="119">
        <f t="shared" ref="H5:H20" si="1">G5*F5</f>
        <v>16327.695454545454</v>
      </c>
      <c r="I5" s="80">
        <f>VLOOKUP(B5,All_Ingredients!$A$1:$F$149,6,FALSE())</f>
        <v>0.99</v>
      </c>
      <c r="J5" s="118">
        <f>VLOOKUP(B5,All_Ingredients!$A$1:$J$149,10,FALSE())</f>
        <v>11.75</v>
      </c>
      <c r="K5" s="121">
        <f t="shared" ref="K5" si="2">(H5/I5)/1000</f>
        <v>16.492621671258036</v>
      </c>
      <c r="L5" s="121">
        <f t="shared" ref="L5" si="3">K5*J5</f>
        <v>193.78830463728193</v>
      </c>
      <c r="M5" s="99"/>
      <c r="N5" s="99"/>
      <c r="O5" s="99"/>
      <c r="P5" s="99"/>
      <c r="AA5" s="91"/>
      <c r="AB5" s="132"/>
      <c r="AC5" s="253"/>
      <c r="AD5" s="134"/>
      <c r="AE5" s="135"/>
    </row>
    <row r="6" spans="1:33" ht="14.25" customHeight="1" x14ac:dyDescent="0.25">
      <c r="A6" s="547" t="s">
        <v>13</v>
      </c>
      <c r="B6" s="285" t="s">
        <v>12</v>
      </c>
      <c r="C6" s="123" t="s">
        <v>14</v>
      </c>
      <c r="D6" s="124">
        <v>300</v>
      </c>
      <c r="E6" s="196">
        <f t="shared" ref="E6:E20" si="4">$G$1</f>
        <v>5.9337210000000002</v>
      </c>
      <c r="F6" s="126">
        <v>0.95</v>
      </c>
      <c r="G6" s="120">
        <f t="shared" si="0"/>
        <v>1780.1163000000001</v>
      </c>
      <c r="H6" s="119">
        <f t="shared" si="1"/>
        <v>1691.1104850000002</v>
      </c>
      <c r="I6" s="80">
        <f>VLOOKUP(B6,All_Ingredients!$A$1:$F$149,6,FALSE())</f>
        <v>0.9</v>
      </c>
      <c r="J6" s="118">
        <f>VLOOKUP(B6,All_Ingredients!$A$1:$J$149,10,FALSE())</f>
        <v>3</v>
      </c>
      <c r="K6" s="121">
        <f t="shared" ref="K6:K20" si="5">(H6/I6)/1000</f>
        <v>1.8790116500000003</v>
      </c>
      <c r="L6" s="121">
        <f t="shared" ref="L6:L20" si="6">K6*J6</f>
        <v>5.6370349500000003</v>
      </c>
    </row>
    <row r="7" spans="1:33" ht="14.25" customHeight="1" x14ac:dyDescent="0.25">
      <c r="A7" s="547" t="s">
        <v>13</v>
      </c>
      <c r="B7" s="285" t="s">
        <v>762</v>
      </c>
      <c r="C7" s="123" t="s">
        <v>14</v>
      </c>
      <c r="D7" s="124">
        <v>25</v>
      </c>
      <c r="E7" s="222">
        <f t="shared" si="4"/>
        <v>5.9337210000000002</v>
      </c>
      <c r="F7" s="126">
        <v>0.95</v>
      </c>
      <c r="G7" s="120">
        <f t="shared" si="0"/>
        <v>148.34302500000001</v>
      </c>
      <c r="H7" s="119">
        <f t="shared" si="1"/>
        <v>140.92587374999999</v>
      </c>
      <c r="I7" s="80">
        <f>VLOOKUP(B7,All_Ingredients!$A$1:$F$149,6,FALSE())</f>
        <v>1</v>
      </c>
      <c r="J7" s="118">
        <f>VLOOKUP(B7,All_Ingredients!$A$1:$J$149,10,FALSE())</f>
        <v>10.5</v>
      </c>
      <c r="K7" s="121">
        <f t="shared" si="5"/>
        <v>0.14092587374999999</v>
      </c>
      <c r="L7" s="121">
        <f t="shared" si="6"/>
        <v>1.4797216743749999</v>
      </c>
    </row>
    <row r="8" spans="1:33" ht="14.25" customHeight="1" x14ac:dyDescent="0.25">
      <c r="A8" s="547" t="s">
        <v>13</v>
      </c>
      <c r="B8" s="285" t="s">
        <v>17</v>
      </c>
      <c r="C8" s="123" t="s">
        <v>14</v>
      </c>
      <c r="D8" s="124">
        <v>600</v>
      </c>
      <c r="E8" s="222">
        <f t="shared" si="4"/>
        <v>5.9337210000000002</v>
      </c>
      <c r="F8" s="126">
        <v>1</v>
      </c>
      <c r="G8" s="120">
        <f t="shared" si="0"/>
        <v>3560.2326000000003</v>
      </c>
      <c r="H8" s="119">
        <f t="shared" si="1"/>
        <v>3560.2326000000003</v>
      </c>
      <c r="I8" s="80">
        <f>VLOOKUP(B8,All_Ingredients!$A$1:$F$149,6,FALSE())</f>
        <v>0.98</v>
      </c>
      <c r="J8" s="118">
        <f>VLOOKUP(B8,All_Ingredients!$A$1:$J$149,10,FALSE())</f>
        <v>3.5</v>
      </c>
      <c r="K8" s="121">
        <f t="shared" si="5"/>
        <v>3.632890408163266</v>
      </c>
      <c r="L8" s="121">
        <f t="shared" si="6"/>
        <v>12.715116428571431</v>
      </c>
    </row>
    <row r="9" spans="1:33" ht="14.25" customHeight="1" x14ac:dyDescent="0.25">
      <c r="A9" s="547" t="s">
        <v>192</v>
      </c>
      <c r="B9" s="285" t="s">
        <v>731</v>
      </c>
      <c r="C9" s="123" t="s">
        <v>14</v>
      </c>
      <c r="D9" s="272">
        <v>500</v>
      </c>
      <c r="E9" s="222">
        <f t="shared" si="4"/>
        <v>5.9337210000000002</v>
      </c>
      <c r="F9" s="126">
        <v>1</v>
      </c>
      <c r="G9" s="120">
        <f t="shared" si="0"/>
        <v>2966.8605000000002</v>
      </c>
      <c r="H9" s="119">
        <f t="shared" si="1"/>
        <v>2966.8605000000002</v>
      </c>
      <c r="I9" s="80">
        <f>VLOOKUP(B9,All_Ingredients!$A$1:$F$149,6,FALSE())</f>
        <v>1</v>
      </c>
      <c r="J9" s="118">
        <f>VLOOKUP(B9,All_Ingredients!$A$1:$J$149,10,FALSE())</f>
        <v>8.1520833333333336</v>
      </c>
      <c r="K9" s="121">
        <f t="shared" si="5"/>
        <v>2.9668605000000001</v>
      </c>
      <c r="L9" s="121">
        <f t="shared" si="6"/>
        <v>24.186094034375003</v>
      </c>
    </row>
    <row r="10" spans="1:33" ht="14.25" customHeight="1" x14ac:dyDescent="0.25">
      <c r="A10" s="547" t="s">
        <v>95</v>
      </c>
      <c r="B10" s="285" t="s">
        <v>100</v>
      </c>
      <c r="C10" s="123" t="s">
        <v>14</v>
      </c>
      <c r="D10" s="272">
        <v>10</v>
      </c>
      <c r="E10" s="222">
        <f t="shared" si="4"/>
        <v>5.9337210000000002</v>
      </c>
      <c r="F10" s="126">
        <v>0.75</v>
      </c>
      <c r="G10" s="120">
        <f t="shared" si="0"/>
        <v>59.337209999999999</v>
      </c>
      <c r="H10" s="119">
        <f t="shared" si="1"/>
        <v>44.502907499999999</v>
      </c>
      <c r="I10" s="80">
        <f>VLOOKUP(B10,All_Ingredients!$A$1:$F$149,6,FALSE())</f>
        <v>1</v>
      </c>
      <c r="J10" s="118">
        <f>VLOOKUP(B10,All_Ingredients!$A$1:$J$149,10,FALSE())</f>
        <v>31</v>
      </c>
      <c r="K10" s="121">
        <f t="shared" si="5"/>
        <v>4.4502907500000001E-2</v>
      </c>
      <c r="L10" s="121">
        <f t="shared" si="6"/>
        <v>1.3795901325</v>
      </c>
    </row>
    <row r="11" spans="1:33" ht="14.25" customHeight="1" x14ac:dyDescent="0.25">
      <c r="A11" s="547" t="s">
        <v>95</v>
      </c>
      <c r="B11" s="285" t="s">
        <v>106</v>
      </c>
      <c r="C11" s="123" t="s">
        <v>14</v>
      </c>
      <c r="D11" s="272">
        <v>20</v>
      </c>
      <c r="E11" s="222">
        <f t="shared" si="4"/>
        <v>5.9337210000000002</v>
      </c>
      <c r="F11" s="126">
        <v>1</v>
      </c>
      <c r="G11" s="120">
        <f t="shared" si="0"/>
        <v>118.67442</v>
      </c>
      <c r="H11" s="119">
        <f t="shared" si="1"/>
        <v>118.67442</v>
      </c>
      <c r="I11" s="80">
        <f>VLOOKUP(B11,All_Ingredients!$A$1:$F$149,6,FALSE())</f>
        <v>1</v>
      </c>
      <c r="J11" s="118">
        <f>VLOOKUP(B11,All_Ingredients!$A$1:$J$149,10,FALSE())</f>
        <v>15</v>
      </c>
      <c r="K11" s="121">
        <f t="shared" si="5"/>
        <v>0.11867442</v>
      </c>
      <c r="L11" s="121">
        <f t="shared" si="6"/>
        <v>1.7801163</v>
      </c>
    </row>
    <row r="12" spans="1:33" ht="14.25" customHeight="1" x14ac:dyDescent="0.25">
      <c r="A12" s="547" t="s">
        <v>95</v>
      </c>
      <c r="B12" s="285" t="s">
        <v>108</v>
      </c>
      <c r="C12" s="123" t="s">
        <v>14</v>
      </c>
      <c r="D12" s="272">
        <v>20</v>
      </c>
      <c r="E12" s="222">
        <f t="shared" si="4"/>
        <v>5.9337210000000002</v>
      </c>
      <c r="F12" s="126">
        <v>1</v>
      </c>
      <c r="G12" s="120">
        <f t="shared" si="0"/>
        <v>118.67442</v>
      </c>
      <c r="H12" s="119">
        <f t="shared" si="1"/>
        <v>118.67442</v>
      </c>
      <c r="I12" s="80">
        <f>VLOOKUP(B12,All_Ingredients!$A$1:$F$149,6,FALSE())</f>
        <v>1</v>
      </c>
      <c r="J12" s="118">
        <f>VLOOKUP(B12,All_Ingredients!$A$1:$J$149,10,FALSE())</f>
        <v>8</v>
      </c>
      <c r="K12" s="121">
        <f t="shared" si="5"/>
        <v>0.11867442</v>
      </c>
      <c r="L12" s="121">
        <f t="shared" si="6"/>
        <v>0.94939536000000002</v>
      </c>
    </row>
    <row r="13" spans="1:33" ht="17" customHeight="1" x14ac:dyDescent="0.25">
      <c r="A13" s="547" t="s">
        <v>95</v>
      </c>
      <c r="B13" s="285" t="s">
        <v>123</v>
      </c>
      <c r="C13" s="123" t="s">
        <v>14</v>
      </c>
      <c r="D13" s="124">
        <v>10</v>
      </c>
      <c r="E13" s="222">
        <f t="shared" si="4"/>
        <v>5.9337210000000002</v>
      </c>
      <c r="F13" s="126">
        <v>0.75</v>
      </c>
      <c r="G13" s="120">
        <f t="shared" si="0"/>
        <v>59.337209999999999</v>
      </c>
      <c r="H13" s="119">
        <f t="shared" si="1"/>
        <v>44.502907499999999</v>
      </c>
      <c r="I13" s="80">
        <f>VLOOKUP(B13,All_Ingredients!$A$1:$F$149,6,FALSE())</f>
        <v>1</v>
      </c>
      <c r="J13" s="118">
        <f>VLOOKUP(B13,All_Ingredients!$A$1:$J$149,10,FALSE())</f>
        <v>14</v>
      </c>
      <c r="K13" s="121">
        <f t="shared" si="5"/>
        <v>4.4502907500000001E-2</v>
      </c>
      <c r="L13" s="121">
        <f t="shared" si="6"/>
        <v>0.62304070499999997</v>
      </c>
      <c r="P13" s="99" t="s">
        <v>453</v>
      </c>
      <c r="Q13" s="99" t="s">
        <v>454</v>
      </c>
    </row>
    <row r="14" spans="1:33" ht="14.25" customHeight="1" x14ac:dyDescent="0.25">
      <c r="A14" s="547" t="s">
        <v>95</v>
      </c>
      <c r="B14" s="285" t="s">
        <v>140</v>
      </c>
      <c r="C14" s="123" t="s">
        <v>14</v>
      </c>
      <c r="D14" s="272">
        <v>15</v>
      </c>
      <c r="E14" s="222">
        <f t="shared" si="4"/>
        <v>5.9337210000000002</v>
      </c>
      <c r="F14" s="126">
        <v>0.75</v>
      </c>
      <c r="G14" s="120">
        <f t="shared" si="0"/>
        <v>89.005814999999998</v>
      </c>
      <c r="H14" s="119">
        <f t="shared" si="1"/>
        <v>66.754361250000002</v>
      </c>
      <c r="I14" s="80">
        <f>VLOOKUP(B14,All_Ingredients!$A$1:$F$149,6,FALSE())</f>
        <v>1</v>
      </c>
      <c r="J14" s="118">
        <f>VLOOKUP(B14,All_Ingredients!$A$1:$J$149,10,FALSE())</f>
        <v>15.277777777777779</v>
      </c>
      <c r="K14" s="121">
        <f t="shared" si="5"/>
        <v>6.6754361250000005E-2</v>
      </c>
      <c r="L14" s="121">
        <f t="shared" si="6"/>
        <v>1.0198582968750001</v>
      </c>
      <c r="P14" s="182"/>
      <c r="Q14" s="99"/>
    </row>
    <row r="15" spans="1:33" ht="14.25" customHeight="1" x14ac:dyDescent="0.25">
      <c r="A15" s="547" t="s">
        <v>95</v>
      </c>
      <c r="B15" s="285" t="s">
        <v>94</v>
      </c>
      <c r="C15" s="123" t="s">
        <v>14</v>
      </c>
      <c r="D15" s="124">
        <v>5</v>
      </c>
      <c r="E15" s="222">
        <f t="shared" si="4"/>
        <v>5.9337210000000002</v>
      </c>
      <c r="F15" s="126">
        <v>0.75</v>
      </c>
      <c r="G15" s="120">
        <f t="shared" si="0"/>
        <v>29.668604999999999</v>
      </c>
      <c r="H15" s="119">
        <f t="shared" si="1"/>
        <v>22.25145375</v>
      </c>
      <c r="I15" s="80">
        <f>VLOOKUP(B15,All_Ingredients!$A$1:$F$149,6,FALSE())</f>
        <v>1</v>
      </c>
      <c r="J15" s="118">
        <f>VLOOKUP(B15,All_Ingredients!$A$1:$J$149,10,FALSE())</f>
        <v>0.74</v>
      </c>
      <c r="K15" s="121">
        <f t="shared" si="5"/>
        <v>2.2251453750000001E-2</v>
      </c>
      <c r="L15" s="121">
        <f t="shared" si="6"/>
        <v>1.6466075775000002E-2</v>
      </c>
      <c r="P15" s="99"/>
      <c r="Q15" s="99"/>
    </row>
    <row r="16" spans="1:33" ht="14.25" customHeight="1" x14ac:dyDescent="0.25">
      <c r="A16" s="547" t="s">
        <v>81</v>
      </c>
      <c r="B16" s="80" t="s">
        <v>765</v>
      </c>
      <c r="C16" s="123" t="s">
        <v>14</v>
      </c>
      <c r="D16" s="124">
        <v>5</v>
      </c>
      <c r="E16" s="222">
        <f t="shared" si="4"/>
        <v>5.9337210000000002</v>
      </c>
      <c r="F16" s="126">
        <v>0.75</v>
      </c>
      <c r="G16" s="120">
        <f t="shared" si="0"/>
        <v>29.668604999999999</v>
      </c>
      <c r="H16" s="119">
        <f t="shared" si="1"/>
        <v>22.25145375</v>
      </c>
      <c r="I16" s="80">
        <f>VLOOKUP(B16,All_Ingredients!$A$1:$F$149,6,FALSE())</f>
        <v>0.52</v>
      </c>
      <c r="J16" s="118">
        <f>VLOOKUP(B16,All_Ingredients!$A$1:$J$149,10,FALSE())</f>
        <v>100</v>
      </c>
      <c r="K16" s="121">
        <f t="shared" si="5"/>
        <v>4.279125721153846E-2</v>
      </c>
      <c r="L16" s="121">
        <f t="shared" si="6"/>
        <v>4.2791257211538456</v>
      </c>
      <c r="P16" s="99"/>
      <c r="Q16" s="99"/>
    </row>
    <row r="17" spans="1:30" ht="14.25" customHeight="1" x14ac:dyDescent="0.25">
      <c r="A17" s="547" t="s">
        <v>154</v>
      </c>
      <c r="B17" s="80" t="s">
        <v>761</v>
      </c>
      <c r="C17" s="123" t="s">
        <v>14</v>
      </c>
      <c r="D17" s="548">
        <v>100</v>
      </c>
      <c r="E17" s="222">
        <f t="shared" si="4"/>
        <v>5.9337210000000002</v>
      </c>
      <c r="F17" s="126">
        <v>1</v>
      </c>
      <c r="G17" s="120">
        <f t="shared" si="0"/>
        <v>593.37210000000005</v>
      </c>
      <c r="H17" s="119">
        <f t="shared" si="1"/>
        <v>593.37210000000005</v>
      </c>
      <c r="I17" s="80">
        <f>VLOOKUP(B17,All_Ingredients!$A$1:$F$149,6,FALSE())</f>
        <v>1</v>
      </c>
      <c r="J17" s="118">
        <f>VLOOKUP(B17,All_Ingredients!$A$1:$J$149,10,FALSE())</f>
        <v>67.91483113069016</v>
      </c>
      <c r="K17" s="121">
        <f t="shared" si="5"/>
        <v>0.59337210000000007</v>
      </c>
      <c r="L17" s="121">
        <f t="shared" si="6"/>
        <v>40.298765969163</v>
      </c>
      <c r="P17" s="99"/>
      <c r="Q17" s="99"/>
    </row>
    <row r="18" spans="1:30" ht="14.25" customHeight="1" x14ac:dyDescent="0.25">
      <c r="A18" s="547" t="s">
        <v>215</v>
      </c>
      <c r="B18" s="80" t="s">
        <v>216</v>
      </c>
      <c r="C18" s="123" t="s">
        <v>14</v>
      </c>
      <c r="D18" s="114">
        <v>1</v>
      </c>
      <c r="E18" s="222">
        <f t="shared" si="4"/>
        <v>5.9337210000000002</v>
      </c>
      <c r="F18" s="126">
        <v>1</v>
      </c>
      <c r="G18" s="120">
        <f t="shared" si="0"/>
        <v>5.9337210000000002</v>
      </c>
      <c r="H18" s="119">
        <f t="shared" si="1"/>
        <v>5.9337210000000002</v>
      </c>
      <c r="I18" s="80">
        <f>VLOOKUP(B18,All_Ingredients!$A$1:$F$149,6,FALSE())</f>
        <v>1</v>
      </c>
      <c r="J18" s="118">
        <f>VLOOKUP(B18,All_Ingredients!$A$1:$J$149,10,FALSE())</f>
        <v>35</v>
      </c>
      <c r="K18" s="121">
        <f t="shared" si="5"/>
        <v>5.9337210000000003E-3</v>
      </c>
      <c r="L18" s="121">
        <f t="shared" si="6"/>
        <v>0.20768023500000002</v>
      </c>
      <c r="P18" s="99"/>
      <c r="Q18" s="99"/>
    </row>
    <row r="19" spans="1:30" ht="14.25" customHeight="1" x14ac:dyDescent="0.3">
      <c r="A19" s="127"/>
      <c r="B19" s="80" t="s">
        <v>153</v>
      </c>
      <c r="C19" s="123" t="s">
        <v>14</v>
      </c>
      <c r="D19" s="114">
        <v>40</v>
      </c>
      <c r="E19" s="222">
        <f t="shared" si="4"/>
        <v>5.9337210000000002</v>
      </c>
      <c r="F19" s="126">
        <v>1</v>
      </c>
      <c r="G19" s="120">
        <f t="shared" si="0"/>
        <v>237.34884</v>
      </c>
      <c r="H19" s="119">
        <f t="shared" si="1"/>
        <v>237.34884</v>
      </c>
      <c r="I19" s="80">
        <f>VLOOKUP(B19,All_Ingredients!$A$1:$F$149,6,FALSE())</f>
        <v>1</v>
      </c>
      <c r="J19" s="118">
        <f>VLOOKUP(B19,All_Ingredients!$A$1:$J$149,10,FALSE())</f>
        <v>30</v>
      </c>
      <c r="K19" s="121">
        <f t="shared" si="5"/>
        <v>0.23734884000000001</v>
      </c>
      <c r="L19" s="121">
        <f t="shared" si="6"/>
        <v>7.1204651999999999</v>
      </c>
      <c r="P19" s="99"/>
      <c r="Q19" s="99"/>
    </row>
    <row r="20" spans="1:30" ht="17.75" customHeight="1" x14ac:dyDescent="0.3">
      <c r="A20" s="127"/>
      <c r="B20" s="80" t="s">
        <v>174</v>
      </c>
      <c r="C20" s="123" t="s">
        <v>14</v>
      </c>
      <c r="D20" s="114">
        <v>100</v>
      </c>
      <c r="E20" s="222">
        <f t="shared" si="4"/>
        <v>5.9337210000000002</v>
      </c>
      <c r="F20" s="126">
        <v>1</v>
      </c>
      <c r="G20" s="120">
        <f t="shared" si="0"/>
        <v>593.37210000000005</v>
      </c>
      <c r="H20" s="119">
        <f t="shared" si="1"/>
        <v>593.37210000000005</v>
      </c>
      <c r="I20" s="80">
        <f>VLOOKUP(B20,All_Ingredients!$A$1:$F$149,6,FALSE())</f>
        <v>1</v>
      </c>
      <c r="J20" s="118">
        <f>VLOOKUP(B20,All_Ingredients!$A$1:$J$149,10,FALSE())</f>
        <v>17.934782608695652</v>
      </c>
      <c r="K20" s="121">
        <f t="shared" si="5"/>
        <v>0.59337210000000007</v>
      </c>
      <c r="L20" s="121">
        <f t="shared" si="6"/>
        <v>10.641999619565219</v>
      </c>
      <c r="P20" s="99" t="s">
        <v>455</v>
      </c>
      <c r="Q20" s="99" t="s">
        <v>456</v>
      </c>
    </row>
    <row r="21" spans="1:30" ht="24" customHeight="1" x14ac:dyDescent="0.3">
      <c r="B21" s="91"/>
      <c r="C21" s="132"/>
      <c r="D21" s="249"/>
      <c r="E21" s="224"/>
      <c r="F21" s="135"/>
      <c r="G21" s="139"/>
      <c r="H21" s="137"/>
      <c r="I21" s="91"/>
      <c r="J21" s="136"/>
      <c r="K21" s="130"/>
      <c r="L21" s="130"/>
      <c r="R21" s="99"/>
      <c r="S21" s="99" t="s">
        <v>457</v>
      </c>
    </row>
    <row r="22" spans="1:30" ht="14.25" customHeight="1" x14ac:dyDescent="0.3">
      <c r="B22"/>
    </row>
    <row r="23" spans="1:30" ht="14.25" customHeight="1" x14ac:dyDescent="0.3">
      <c r="L23" s="296"/>
    </row>
    <row r="24" spans="1:30" ht="14.25" customHeight="1" x14ac:dyDescent="0.3">
      <c r="L24" s="296"/>
      <c r="Z24" s="1208"/>
    </row>
    <row r="25" spans="1:30" ht="14.25" customHeight="1" x14ac:dyDescent="0.3">
      <c r="L25" s="296"/>
      <c r="R25" s="1459" t="s">
        <v>458</v>
      </c>
      <c r="S25" s="1516"/>
      <c r="T25" s="1516"/>
      <c r="U25" s="1516"/>
      <c r="V25" s="1194"/>
      <c r="Z25" s="140" t="s">
        <v>256</v>
      </c>
      <c r="AA25" s="141">
        <v>1</v>
      </c>
      <c r="AB25" s="140" t="s">
        <v>253</v>
      </c>
      <c r="AC25" s="142">
        <f>AD30*AA25</f>
        <v>1.8353086955831429E-2</v>
      </c>
    </row>
    <row r="26" spans="1:30" ht="18" customHeight="1" x14ac:dyDescent="0.3">
      <c r="L26" s="296"/>
      <c r="R26" s="1459" t="s">
        <v>365</v>
      </c>
      <c r="S26" s="1516"/>
      <c r="T26" s="1516"/>
      <c r="U26" s="1516"/>
      <c r="V26" s="1187"/>
    </row>
    <row r="27" spans="1:30" ht="23.25" customHeight="1" thickBot="1" x14ac:dyDescent="0.35">
      <c r="L27" s="296"/>
      <c r="R27" s="144" t="s">
        <v>258</v>
      </c>
      <c r="S27" s="145" t="s">
        <v>387</v>
      </c>
      <c r="T27" s="145" t="s">
        <v>260</v>
      </c>
      <c r="U27" s="145" t="s">
        <v>261</v>
      </c>
      <c r="V27" s="145" t="s">
        <v>817</v>
      </c>
      <c r="Z27" s="140" t="s">
        <v>262</v>
      </c>
      <c r="AA27" s="146" t="s">
        <v>263</v>
      </c>
      <c r="AB27" s="146" t="s">
        <v>264</v>
      </c>
      <c r="AC27" s="1167" t="s">
        <v>817</v>
      </c>
      <c r="AD27" s="146" t="s">
        <v>266</v>
      </c>
    </row>
    <row r="28" spans="1:30" ht="14.25" customHeight="1" thickBot="1" x14ac:dyDescent="0.35">
      <c r="L28" s="296"/>
      <c r="R28" s="147" t="s">
        <v>267</v>
      </c>
      <c r="S28" s="1330">
        <f>U28*S40</f>
        <v>10776.279</v>
      </c>
      <c r="T28" s="754">
        <f>U28*U40</f>
        <v>5933.7210000000005</v>
      </c>
      <c r="U28" s="760">
        <f>$Z$1</f>
        <v>16710</v>
      </c>
      <c r="V28" s="148">
        <f>SUM(H37)</f>
        <v>8.0500000000000007</v>
      </c>
      <c r="Z28" s="150"/>
      <c r="AA28" s="151">
        <f>AA25*$S$40</f>
        <v>0.64490000000000003</v>
      </c>
      <c r="AB28" s="151">
        <f>AA25*$U$40</f>
        <v>0.35510000000000003</v>
      </c>
      <c r="AC28" s="1169"/>
      <c r="AD28" s="153">
        <f>SUM(AA28:AC28)</f>
        <v>1</v>
      </c>
    </row>
    <row r="29" spans="1:30" ht="14.25" customHeight="1" thickBot="1" x14ac:dyDescent="0.35">
      <c r="B29" s="99"/>
      <c r="L29" s="296"/>
      <c r="R29" s="147" t="s">
        <v>268</v>
      </c>
      <c r="S29" s="756"/>
      <c r="T29" s="754"/>
      <c r="U29" s="148">
        <f>T29</f>
        <v>0</v>
      </c>
      <c r="V29" s="148"/>
      <c r="Z29" s="150"/>
      <c r="AA29" s="155">
        <f>AA28/$AD$28</f>
        <v>0.64490000000000003</v>
      </c>
      <c r="AB29" s="155">
        <f>AB28/$AD$28</f>
        <v>0.35510000000000003</v>
      </c>
      <c r="AC29" s="1173"/>
      <c r="AD29" s="155">
        <f>AD28/$AD$28</f>
        <v>1</v>
      </c>
    </row>
    <row r="30" spans="1:30" ht="14.25" customHeight="1" thickBot="1" x14ac:dyDescent="0.35">
      <c r="B30" s="99"/>
      <c r="L30" s="296"/>
      <c r="R30" s="147" t="s">
        <v>269</v>
      </c>
      <c r="S30" s="1318">
        <f>U30*S40</f>
        <v>0</v>
      </c>
      <c r="T30" s="754">
        <f>U30*U40</f>
        <v>0</v>
      </c>
      <c r="U30" s="1329">
        <f>$AB$1</f>
        <v>0</v>
      </c>
      <c r="V30" s="1124"/>
      <c r="Z30" s="140" t="s">
        <v>270</v>
      </c>
      <c r="AA30" s="156">
        <f>S35/(S32)</f>
        <v>1.7982858891949803E-2</v>
      </c>
      <c r="AB30" s="157">
        <f>T35/T32</f>
        <v>1.8931539029616241E-2</v>
      </c>
      <c r="AC30" s="1180">
        <f>V35/U32</f>
        <v>3.3351746996271229E-5</v>
      </c>
      <c r="AD30" s="1182">
        <f>SUMPRODUCT(AA30:AB30,AA29:AB29)+AC30</f>
        <v>1.8353086955831429E-2</v>
      </c>
    </row>
    <row r="31" spans="1:30" ht="14.25" customHeight="1" thickBot="1" x14ac:dyDescent="0.35">
      <c r="B31" s="99"/>
      <c r="C31" s="849"/>
      <c r="D31" s="849"/>
      <c r="E31" s="849"/>
      <c r="F31" s="849"/>
      <c r="G31" s="849"/>
      <c r="H31"/>
      <c r="R31" s="147" t="s">
        <v>271</v>
      </c>
      <c r="S31" s="154"/>
      <c r="T31" s="148"/>
      <c r="U31" s="148"/>
      <c r="V31" s="148"/>
    </row>
    <row r="32" spans="1:30" ht="14.25" customHeight="1" thickBot="1" x14ac:dyDescent="0.35">
      <c r="B32" s="370"/>
      <c r="C32" s="347"/>
      <c r="D32" s="263"/>
      <c r="E32" s="370"/>
      <c r="F32" s="370"/>
      <c r="G32" s="263"/>
      <c r="H32" s="55"/>
      <c r="R32" s="159" t="s">
        <v>261</v>
      </c>
      <c r="S32" s="148">
        <f>SUM(S28:S30)</f>
        <v>10776.279</v>
      </c>
      <c r="T32" s="148">
        <f>SUM(T28:T30)</f>
        <v>5933.7210000000005</v>
      </c>
      <c r="U32" s="148">
        <f>SUM(U28:U30)</f>
        <v>16710</v>
      </c>
      <c r="V32" s="148">
        <f>SUM(V28:V30)</f>
        <v>8.0500000000000007</v>
      </c>
    </row>
    <row r="33" spans="2:23" ht="14.25" customHeight="1" thickBot="1" x14ac:dyDescent="0.35">
      <c r="B33" s="99"/>
      <c r="E33" s="99"/>
      <c r="F33" s="99"/>
      <c r="R33" s="160" t="s">
        <v>272</v>
      </c>
      <c r="S33" s="154"/>
      <c r="T33" s="154"/>
      <c r="U33" s="148">
        <f>F57</f>
        <v>0</v>
      </c>
      <c r="V33" s="154"/>
    </row>
    <row r="34" spans="2:23" ht="14.25" customHeight="1" thickBot="1" x14ac:dyDescent="0.35">
      <c r="R34" s="161" t="s">
        <v>273</v>
      </c>
      <c r="S34" s="154"/>
      <c r="T34" s="148"/>
      <c r="U34" s="148">
        <f>U33-(U28+U29)</f>
        <v>-16710</v>
      </c>
      <c r="V34" s="154"/>
    </row>
    <row r="35" spans="2:23" ht="14.25" customHeight="1" thickBot="1" x14ac:dyDescent="0.35">
      <c r="B35" s="1484" t="s">
        <v>694</v>
      </c>
      <c r="C35" s="1484"/>
      <c r="D35" s="1484"/>
      <c r="E35" s="1484"/>
      <c r="F35" s="1484"/>
      <c r="G35" s="870"/>
      <c r="H35" s="870"/>
      <c r="I35" s="877"/>
      <c r="J35" s="877"/>
      <c r="K35" s="877"/>
      <c r="L35" s="877"/>
      <c r="R35" s="162" t="s">
        <v>253</v>
      </c>
      <c r="S35" s="1125">
        <f>$L$5</f>
        <v>193.78830463728193</v>
      </c>
      <c r="T35" s="1125">
        <f>SUM(L6:L20)</f>
        <v>112.33447070235351</v>
      </c>
      <c r="U35" s="1125">
        <f>S35+T35+V35</f>
        <v>306.68008303194313</v>
      </c>
      <c r="V35" s="1184">
        <f>SUM(L37)</f>
        <v>0.55730769230769228</v>
      </c>
    </row>
    <row r="36" spans="2:23" ht="14.25" customHeight="1" x14ac:dyDescent="0.3">
      <c r="B36" s="848" t="s">
        <v>245</v>
      </c>
      <c r="C36" s="848" t="s">
        <v>321</v>
      </c>
      <c r="D36" s="850" t="s">
        <v>645</v>
      </c>
      <c r="E36" s="847" t="s">
        <v>646</v>
      </c>
      <c r="F36" s="850" t="s">
        <v>647</v>
      </c>
      <c r="G36" s="870"/>
      <c r="H36" s="850" t="s">
        <v>647</v>
      </c>
      <c r="I36" s="850" t="s">
        <v>250</v>
      </c>
      <c r="J36" s="850" t="s">
        <v>251</v>
      </c>
      <c r="K36" s="850" t="s">
        <v>252</v>
      </c>
      <c r="L36" s="850" t="s">
        <v>253</v>
      </c>
    </row>
    <row r="37" spans="2:23" ht="14.25" customHeight="1" x14ac:dyDescent="0.3">
      <c r="B37" s="843" t="s">
        <v>716</v>
      </c>
      <c r="C37" s="844" t="s">
        <v>14</v>
      </c>
      <c r="D37" s="845">
        <v>7.0000000000000007E-2</v>
      </c>
      <c r="E37" s="843">
        <f>$AD$1</f>
        <v>115</v>
      </c>
      <c r="F37" s="843">
        <f>D37*E37</f>
        <v>8.0500000000000007</v>
      </c>
      <c r="G37" s="869"/>
      <c r="H37" s="843">
        <f>F37</f>
        <v>8.0500000000000007</v>
      </c>
      <c r="I37" s="843">
        <f>VLOOKUP(B37,All_Ingredients!$A$1:$F$149,6,FALSE())</f>
        <v>0.65</v>
      </c>
      <c r="J37" s="843">
        <f>VLOOKUP(B37,All_Ingredients!$A$1:$J$149,10,FALSE())</f>
        <v>45</v>
      </c>
      <c r="K37" s="843">
        <f>(H37/I37)/1000</f>
        <v>1.2384615384615385E-2</v>
      </c>
      <c r="L37" s="843">
        <f>K37*J37</f>
        <v>0.55730769230769228</v>
      </c>
    </row>
    <row r="38" spans="2:23" ht="14.25" customHeight="1" x14ac:dyDescent="0.3">
      <c r="B38"/>
      <c r="E38" s="99"/>
      <c r="F38" s="99"/>
    </row>
    <row r="39" spans="2:23" ht="14.25" customHeight="1" x14ac:dyDescent="0.3">
      <c r="B39"/>
    </row>
    <row r="40" spans="2:23" ht="14.25" customHeight="1" x14ac:dyDescent="0.3">
      <c r="B40"/>
      <c r="R40" s="164" t="s">
        <v>274</v>
      </c>
      <c r="S40" s="238">
        <v>0.64490000000000003</v>
      </c>
      <c r="T40" s="164" t="s">
        <v>275</v>
      </c>
      <c r="U40" s="238">
        <v>0.35510000000000003</v>
      </c>
      <c r="V40" s="167">
        <f>S40+U40</f>
        <v>1</v>
      </c>
    </row>
    <row r="41" spans="2:23" ht="14.25" customHeight="1" x14ac:dyDescent="0.3">
      <c r="U41" s="168"/>
    </row>
    <row r="42" spans="2:23" ht="14.25" customHeight="1" x14ac:dyDescent="0.3"/>
    <row r="43" spans="2:23" ht="14" customHeight="1" x14ac:dyDescent="0.3">
      <c r="Q43" s="169" t="s">
        <v>276</v>
      </c>
      <c r="R43" s="169" t="s">
        <v>277</v>
      </c>
      <c r="S43" s="169" t="s">
        <v>278</v>
      </c>
      <c r="T43" s="169" t="s">
        <v>279</v>
      </c>
      <c r="U43" s="169" t="s">
        <v>280</v>
      </c>
      <c r="V43" s="169" t="s">
        <v>281</v>
      </c>
      <c r="W43" s="257" t="s">
        <v>282</v>
      </c>
    </row>
    <row r="44" spans="2:23" ht="14" customHeight="1" x14ac:dyDescent="0.3">
      <c r="Q44" s="171">
        <v>43334</v>
      </c>
      <c r="R44" s="172">
        <f>D51</f>
        <v>10000</v>
      </c>
      <c r="S44" s="173">
        <v>1</v>
      </c>
      <c r="T44" s="173">
        <v>0</v>
      </c>
      <c r="U44" s="241">
        <f>R44*S44</f>
        <v>10000</v>
      </c>
      <c r="V44" s="175">
        <f>R44*T44</f>
        <v>0</v>
      </c>
      <c r="W44" s="259">
        <f>Q44-U44</f>
        <v>33334</v>
      </c>
    </row>
    <row r="50" spans="1:10" x14ac:dyDescent="0.3">
      <c r="B50" s="275"/>
      <c r="C50" s="144" t="s">
        <v>237</v>
      </c>
      <c r="D50" s="144" t="s">
        <v>283</v>
      </c>
      <c r="G50" s="144" t="s">
        <v>284</v>
      </c>
      <c r="H50" s="144" t="s">
        <v>237</v>
      </c>
      <c r="I50" s="144" t="s">
        <v>285</v>
      </c>
      <c r="J50" s="144" t="s">
        <v>286</v>
      </c>
    </row>
    <row r="51" spans="1:10" x14ac:dyDescent="0.3">
      <c r="B51" s="179" t="s">
        <v>287</v>
      </c>
      <c r="C51" s="180">
        <f>10/$K$1</f>
        <v>10</v>
      </c>
      <c r="D51" s="181">
        <f>$C$1*10</f>
        <v>10000</v>
      </c>
      <c r="G51" s="179" t="s">
        <v>287</v>
      </c>
      <c r="H51" s="276">
        <f>I51/$D$5</f>
        <v>10</v>
      </c>
      <c r="I51" s="180">
        <f>J51/$R$1</f>
        <v>50506.060606060601</v>
      </c>
      <c r="J51" s="180">
        <f>$W$44</f>
        <v>33334</v>
      </c>
    </row>
    <row r="52" spans="1:10" x14ac:dyDescent="0.3">
      <c r="B52" s="230" t="s">
        <v>266</v>
      </c>
      <c r="C52" s="231">
        <f>$I$1</f>
        <v>5.9337210000000002</v>
      </c>
      <c r="D52" s="232">
        <f>$E$1</f>
        <v>5933.7210000000005</v>
      </c>
      <c r="G52" s="147" t="s">
        <v>266</v>
      </c>
      <c r="H52" s="209">
        <f>I52/$D$5</f>
        <v>3.232819043619128</v>
      </c>
      <c r="I52" s="175">
        <f>J52/$R$1</f>
        <v>16327.695454545454</v>
      </c>
      <c r="J52" s="183">
        <f>$S$32</f>
        <v>10776.279</v>
      </c>
    </row>
    <row r="53" spans="1:10" x14ac:dyDescent="0.3">
      <c r="B53" s="230" t="s">
        <v>288</v>
      </c>
      <c r="C53" s="233">
        <f>MIN(C52, C51)</f>
        <v>5.9337210000000002</v>
      </c>
      <c r="D53" s="232">
        <f>(C53*$K$1)*$C$1</f>
        <v>5933.7210000000005</v>
      </c>
      <c r="G53" s="147" t="s">
        <v>288</v>
      </c>
      <c r="H53" s="186">
        <f>MIN(H52,H51)</f>
        <v>3.232819043619128</v>
      </c>
      <c r="I53" s="175">
        <f>J53/$R$1</f>
        <v>16327.695454545454</v>
      </c>
      <c r="J53" s="175">
        <f>MIN(J52,J51)</f>
        <v>10776.279</v>
      </c>
    </row>
    <row r="54" spans="1:10" x14ac:dyDescent="0.3">
      <c r="B54" s="230" t="s">
        <v>289</v>
      </c>
      <c r="C54" s="233">
        <f>MIN(MAX(C52-C53,0),C51)</f>
        <v>0</v>
      </c>
      <c r="D54" s="232">
        <f>(C54*$K$1)*$C$1</f>
        <v>0</v>
      </c>
      <c r="G54" s="147" t="s">
        <v>289</v>
      </c>
      <c r="H54" s="186">
        <f>MIN(MAX(H52-H53),H51)</f>
        <v>0</v>
      </c>
      <c r="I54" s="175">
        <f>J54/$R$1</f>
        <v>0</v>
      </c>
      <c r="J54" s="175">
        <f>MIN(MAX(J52-J53),J51)</f>
        <v>0</v>
      </c>
    </row>
    <row r="55" spans="1:10" x14ac:dyDescent="0.3">
      <c r="B55" s="230" t="s">
        <v>290</v>
      </c>
      <c r="C55" s="233">
        <f>MIN(MAX(C52-C53-C54,0),C51)</f>
        <v>0</v>
      </c>
      <c r="D55" s="232">
        <f>(C55*$K$1)*$C$1</f>
        <v>0</v>
      </c>
      <c r="G55" s="144" t="s">
        <v>290</v>
      </c>
      <c r="H55" s="186">
        <f>MIN(MAX(H52-H53-H54),H51)</f>
        <v>0</v>
      </c>
      <c r="I55" s="175">
        <f>J55/$R$1</f>
        <v>0</v>
      </c>
      <c r="J55" s="175">
        <f>MIN(MAX(J52-J53-J54),J51)</f>
        <v>0</v>
      </c>
    </row>
    <row r="62" spans="1:10" ht="14.25" customHeight="1" x14ac:dyDescent="0.3">
      <c r="A62" s="922"/>
      <c r="B62" s="1438" t="str">
        <f>"لحم بولونيز    1 / " &amp; COUNTIF($C$53:$C$55, "&gt;0")</f>
        <v>لحم بولونيز    1 / 1</v>
      </c>
      <c r="C62" s="1439"/>
      <c r="D62" s="1439"/>
      <c r="E62" s="1439"/>
      <c r="F62" s="1439"/>
      <c r="G62" s="1439"/>
      <c r="H62" s="1439"/>
    </row>
    <row r="63" spans="1:10" x14ac:dyDescent="0.3">
      <c r="A63" s="922"/>
      <c r="B63" s="1436" t="str">
        <f>"Lahm Bolognese  1 / " &amp; COUNTIF($C$53:$C$55, "&gt;0")</f>
        <v>Lahm Bolognese  1 / 1</v>
      </c>
      <c r="C63" s="1437"/>
      <c r="D63" s="1437"/>
      <c r="E63" s="1437"/>
      <c r="F63" s="1437"/>
      <c r="G63" s="1437"/>
      <c r="H63" s="1437"/>
    </row>
    <row r="64" spans="1:10" ht="47.75" customHeight="1" x14ac:dyDescent="0.25">
      <c r="A64" s="90"/>
      <c r="B64" s="90" t="s">
        <v>245</v>
      </c>
      <c r="C64" s="106" t="s">
        <v>246</v>
      </c>
      <c r="D64" s="90" t="s">
        <v>235</v>
      </c>
      <c r="E64" s="217" t="s">
        <v>238</v>
      </c>
      <c r="F64" s="107" t="s">
        <v>247</v>
      </c>
      <c r="G64" s="90" t="s">
        <v>248</v>
      </c>
      <c r="H64" s="217" t="s">
        <v>249</v>
      </c>
    </row>
    <row r="65" spans="1:8" ht="17.75" customHeight="1" x14ac:dyDescent="0.25">
      <c r="A65" s="218" t="s">
        <v>225</v>
      </c>
      <c r="B65" s="322" t="str">
        <f t="shared" ref="B65:D80" si="7">B5</f>
        <v>Indian Meat Tammam Mafroom - مفروم هندى</v>
      </c>
      <c r="C65" s="123" t="str">
        <f t="shared" si="7"/>
        <v>gm</v>
      </c>
      <c r="D65" s="222">
        <f t="shared" si="7"/>
        <v>5050.6060606060601</v>
      </c>
      <c r="E65" s="125">
        <f>H53</f>
        <v>3.232819043619128</v>
      </c>
      <c r="F65" s="126">
        <f t="shared" ref="F65:F80" si="8">F5</f>
        <v>1</v>
      </c>
      <c r="G65" s="118">
        <f t="shared" ref="G65:G80" si="9">D65*E65</f>
        <v>16327.695454545454</v>
      </c>
      <c r="H65" s="119">
        <f t="shared" ref="H65:H80" si="10">G65*F65</f>
        <v>16327.695454545454</v>
      </c>
    </row>
    <row r="66" spans="1:8" x14ac:dyDescent="0.3">
      <c r="A66" s="127" t="s">
        <v>13</v>
      </c>
      <c r="B66" s="322" t="str">
        <f t="shared" si="7"/>
        <v>Onion - بصل</v>
      </c>
      <c r="C66" s="123" t="str">
        <f t="shared" si="7"/>
        <v>gm</v>
      </c>
      <c r="D66" s="124">
        <f t="shared" si="7"/>
        <v>300</v>
      </c>
      <c r="E66" s="125">
        <f>$C$53</f>
        <v>5.9337210000000002</v>
      </c>
      <c r="F66" s="126">
        <f t="shared" si="8"/>
        <v>0.95</v>
      </c>
      <c r="G66" s="118">
        <f t="shared" si="9"/>
        <v>1780.1163000000001</v>
      </c>
      <c r="H66" s="119">
        <f t="shared" si="10"/>
        <v>1691.1104850000002</v>
      </c>
    </row>
    <row r="67" spans="1:8" ht="14.25" customHeight="1" x14ac:dyDescent="0.3">
      <c r="A67" s="127" t="s">
        <v>13</v>
      </c>
      <c r="B67" s="322" t="str">
        <f t="shared" si="7"/>
        <v>Garlic - ثوم مقشر</v>
      </c>
      <c r="C67" s="123" t="str">
        <f t="shared" si="7"/>
        <v>gm</v>
      </c>
      <c r="D67" s="124">
        <f t="shared" si="7"/>
        <v>25</v>
      </c>
      <c r="E67" s="125">
        <f t="shared" ref="E67:E80" si="11">$C$53</f>
        <v>5.9337210000000002</v>
      </c>
      <c r="F67" s="126">
        <f t="shared" si="8"/>
        <v>0.95</v>
      </c>
      <c r="G67" s="118">
        <f t="shared" si="9"/>
        <v>148.34302500000001</v>
      </c>
      <c r="H67" s="119">
        <f t="shared" si="10"/>
        <v>140.92587374999999</v>
      </c>
    </row>
    <row r="68" spans="1:8" ht="14.25" customHeight="1" x14ac:dyDescent="0.3">
      <c r="A68" s="127" t="s">
        <v>13</v>
      </c>
      <c r="B68" s="322" t="str">
        <f t="shared" si="7"/>
        <v>Tomato - طماطم</v>
      </c>
      <c r="C68" s="123" t="str">
        <f t="shared" si="7"/>
        <v>gm</v>
      </c>
      <c r="D68" s="124">
        <f t="shared" si="7"/>
        <v>600</v>
      </c>
      <c r="E68" s="125">
        <f t="shared" si="11"/>
        <v>5.9337210000000002</v>
      </c>
      <c r="F68" s="126">
        <f t="shared" si="8"/>
        <v>1</v>
      </c>
      <c r="G68" s="118">
        <f t="shared" si="9"/>
        <v>3560.2326000000003</v>
      </c>
      <c r="H68" s="119">
        <f t="shared" si="10"/>
        <v>3560.2326000000003</v>
      </c>
    </row>
    <row r="69" spans="1:8" ht="14.25" customHeight="1" x14ac:dyDescent="0.3">
      <c r="A69" s="127" t="s">
        <v>192</v>
      </c>
      <c r="B69" s="322" t="str">
        <f t="shared" si="7"/>
        <v>Tomato Paste - صلصة طماطم</v>
      </c>
      <c r="C69" s="123" t="str">
        <f t="shared" si="7"/>
        <v>gm</v>
      </c>
      <c r="D69" s="124">
        <f t="shared" si="7"/>
        <v>500</v>
      </c>
      <c r="E69" s="125">
        <f t="shared" si="11"/>
        <v>5.9337210000000002</v>
      </c>
      <c r="F69" s="126">
        <f t="shared" si="8"/>
        <v>1</v>
      </c>
      <c r="G69" s="118">
        <f t="shared" si="9"/>
        <v>2966.8605000000002</v>
      </c>
      <c r="H69" s="119">
        <f t="shared" si="10"/>
        <v>2966.8605000000002</v>
      </c>
    </row>
    <row r="70" spans="1:8" ht="14.25" customHeight="1" x14ac:dyDescent="0.3">
      <c r="A70" s="127" t="s">
        <v>95</v>
      </c>
      <c r="B70" s="322" t="str">
        <f t="shared" si="7"/>
        <v>Black Pepper Powder - فلفل أسود مطحون</v>
      </c>
      <c r="C70" s="123" t="str">
        <f t="shared" si="7"/>
        <v>gm</v>
      </c>
      <c r="D70" s="124">
        <f t="shared" si="7"/>
        <v>10</v>
      </c>
      <c r="E70" s="125">
        <f t="shared" si="11"/>
        <v>5.9337210000000002</v>
      </c>
      <c r="F70" s="126">
        <f t="shared" si="8"/>
        <v>0.75</v>
      </c>
      <c r="G70" s="118">
        <f t="shared" si="9"/>
        <v>59.337209999999999</v>
      </c>
      <c r="H70" s="119">
        <f t="shared" si="10"/>
        <v>44.502907499999999</v>
      </c>
    </row>
    <row r="71" spans="1:8" ht="14.25" customHeight="1" x14ac:dyDescent="0.3">
      <c r="A71" s="127" t="s">
        <v>95</v>
      </c>
      <c r="B71" s="322" t="str">
        <f t="shared" si="7"/>
        <v>Cumin Powder - كمون مطحون</v>
      </c>
      <c r="C71" s="123" t="str">
        <f t="shared" si="7"/>
        <v>gm</v>
      </c>
      <c r="D71" s="124">
        <f t="shared" si="7"/>
        <v>20</v>
      </c>
      <c r="E71" s="125">
        <f t="shared" si="11"/>
        <v>5.9337210000000002</v>
      </c>
      <c r="F71" s="126">
        <f t="shared" si="8"/>
        <v>1</v>
      </c>
      <c r="G71" s="118">
        <f t="shared" si="9"/>
        <v>118.67442</v>
      </c>
      <c r="H71" s="119">
        <f t="shared" si="10"/>
        <v>118.67442</v>
      </c>
    </row>
    <row r="72" spans="1:8" ht="14.25" customHeight="1" x14ac:dyDescent="0.3">
      <c r="A72" s="127" t="s">
        <v>95</v>
      </c>
      <c r="B72" s="322" t="str">
        <f t="shared" si="7"/>
        <v>Coriander Powder - كزبرة مطحونة</v>
      </c>
      <c r="C72" s="123" t="str">
        <f t="shared" si="7"/>
        <v>gm</v>
      </c>
      <c r="D72" s="124">
        <f t="shared" si="7"/>
        <v>20</v>
      </c>
      <c r="E72" s="125">
        <f t="shared" si="11"/>
        <v>5.9337210000000002</v>
      </c>
      <c r="F72" s="126">
        <f t="shared" si="8"/>
        <v>1</v>
      </c>
      <c r="G72" s="118">
        <f t="shared" si="9"/>
        <v>118.67442</v>
      </c>
      <c r="H72" s="119">
        <f t="shared" si="10"/>
        <v>118.67442</v>
      </c>
    </row>
    <row r="73" spans="1:8" ht="14.25" customHeight="1" x14ac:dyDescent="0.3">
      <c r="A73" s="127" t="s">
        <v>95</v>
      </c>
      <c r="B73" s="322" t="str">
        <f t="shared" si="7"/>
        <v>Cinnamon Powder - قرفة مطحونة</v>
      </c>
      <c r="C73" s="123" t="str">
        <f t="shared" si="7"/>
        <v>gm</v>
      </c>
      <c r="D73" s="124">
        <f t="shared" si="7"/>
        <v>10</v>
      </c>
      <c r="E73" s="125">
        <f t="shared" si="11"/>
        <v>5.9337210000000002</v>
      </c>
      <c r="F73" s="126">
        <f t="shared" si="8"/>
        <v>0.75</v>
      </c>
      <c r="G73" s="118">
        <f t="shared" si="9"/>
        <v>59.337209999999999</v>
      </c>
      <c r="H73" s="119">
        <f t="shared" si="10"/>
        <v>44.502907499999999</v>
      </c>
    </row>
    <row r="74" spans="1:8" ht="14.25" customHeight="1" x14ac:dyDescent="0.3">
      <c r="A74" s="127" t="s">
        <v>95</v>
      </c>
      <c r="B74" s="322" t="str">
        <f t="shared" si="7"/>
        <v>Maggi Cubes - مكعبات ماجي</v>
      </c>
      <c r="C74" s="123" t="str">
        <f t="shared" si="7"/>
        <v>gm</v>
      </c>
      <c r="D74" s="124">
        <f t="shared" si="7"/>
        <v>15</v>
      </c>
      <c r="E74" s="125">
        <f t="shared" si="11"/>
        <v>5.9337210000000002</v>
      </c>
      <c r="F74" s="126">
        <f t="shared" si="8"/>
        <v>0.75</v>
      </c>
      <c r="G74" s="118">
        <f t="shared" si="9"/>
        <v>89.005814999999998</v>
      </c>
      <c r="H74" s="119">
        <f t="shared" si="10"/>
        <v>66.754361250000002</v>
      </c>
    </row>
    <row r="75" spans="1:8" ht="14.25" customHeight="1" x14ac:dyDescent="0.3">
      <c r="A75" s="127" t="s">
        <v>95</v>
      </c>
      <c r="B75" s="322" t="str">
        <f t="shared" si="7"/>
        <v>Salt - ملح</v>
      </c>
      <c r="C75" s="123" t="str">
        <f t="shared" si="7"/>
        <v>gm</v>
      </c>
      <c r="D75" s="124">
        <f t="shared" si="7"/>
        <v>5</v>
      </c>
      <c r="E75" s="125">
        <f t="shared" si="11"/>
        <v>5.9337210000000002</v>
      </c>
      <c r="F75" s="126">
        <f t="shared" si="8"/>
        <v>0.75</v>
      </c>
      <c r="G75" s="118">
        <f t="shared" si="9"/>
        <v>29.668604999999999</v>
      </c>
      <c r="H75" s="119">
        <f t="shared" si="10"/>
        <v>22.25145375</v>
      </c>
    </row>
    <row r="76" spans="1:8" ht="14.25" customHeight="1" x14ac:dyDescent="0.3">
      <c r="A76" s="127" t="s">
        <v>81</v>
      </c>
      <c r="B76" s="322" t="str">
        <f t="shared" si="7"/>
        <v>Basil - ريحان</v>
      </c>
      <c r="C76" s="123" t="str">
        <f t="shared" si="7"/>
        <v>gm</v>
      </c>
      <c r="D76" s="124">
        <f t="shared" si="7"/>
        <v>5</v>
      </c>
      <c r="E76" s="125">
        <f t="shared" si="11"/>
        <v>5.9337210000000002</v>
      </c>
      <c r="F76" s="126">
        <f t="shared" si="8"/>
        <v>0.75</v>
      </c>
      <c r="G76" s="118">
        <f t="shared" si="9"/>
        <v>29.668604999999999</v>
      </c>
      <c r="H76" s="119">
        <f t="shared" si="10"/>
        <v>22.25145375</v>
      </c>
    </row>
    <row r="77" spans="1:8" ht="14.25" customHeight="1" x14ac:dyDescent="0.3">
      <c r="A77" s="127" t="s">
        <v>154</v>
      </c>
      <c r="B77" s="322" t="str">
        <f t="shared" si="7"/>
        <v>Parmesan Cheese Powder - بديل البارميزان</v>
      </c>
      <c r="C77" s="123" t="str">
        <f t="shared" si="7"/>
        <v>gm</v>
      </c>
      <c r="D77" s="124">
        <f t="shared" si="7"/>
        <v>100</v>
      </c>
      <c r="E77" s="125">
        <f t="shared" si="11"/>
        <v>5.9337210000000002</v>
      </c>
      <c r="F77" s="126">
        <f t="shared" si="8"/>
        <v>1</v>
      </c>
      <c r="G77" s="118">
        <f t="shared" si="9"/>
        <v>593.37210000000005</v>
      </c>
      <c r="H77" s="119">
        <f t="shared" si="10"/>
        <v>593.37210000000005</v>
      </c>
    </row>
    <row r="78" spans="1:8" ht="14.25" customHeight="1" x14ac:dyDescent="0.3">
      <c r="A78" s="127" t="s">
        <v>215</v>
      </c>
      <c r="B78" s="322" t="str">
        <f t="shared" si="7"/>
        <v>Orange Color - لون برتقالي</v>
      </c>
      <c r="C78" s="123" t="str">
        <f t="shared" si="7"/>
        <v>gm</v>
      </c>
      <c r="D78" s="124">
        <f t="shared" si="7"/>
        <v>1</v>
      </c>
      <c r="E78" s="125">
        <f t="shared" si="11"/>
        <v>5.9337210000000002</v>
      </c>
      <c r="F78" s="126">
        <f t="shared" si="8"/>
        <v>1</v>
      </c>
      <c r="G78" s="118">
        <f t="shared" si="9"/>
        <v>5.9337210000000002</v>
      </c>
      <c r="H78" s="119">
        <f t="shared" si="10"/>
        <v>5.9337210000000002</v>
      </c>
    </row>
    <row r="79" spans="1:8" ht="14.25" customHeight="1" x14ac:dyDescent="0.3">
      <c r="B79" s="322" t="str">
        <f t="shared" si="7"/>
        <v>Butter - زبدة</v>
      </c>
      <c r="C79" s="123" t="str">
        <f t="shared" si="7"/>
        <v>gm</v>
      </c>
      <c r="D79" s="124">
        <f t="shared" si="7"/>
        <v>40</v>
      </c>
      <c r="E79" s="125">
        <f t="shared" si="11"/>
        <v>5.9337210000000002</v>
      </c>
      <c r="F79" s="126">
        <f t="shared" si="8"/>
        <v>1</v>
      </c>
      <c r="G79" s="118">
        <f t="shared" si="9"/>
        <v>237.34884</v>
      </c>
      <c r="H79" s="119">
        <f t="shared" si="10"/>
        <v>237.34884</v>
      </c>
    </row>
    <row r="80" spans="1:8" ht="14.25" customHeight="1" x14ac:dyDescent="0.3">
      <c r="B80" s="322" t="str">
        <f t="shared" si="7"/>
        <v>Mozzarella Cheese - جبنة موتزاريلا</v>
      </c>
      <c r="C80" s="123" t="str">
        <f t="shared" si="7"/>
        <v>gm</v>
      </c>
      <c r="D80" s="124">
        <f t="shared" si="7"/>
        <v>100</v>
      </c>
      <c r="E80" s="125">
        <f t="shared" si="11"/>
        <v>5.9337210000000002</v>
      </c>
      <c r="F80" s="126">
        <f t="shared" si="8"/>
        <v>1</v>
      </c>
      <c r="G80" s="118">
        <f t="shared" si="9"/>
        <v>593.37210000000005</v>
      </c>
      <c r="H80" s="119">
        <f t="shared" si="10"/>
        <v>593.37210000000005</v>
      </c>
    </row>
    <row r="81" spans="1:8" ht="14.25" customHeight="1" x14ac:dyDescent="0.3">
      <c r="A81" s="210"/>
      <c r="B81" s="197" t="s">
        <v>291</v>
      </c>
      <c r="C81" s="199" t="s">
        <v>277</v>
      </c>
      <c r="E81" s="199" t="s">
        <v>292</v>
      </c>
      <c r="G81" s="878" t="s">
        <v>268</v>
      </c>
      <c r="H81" s="878" t="s">
        <v>703</v>
      </c>
    </row>
    <row r="82" spans="1:8" ht="26.75" customHeight="1" x14ac:dyDescent="0.4">
      <c r="A82" s="210"/>
      <c r="B82" s="198">
        <f>$J$53</f>
        <v>10776.279</v>
      </c>
      <c r="C82" s="198">
        <f>E82+G82</f>
        <v>5933.7210000000005</v>
      </c>
      <c r="D82" s="915"/>
      <c r="E82" s="198">
        <f>$D$53*$S$44</f>
        <v>5933.7210000000005</v>
      </c>
      <c r="F82" s="919"/>
      <c r="G82" s="198">
        <f>$D$53*$T$44</f>
        <v>0</v>
      </c>
      <c r="H82" s="198">
        <f>B82+E82</f>
        <v>16710</v>
      </c>
    </row>
    <row r="83" spans="1:8" ht="20.25" customHeight="1" x14ac:dyDescent="0.3"/>
  </sheetData>
  <mergeCells count="7">
    <mergeCell ref="AE2:AG3"/>
    <mergeCell ref="B63:H63"/>
    <mergeCell ref="R26:U26"/>
    <mergeCell ref="R25:U25"/>
    <mergeCell ref="B62:H62"/>
    <mergeCell ref="B2:K3"/>
    <mergeCell ref="B35:F35"/>
  </mergeCells>
  <printOptions horizontalCentered="1"/>
  <pageMargins left="0.5" right="0.5" top="1" bottom="0.5" header="0.3" footer="0.511811023622047"/>
  <pageSetup paperSize="9" scale="31" orientation="portrait" r:id="rId1"/>
  <legacyDrawing r:id="rId2"/>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64">
    <tabColor rgb="FFC55A11"/>
    <pageSetUpPr fitToPage="1"/>
  </sheetPr>
  <dimension ref="A1:AG171"/>
  <sheetViews>
    <sheetView topLeftCell="R1" zoomScale="85" zoomScaleNormal="85" workbookViewId="0">
      <selection activeCell="Q43" sqref="Q43:T44"/>
    </sheetView>
  </sheetViews>
  <sheetFormatPr defaultColWidth="12.5" defaultRowHeight="14" x14ac:dyDescent="0.3"/>
  <cols>
    <col min="1" max="1" width="12.5" style="78" customWidth="1"/>
    <col min="2" max="2" width="32.5" style="14" bestFit="1"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9" width="10.5" style="14" customWidth="1"/>
    <col min="10" max="10" width="23.25" style="14" customWidth="1"/>
    <col min="11" max="11" width="10.5" style="14" customWidth="1"/>
    <col min="12" max="12" width="11.6640625" style="14" customWidth="1"/>
    <col min="13" max="14" width="7.9140625" style="14" customWidth="1"/>
    <col min="15" max="17" width="12.5" style="14" customWidth="1"/>
    <col min="18" max="18" width="31.4140625" style="14" bestFit="1" customWidth="1"/>
    <col min="19" max="19" width="12.5" style="14" customWidth="1"/>
    <col min="20" max="16384" width="12.5" style="14"/>
  </cols>
  <sheetData>
    <row r="1" spans="1:33" ht="35.25" customHeight="1" x14ac:dyDescent="0.3">
      <c r="B1" s="79" t="s">
        <v>235</v>
      </c>
      <c r="C1" s="80">
        <v>1000</v>
      </c>
      <c r="D1" s="81" t="s">
        <v>236</v>
      </c>
      <c r="E1" s="116">
        <f>T32</f>
        <v>61044.684431977556</v>
      </c>
      <c r="F1" s="79" t="s">
        <v>237</v>
      </c>
      <c r="G1" s="80">
        <f>E1/C1</f>
        <v>61.044684431977558</v>
      </c>
      <c r="H1" s="79" t="s">
        <v>238</v>
      </c>
      <c r="I1" s="282">
        <f>G1/K1</f>
        <v>61.044684431977558</v>
      </c>
      <c r="J1" s="85" t="s">
        <v>239</v>
      </c>
      <c r="K1" s="99">
        <v>1</v>
      </c>
      <c r="L1" s="99"/>
      <c r="M1" s="88"/>
      <c r="N1" s="89"/>
      <c r="O1" s="90" t="s">
        <v>240</v>
      </c>
      <c r="P1" s="91" t="s">
        <v>293</v>
      </c>
      <c r="Q1" s="92" t="s">
        <v>242</v>
      </c>
      <c r="R1" s="91">
        <v>0.51</v>
      </c>
      <c r="Y1" s="90" t="s">
        <v>463</v>
      </c>
      <c r="Z1" s="835">
        <v>136500</v>
      </c>
      <c r="AA1" s="90" t="s">
        <v>578</v>
      </c>
      <c r="AB1" s="835">
        <v>1000</v>
      </c>
      <c r="AC1" s="90" t="s">
        <v>567</v>
      </c>
      <c r="AD1" s="835">
        <v>440</v>
      </c>
    </row>
    <row r="2" spans="1:33" ht="12.75" customHeight="1" x14ac:dyDescent="0.3">
      <c r="A2" s="96"/>
      <c r="B2" s="1443" t="s">
        <v>459</v>
      </c>
      <c r="C2" s="1466"/>
      <c r="D2" s="1466"/>
      <c r="E2" s="1466"/>
      <c r="F2" s="1466"/>
      <c r="G2" s="1466"/>
      <c r="H2" s="1466"/>
      <c r="I2" s="549"/>
      <c r="J2" s="549"/>
      <c r="K2" s="550"/>
      <c r="L2" s="292"/>
      <c r="M2" s="99"/>
      <c r="N2" s="99"/>
      <c r="O2" s="99"/>
      <c r="P2" s="99"/>
      <c r="Q2" s="99"/>
      <c r="R2" s="99"/>
      <c r="AE2" s="1452"/>
      <c r="AF2" s="1460"/>
      <c r="AG2" s="1460"/>
    </row>
    <row r="3" spans="1:33" ht="12.75" customHeight="1" x14ac:dyDescent="0.3">
      <c r="A3" s="96"/>
      <c r="B3" s="1444"/>
      <c r="C3" s="1444"/>
      <c r="D3" s="1444"/>
      <c r="E3" s="1444"/>
      <c r="F3" s="1444"/>
      <c r="G3" s="1444"/>
      <c r="H3" s="1444"/>
      <c r="I3" s="369"/>
      <c r="J3" s="369"/>
      <c r="K3" s="501"/>
      <c r="L3" s="292"/>
      <c r="M3" s="99"/>
      <c r="N3" s="99"/>
      <c r="O3" s="99"/>
      <c r="P3" s="99"/>
      <c r="Q3" s="99"/>
      <c r="R3" s="99"/>
      <c r="AE3" s="1460"/>
      <c r="AF3" s="1460"/>
      <c r="AG3" s="1460"/>
    </row>
    <row r="4" spans="1:33" ht="47.75" customHeight="1" x14ac:dyDescent="0.25">
      <c r="A4" s="90" t="s">
        <v>1</v>
      </c>
      <c r="B4" s="90" t="s">
        <v>245</v>
      </c>
      <c r="C4" s="106" t="s">
        <v>246</v>
      </c>
      <c r="D4" s="90" t="s">
        <v>235</v>
      </c>
      <c r="E4" s="217" t="s">
        <v>238</v>
      </c>
      <c r="F4" s="107" t="s">
        <v>247</v>
      </c>
      <c r="G4" s="90" t="s">
        <v>248</v>
      </c>
      <c r="H4" s="217" t="s">
        <v>249</v>
      </c>
      <c r="I4" s="90" t="s">
        <v>250</v>
      </c>
      <c r="J4" s="90" t="s">
        <v>251</v>
      </c>
      <c r="K4" s="90" t="s">
        <v>252</v>
      </c>
      <c r="L4" s="90" t="s">
        <v>253</v>
      </c>
      <c r="M4" s="99"/>
      <c r="N4" s="99"/>
      <c r="O4" s="99"/>
      <c r="P4" s="99"/>
    </row>
    <row r="5" spans="1:33" ht="14.25" customHeight="1" x14ac:dyDescent="0.25">
      <c r="A5" s="551"/>
      <c r="B5" s="22" t="s">
        <v>460</v>
      </c>
      <c r="C5" s="123" t="s">
        <v>14</v>
      </c>
      <c r="D5" s="124">
        <v>154</v>
      </c>
      <c r="E5" s="196">
        <f t="shared" ref="E5:E13" si="0">$G$1</f>
        <v>61.044684431977558</v>
      </c>
      <c r="F5" s="126">
        <v>1</v>
      </c>
      <c r="G5" s="120">
        <f t="shared" ref="G5:G13" si="1">D5*E5</f>
        <v>9400.8814025245447</v>
      </c>
      <c r="H5" s="119">
        <f t="shared" ref="H5:H13" si="2">G5*F5</f>
        <v>9400.8814025245447</v>
      </c>
      <c r="I5" s="80">
        <f>VLOOKUP(B5,All_Ingredients!$A$1:$F$149,6,FALSE())</f>
        <v>1</v>
      </c>
      <c r="J5" s="118">
        <f>VLOOKUP(B5,All_Ingredients!$A$1:$J$149,10,FALSE())</f>
        <v>30.2863436123348</v>
      </c>
      <c r="K5" s="121">
        <f t="shared" ref="K5" si="3">(H5/I5)/1000</f>
        <v>9.4008814025245453</v>
      </c>
      <c r="L5" s="121">
        <f t="shared" ref="L5" si="4">K5*J5</f>
        <v>284.7183244156663</v>
      </c>
      <c r="M5" s="99"/>
      <c r="N5" s="99"/>
      <c r="O5" s="99"/>
      <c r="P5" s="99"/>
    </row>
    <row r="6" spans="1:33" ht="14.25" customHeight="1" x14ac:dyDescent="0.3">
      <c r="A6" s="127" t="s">
        <v>154</v>
      </c>
      <c r="B6" s="22" t="s">
        <v>160</v>
      </c>
      <c r="C6" s="123" t="s">
        <v>14</v>
      </c>
      <c r="D6" s="124">
        <v>212</v>
      </c>
      <c r="E6" s="196">
        <f t="shared" si="0"/>
        <v>61.044684431977558</v>
      </c>
      <c r="F6" s="126">
        <v>1</v>
      </c>
      <c r="G6" s="118">
        <f t="shared" si="1"/>
        <v>12941.473099579242</v>
      </c>
      <c r="H6" s="119">
        <f t="shared" si="2"/>
        <v>12941.473099579242</v>
      </c>
      <c r="I6" s="80">
        <f>VLOOKUP(B6,All_Ingredients!$A$1:$F$149,6,FALSE())</f>
        <v>1</v>
      </c>
      <c r="J6" s="118">
        <f>VLOOKUP(B6,All_Ingredients!$A$1:$J$149,10,FALSE())</f>
        <v>4.2033333333333331</v>
      </c>
      <c r="K6" s="121">
        <f t="shared" ref="K6:K13" si="5">(H6/I6)/1000</f>
        <v>12.941473099579241</v>
      </c>
      <c r="L6" s="121">
        <f t="shared" ref="L6:L13" si="6">K6*J6</f>
        <v>54.397325261898075</v>
      </c>
    </row>
    <row r="7" spans="1:33" ht="14.25" customHeight="1" x14ac:dyDescent="0.3">
      <c r="A7" s="127" t="s">
        <v>154</v>
      </c>
      <c r="B7" s="22" t="s">
        <v>167</v>
      </c>
      <c r="C7" s="123" t="s">
        <v>161</v>
      </c>
      <c r="D7" s="124">
        <v>212</v>
      </c>
      <c r="E7" s="222">
        <f t="shared" si="0"/>
        <v>61.044684431977558</v>
      </c>
      <c r="F7" s="126">
        <v>1</v>
      </c>
      <c r="G7" s="118">
        <f t="shared" si="1"/>
        <v>12941.473099579242</v>
      </c>
      <c r="H7" s="119">
        <f t="shared" si="2"/>
        <v>12941.473099579242</v>
      </c>
      <c r="I7" s="80">
        <f>VLOOKUP(B7,All_Ingredients!$A$1:$F$149,6,FALSE())</f>
        <v>1</v>
      </c>
      <c r="J7" s="118">
        <f>VLOOKUP(B7,All_Ingredients!$A$1:$J$149,10,FALSE())</f>
        <v>12.666666666666666</v>
      </c>
      <c r="K7" s="121">
        <f t="shared" si="5"/>
        <v>12.941473099579241</v>
      </c>
      <c r="L7" s="121">
        <f t="shared" si="6"/>
        <v>163.9253259280037</v>
      </c>
    </row>
    <row r="8" spans="1:33" ht="14.25" customHeight="1" x14ac:dyDescent="0.3">
      <c r="A8" s="127" t="s">
        <v>154</v>
      </c>
      <c r="B8" s="22" t="s">
        <v>153</v>
      </c>
      <c r="C8" s="123" t="s">
        <v>14</v>
      </c>
      <c r="D8" s="124">
        <v>9.3000000000000007</v>
      </c>
      <c r="E8" s="222">
        <f t="shared" si="0"/>
        <v>61.044684431977558</v>
      </c>
      <c r="F8" s="126">
        <v>1</v>
      </c>
      <c r="G8" s="120">
        <f t="shared" si="1"/>
        <v>567.71556521739137</v>
      </c>
      <c r="H8" s="119">
        <f t="shared" si="2"/>
        <v>567.71556521739137</v>
      </c>
      <c r="I8" s="80">
        <f>VLOOKUP(B8,All_Ingredients!$A$1:$F$149,6,FALSE())</f>
        <v>1</v>
      </c>
      <c r="J8" s="118">
        <f>VLOOKUP(B8,All_Ingredients!$A$1:$J$149,10,FALSE())</f>
        <v>30</v>
      </c>
      <c r="K8" s="121">
        <f t="shared" si="5"/>
        <v>0.56771556521739142</v>
      </c>
      <c r="L8" s="121">
        <f t="shared" si="6"/>
        <v>17.031466956521744</v>
      </c>
    </row>
    <row r="9" spans="1:33" ht="14.25" customHeight="1" x14ac:dyDescent="0.3">
      <c r="A9" s="127" t="s">
        <v>188</v>
      </c>
      <c r="B9" s="22" t="s">
        <v>187</v>
      </c>
      <c r="C9" s="123" t="s">
        <v>14</v>
      </c>
      <c r="D9" s="124">
        <v>33</v>
      </c>
      <c r="E9" s="222">
        <f t="shared" si="0"/>
        <v>61.044684431977558</v>
      </c>
      <c r="F9" s="126">
        <v>1</v>
      </c>
      <c r="G9" s="120">
        <f t="shared" si="1"/>
        <v>2014.4745862552595</v>
      </c>
      <c r="H9" s="119">
        <f t="shared" si="2"/>
        <v>2014.4745862552595</v>
      </c>
      <c r="I9" s="80">
        <f>VLOOKUP(B9,All_Ingredients!$A$1:$F$149,6,FALSE())</f>
        <v>1</v>
      </c>
      <c r="J9" s="118">
        <f>VLOOKUP(B9,All_Ingredients!$A$1:$J$149,10,FALSE())</f>
        <v>1.7</v>
      </c>
      <c r="K9" s="121">
        <f t="shared" si="5"/>
        <v>2.0144745862552593</v>
      </c>
      <c r="L9" s="121">
        <f t="shared" si="6"/>
        <v>3.4246067966339409</v>
      </c>
    </row>
    <row r="10" spans="1:33" ht="14.25" customHeight="1" x14ac:dyDescent="0.3">
      <c r="A10" s="127" t="s">
        <v>95</v>
      </c>
      <c r="B10" s="22" t="s">
        <v>140</v>
      </c>
      <c r="C10" s="123" t="s">
        <v>14</v>
      </c>
      <c r="D10" s="124">
        <v>18.600000000000001</v>
      </c>
      <c r="E10" s="222">
        <f t="shared" si="0"/>
        <v>61.044684431977558</v>
      </c>
      <c r="F10" s="126">
        <v>1</v>
      </c>
      <c r="G10" s="120">
        <f t="shared" si="1"/>
        <v>1135.4311304347827</v>
      </c>
      <c r="H10" s="119">
        <f t="shared" si="2"/>
        <v>1135.4311304347827</v>
      </c>
      <c r="I10" s="80">
        <f>VLOOKUP(B10,All_Ingredients!$A$1:$F$149,6,FALSE())</f>
        <v>1</v>
      </c>
      <c r="J10" s="118">
        <f>VLOOKUP(B10,All_Ingredients!$A$1:$J$149,10,FALSE())</f>
        <v>15.277777777777779</v>
      </c>
      <c r="K10" s="121">
        <f t="shared" si="5"/>
        <v>1.1354311304347828</v>
      </c>
      <c r="L10" s="121">
        <f t="shared" si="6"/>
        <v>17.346864492753628</v>
      </c>
    </row>
    <row r="11" spans="1:33" ht="14.25" customHeight="1" x14ac:dyDescent="0.3">
      <c r="A11" s="127" t="s">
        <v>95</v>
      </c>
      <c r="B11" s="22" t="s">
        <v>102</v>
      </c>
      <c r="C11" s="123" t="s">
        <v>14</v>
      </c>
      <c r="D11" s="196">
        <v>0.6</v>
      </c>
      <c r="E11" s="222">
        <f t="shared" si="0"/>
        <v>61.044684431977558</v>
      </c>
      <c r="F11" s="126">
        <v>1</v>
      </c>
      <c r="G11" s="120">
        <f t="shared" si="1"/>
        <v>36.626810659186532</v>
      </c>
      <c r="H11" s="119">
        <f t="shared" si="2"/>
        <v>36.626810659186532</v>
      </c>
      <c r="I11" s="80">
        <f>VLOOKUP(B11,All_Ingredients!$A$1:$F$149,6,FALSE())</f>
        <v>1</v>
      </c>
      <c r="J11" s="118">
        <f>VLOOKUP(B11,All_Ingredients!$A$1:$J$149,10,FALSE())</f>
        <v>47</v>
      </c>
      <c r="K11" s="121">
        <f t="shared" si="5"/>
        <v>3.6626810659186534E-2</v>
      </c>
      <c r="L11" s="121">
        <f t="shared" si="6"/>
        <v>1.7214601009817672</v>
      </c>
      <c r="R11" s="99"/>
    </row>
    <row r="12" spans="1:33" ht="15" customHeight="1" x14ac:dyDescent="0.3">
      <c r="A12" s="127" t="s">
        <v>95</v>
      </c>
      <c r="B12" s="22" t="s">
        <v>94</v>
      </c>
      <c r="C12" s="123" t="s">
        <v>14</v>
      </c>
      <c r="D12" s="124">
        <v>5</v>
      </c>
      <c r="E12" s="222">
        <f t="shared" si="0"/>
        <v>61.044684431977558</v>
      </c>
      <c r="F12" s="126">
        <v>1</v>
      </c>
      <c r="G12" s="120">
        <f t="shared" si="1"/>
        <v>305.22342215988778</v>
      </c>
      <c r="H12" s="119">
        <f t="shared" si="2"/>
        <v>305.22342215988778</v>
      </c>
      <c r="I12" s="80">
        <f>VLOOKUP(B12,All_Ingredients!$A$1:$F$149,6,FALSE())</f>
        <v>1</v>
      </c>
      <c r="J12" s="118">
        <f>VLOOKUP(B12,All_Ingredients!$A$1:$J$149,10,FALSE())</f>
        <v>0.74</v>
      </c>
      <c r="K12" s="121">
        <f t="shared" si="5"/>
        <v>0.30522342215988779</v>
      </c>
      <c r="L12" s="121">
        <f t="shared" si="6"/>
        <v>0.22586533239831696</v>
      </c>
      <c r="R12" s="99"/>
    </row>
    <row r="13" spans="1:33" ht="14.25" customHeight="1" x14ac:dyDescent="0.3">
      <c r="A13" s="552" t="s">
        <v>154</v>
      </c>
      <c r="B13" s="22" t="s">
        <v>174</v>
      </c>
      <c r="C13" s="123" t="s">
        <v>14</v>
      </c>
      <c r="D13" s="114">
        <v>310</v>
      </c>
      <c r="E13" s="222">
        <f t="shared" si="0"/>
        <v>61.044684431977558</v>
      </c>
      <c r="F13" s="126">
        <v>1</v>
      </c>
      <c r="G13" s="120">
        <f t="shared" si="1"/>
        <v>18923.852173913045</v>
      </c>
      <c r="H13" s="119">
        <f t="shared" si="2"/>
        <v>18923.852173913045</v>
      </c>
      <c r="I13" s="80">
        <f>VLOOKUP(B13,All_Ingredients!$A$1:$F$149,6,FALSE())</f>
        <v>1</v>
      </c>
      <c r="J13" s="118">
        <f>VLOOKUP(B13,All_Ingredients!$A$1:$J$149,10,FALSE())</f>
        <v>17.934782608695652</v>
      </c>
      <c r="K13" s="121">
        <f t="shared" si="5"/>
        <v>18.923852173913044</v>
      </c>
      <c r="L13" s="121">
        <f t="shared" si="6"/>
        <v>339.39517485822307</v>
      </c>
      <c r="P13" s="99"/>
      <c r="R13" s="556"/>
    </row>
    <row r="14" spans="1:33" ht="14.25" customHeight="1" x14ac:dyDescent="0.3">
      <c r="R14" s="327"/>
      <c r="S14" s="557"/>
      <c r="T14" s="556"/>
    </row>
    <row r="15" spans="1:33" ht="14.25" customHeight="1" x14ac:dyDescent="0.3">
      <c r="G15" s="553"/>
      <c r="R15" s="99"/>
      <c r="S15" s="557"/>
      <c r="T15" s="556"/>
    </row>
    <row r="16" spans="1:33" ht="14.25" customHeight="1" x14ac:dyDescent="0.3">
      <c r="H16" s="554"/>
      <c r="R16" s="99"/>
      <c r="S16" s="557"/>
      <c r="T16" s="556"/>
    </row>
    <row r="17" spans="2:29" ht="14.25" customHeight="1" x14ac:dyDescent="0.3">
      <c r="H17" s="554"/>
      <c r="R17" s="99"/>
      <c r="S17" s="557"/>
      <c r="T17" s="556"/>
    </row>
    <row r="18" spans="2:29" ht="14.25" customHeight="1" x14ac:dyDescent="0.3">
      <c r="H18" s="554"/>
      <c r="R18" s="99"/>
      <c r="S18" s="557"/>
      <c r="T18" s="556"/>
    </row>
    <row r="19" spans="2:29" ht="14.25" customHeight="1" x14ac:dyDescent="0.3">
      <c r="H19" s="554"/>
      <c r="R19" s="99"/>
      <c r="S19" s="558"/>
      <c r="T19" s="556"/>
    </row>
    <row r="20" spans="2:29" ht="14.25" customHeight="1" x14ac:dyDescent="0.3">
      <c r="H20" s="554"/>
      <c r="R20" s="99"/>
      <c r="S20" s="558"/>
      <c r="T20" s="556"/>
    </row>
    <row r="21" spans="2:29" ht="14.25" customHeight="1" x14ac:dyDescent="0.3">
      <c r="H21" s="554"/>
      <c r="R21" s="99"/>
      <c r="S21" s="558"/>
      <c r="T21" s="556"/>
    </row>
    <row r="22" spans="2:29" ht="14.25" customHeight="1" x14ac:dyDescent="0.3">
      <c r="H22" s="554"/>
      <c r="R22" s="99"/>
      <c r="S22" s="557"/>
      <c r="T22" s="618">
        <f>U28/U23</f>
        <v>0.4398877980364656</v>
      </c>
    </row>
    <row r="23" spans="2:29" ht="14.25" customHeight="1" x14ac:dyDescent="0.3">
      <c r="H23" s="554"/>
      <c r="T23" s="337" t="s">
        <v>463</v>
      </c>
      <c r="U23" s="401">
        <f>$Z$1</f>
        <v>136500</v>
      </c>
    </row>
    <row r="24" spans="2:29" ht="14.25" customHeight="1" x14ac:dyDescent="0.3">
      <c r="B24" s="99"/>
      <c r="H24" s="554"/>
    </row>
    <row r="25" spans="2:29" ht="14.25" customHeight="1" x14ac:dyDescent="0.3">
      <c r="E25" s="99"/>
      <c r="F25" s="557"/>
      <c r="G25" s="554"/>
      <c r="H25" s="554"/>
      <c r="R25" s="1459" t="s">
        <v>459</v>
      </c>
      <c r="S25" s="1444"/>
      <c r="T25" s="1444"/>
      <c r="U25" s="1444"/>
      <c r="Z25" s="140" t="s">
        <v>256</v>
      </c>
      <c r="AA25" s="141">
        <v>1</v>
      </c>
      <c r="AB25" s="140" t="s">
        <v>253</v>
      </c>
      <c r="AC25" s="142">
        <f>(T35/T32)*AA25</f>
        <v>1.445148619166188E-2</v>
      </c>
    </row>
    <row r="26" spans="2:29" ht="18" customHeight="1" x14ac:dyDescent="0.3">
      <c r="E26" s="99"/>
      <c r="F26" s="557"/>
      <c r="G26" s="554"/>
      <c r="H26" s="554"/>
      <c r="R26" s="1459" t="s">
        <v>365</v>
      </c>
      <c r="S26" s="1444"/>
      <c r="T26" s="1444"/>
      <c r="U26" s="1444"/>
    </row>
    <row r="27" spans="2:29" ht="23.25" customHeight="1" x14ac:dyDescent="0.3">
      <c r="B27" s="99"/>
      <c r="E27" s="99"/>
      <c r="F27" s="99"/>
      <c r="R27" s="144" t="s">
        <v>258</v>
      </c>
      <c r="S27" s="145" t="s">
        <v>356</v>
      </c>
      <c r="T27" s="145" t="s">
        <v>260</v>
      </c>
      <c r="U27" s="145" t="s">
        <v>261</v>
      </c>
    </row>
    <row r="28" spans="2:29" ht="14.25" customHeight="1" x14ac:dyDescent="0.3">
      <c r="B28" s="99"/>
      <c r="E28" s="99"/>
      <c r="F28" s="99"/>
      <c r="R28" s="147" t="s">
        <v>267</v>
      </c>
      <c r="S28" s="148"/>
      <c r="T28" s="1371">
        <f>U28-S28</f>
        <v>60044.684431977556</v>
      </c>
      <c r="U28" s="1371">
        <f>U23-'Beef Lasagne Sauce'!U28</f>
        <v>60044.684431977556</v>
      </c>
    </row>
    <row r="29" spans="2:29" ht="14.25" customHeight="1" x14ac:dyDescent="0.3">
      <c r="B29" s="99"/>
      <c r="E29" s="99"/>
      <c r="F29" s="99"/>
      <c r="R29" s="147" t="s">
        <v>268</v>
      </c>
      <c r="S29" s="154"/>
      <c r="T29" s="1371"/>
      <c r="U29" s="1371">
        <f>T29</f>
        <v>0</v>
      </c>
    </row>
    <row r="30" spans="2:29" ht="14.25" customHeight="1" x14ac:dyDescent="0.3">
      <c r="B30" s="99"/>
      <c r="E30" s="99"/>
      <c r="F30" s="99"/>
      <c r="R30" s="147" t="s">
        <v>269</v>
      </c>
      <c r="S30" s="154"/>
      <c r="T30" s="1342">
        <f>$AB$1</f>
        <v>1000</v>
      </c>
      <c r="U30" s="1374">
        <f>T30</f>
        <v>1000</v>
      </c>
    </row>
    <row r="31" spans="2:29" ht="14.25" customHeight="1" x14ac:dyDescent="0.3">
      <c r="B31" s="99"/>
      <c r="E31" s="99"/>
      <c r="F31" s="99"/>
      <c r="R31" s="147" t="s">
        <v>271</v>
      </c>
      <c r="S31" s="154"/>
      <c r="T31" s="1371"/>
      <c r="U31" s="1371"/>
    </row>
    <row r="32" spans="2:29" ht="14.25" customHeight="1" x14ac:dyDescent="0.3">
      <c r="C32" s="99"/>
      <c r="D32" s="557"/>
      <c r="L32" s="297"/>
      <c r="M32" s="297"/>
      <c r="N32" s="297"/>
      <c r="P32" s="296"/>
      <c r="R32" s="159" t="s">
        <v>261</v>
      </c>
      <c r="S32" s="148">
        <f>SUM(S28:S30)</f>
        <v>0</v>
      </c>
      <c r="T32" s="148">
        <f>SUM(T28:T30)</f>
        <v>61044.684431977556</v>
      </c>
      <c r="U32" s="148">
        <f>SUM(U28:U30)</f>
        <v>61044.684431977556</v>
      </c>
    </row>
    <row r="33" spans="3:21" ht="14.25" customHeight="1" x14ac:dyDescent="0.3">
      <c r="C33" s="99"/>
      <c r="D33" s="557"/>
      <c r="L33" s="297"/>
      <c r="M33" s="297"/>
      <c r="N33" s="318"/>
      <c r="O33" s="553"/>
      <c r="P33" s="296"/>
      <c r="R33" s="160" t="s">
        <v>272</v>
      </c>
      <c r="S33" s="154"/>
      <c r="T33" s="154"/>
      <c r="U33" s="148">
        <f>F75</f>
        <v>0</v>
      </c>
    </row>
    <row r="34" spans="3:21" ht="14.25" customHeight="1" x14ac:dyDescent="0.3">
      <c r="C34" s="99"/>
      <c r="D34" s="557"/>
      <c r="L34" s="297"/>
      <c r="M34" s="297"/>
      <c r="N34" s="318"/>
      <c r="O34" s="553"/>
      <c r="P34" s="296"/>
      <c r="R34" s="161" t="s">
        <v>273</v>
      </c>
      <c r="S34" s="154"/>
      <c r="T34" s="148"/>
      <c r="U34" s="148">
        <f>U33-(U28+U29)</f>
        <v>-60044.684431977556</v>
      </c>
    </row>
    <row r="35" spans="3:21" ht="14.25" customHeight="1" x14ac:dyDescent="0.3">
      <c r="C35" s="99"/>
      <c r="D35" s="557"/>
      <c r="L35" s="297"/>
      <c r="M35" s="297"/>
      <c r="N35" s="318"/>
      <c r="O35" s="553"/>
      <c r="P35" s="296"/>
      <c r="R35" s="162" t="s">
        <v>253</v>
      </c>
      <c r="S35" s="1125"/>
      <c r="T35" s="1125">
        <f>SUM(L5:L13)</f>
        <v>882.18641414308058</v>
      </c>
      <c r="U35" s="1125">
        <f>S35+T35</f>
        <v>882.18641414308058</v>
      </c>
    </row>
    <row r="36" spans="3:21" ht="14.25" customHeight="1" x14ac:dyDescent="0.3">
      <c r="C36" s="99"/>
      <c r="D36" s="558"/>
      <c r="L36" s="297"/>
      <c r="M36" s="297"/>
      <c r="N36" s="318"/>
      <c r="O36" s="553"/>
      <c r="P36" s="296"/>
    </row>
    <row r="37" spans="3:21" ht="14.25" customHeight="1" x14ac:dyDescent="0.3">
      <c r="C37" s="99"/>
      <c r="D37" s="558"/>
      <c r="N37" s="412"/>
      <c r="O37" s="553"/>
      <c r="P37" s="296"/>
    </row>
    <row r="38" spans="3:21" ht="14.25" customHeight="1" x14ac:dyDescent="0.3">
      <c r="C38" s="99"/>
      <c r="D38" s="558"/>
      <c r="O38" s="553"/>
      <c r="P38" s="296"/>
    </row>
    <row r="39" spans="3:21" ht="14.25" customHeight="1" x14ac:dyDescent="0.3">
      <c r="O39" s="553"/>
      <c r="P39" s="296"/>
    </row>
    <row r="40" spans="3:21" ht="14.25" customHeight="1" x14ac:dyDescent="0.3">
      <c r="O40" s="553"/>
      <c r="P40" s="296"/>
      <c r="R40" s="389"/>
      <c r="S40" s="498"/>
      <c r="T40" s="389"/>
      <c r="U40" s="498"/>
    </row>
    <row r="41" spans="3:21" ht="14.25" customHeight="1" x14ac:dyDescent="0.3">
      <c r="N41" s="318"/>
      <c r="O41" s="553"/>
      <c r="U41" s="168"/>
    </row>
    <row r="42" spans="3:21" ht="14.25" customHeight="1" x14ac:dyDescent="0.3">
      <c r="N42" s="412"/>
      <c r="O42" s="297"/>
    </row>
    <row r="43" spans="3:21" ht="14" customHeight="1" x14ac:dyDescent="0.3">
      <c r="Q43" s="320"/>
      <c r="R43" s="320"/>
      <c r="S43" s="320"/>
      <c r="T43" s="320"/>
      <c r="U43" s="320"/>
    </row>
    <row r="44" spans="3:21" ht="14" customHeight="1" x14ac:dyDescent="0.3">
      <c r="R44" s="388"/>
      <c r="S44" s="391"/>
      <c r="T44" s="391"/>
      <c r="U44" s="392"/>
    </row>
    <row r="50" spans="1:8" x14ac:dyDescent="0.3">
      <c r="B50" s="275"/>
      <c r="C50" s="144" t="s">
        <v>237</v>
      </c>
      <c r="D50" s="144" t="s">
        <v>283</v>
      </c>
    </row>
    <row r="51" spans="1:8" x14ac:dyDescent="0.3">
      <c r="B51" s="179" t="s">
        <v>287</v>
      </c>
      <c r="C51" s="180">
        <f>10/$K$1</f>
        <v>10</v>
      </c>
      <c r="D51" s="181">
        <f>$C$1*10</f>
        <v>10000</v>
      </c>
    </row>
    <row r="52" spans="1:8" x14ac:dyDescent="0.3">
      <c r="B52" s="275" t="s">
        <v>266</v>
      </c>
      <c r="C52" s="184">
        <f>I1</f>
        <v>61.044684431977558</v>
      </c>
      <c r="D52" s="184">
        <f>E1</f>
        <v>61044.684431977556</v>
      </c>
    </row>
    <row r="53" spans="1:8" x14ac:dyDescent="0.3">
      <c r="B53" s="275" t="s">
        <v>288</v>
      </c>
      <c r="C53" s="555">
        <f>MIN($C$52, C51)</f>
        <v>10</v>
      </c>
      <c r="D53" s="184">
        <f t="shared" ref="D53:D59" si="7">(C53*$K$1)*$C$1</f>
        <v>10000</v>
      </c>
    </row>
    <row r="54" spans="1:8" x14ac:dyDescent="0.3">
      <c r="B54" s="275" t="s">
        <v>289</v>
      </c>
      <c r="C54" s="185">
        <f>MIN(MAX($C$52-C53,0),C51)</f>
        <v>10</v>
      </c>
      <c r="D54" s="184">
        <f t="shared" si="7"/>
        <v>10000</v>
      </c>
    </row>
    <row r="55" spans="1:8" ht="14.25" customHeight="1" x14ac:dyDescent="0.3">
      <c r="B55" s="275" t="s">
        <v>290</v>
      </c>
      <c r="C55" s="185">
        <f>MIN(MAX($C$52-C53-C54,0),C51)</f>
        <v>10</v>
      </c>
      <c r="D55" s="184">
        <f t="shared" si="7"/>
        <v>10000</v>
      </c>
    </row>
    <row r="56" spans="1:8" ht="14.25" customHeight="1" x14ac:dyDescent="0.3">
      <c r="B56" s="275" t="s">
        <v>297</v>
      </c>
      <c r="C56" s="185">
        <f>MIN(MAX($C$52-C53-C54-C55,0),C51)</f>
        <v>10</v>
      </c>
      <c r="D56" s="184">
        <f t="shared" si="7"/>
        <v>10000</v>
      </c>
    </row>
    <row r="57" spans="1:8" x14ac:dyDescent="0.3">
      <c r="B57" s="275" t="s">
        <v>348</v>
      </c>
      <c r="C57" s="185">
        <f>MIN(MAX($C$52-C53-C54-C55-C56,0),C51)</f>
        <v>10</v>
      </c>
      <c r="D57" s="184">
        <f t="shared" si="7"/>
        <v>10000</v>
      </c>
    </row>
    <row r="58" spans="1:8" x14ac:dyDescent="0.3">
      <c r="B58" s="275" t="s">
        <v>461</v>
      </c>
      <c r="C58" s="185">
        <f>MIN(MAX($C$52-C53-C54-C55-C56-C57,0),C51)</f>
        <v>10</v>
      </c>
      <c r="D58" s="184">
        <f t="shared" si="7"/>
        <v>10000</v>
      </c>
    </row>
    <row r="59" spans="1:8" x14ac:dyDescent="0.3">
      <c r="B59" s="275" t="s">
        <v>462</v>
      </c>
      <c r="C59" s="185">
        <f>MIN(MAX($C$52-C53-C54-C55-C56-C57-C58,0),C51)</f>
        <v>1.0446844319775579</v>
      </c>
      <c r="D59" s="184">
        <f t="shared" si="7"/>
        <v>1044.6844319775578</v>
      </c>
    </row>
    <row r="62" spans="1:8" ht="17.75" customHeight="1" x14ac:dyDescent="0.3">
      <c r="B62" s="1465"/>
      <c r="C62" s="1458"/>
      <c r="D62" s="1458"/>
      <c r="E62" s="1458"/>
      <c r="F62" s="1458"/>
      <c r="G62" s="1458"/>
      <c r="H62" s="1458"/>
    </row>
    <row r="63" spans="1:8" ht="18" customHeight="1" x14ac:dyDescent="0.3">
      <c r="B63" s="1465"/>
      <c r="C63" s="1458"/>
      <c r="D63" s="1458"/>
      <c r="E63" s="1458"/>
      <c r="F63" s="1458"/>
      <c r="G63" s="1458"/>
      <c r="H63" s="1458"/>
    </row>
    <row r="64" spans="1:8" ht="25.5" customHeight="1" x14ac:dyDescent="0.25">
      <c r="A64" s="370"/>
      <c r="B64" s="370"/>
      <c r="C64" s="347"/>
      <c r="D64" s="370"/>
      <c r="E64" s="346"/>
      <c r="F64" s="370"/>
      <c r="G64" s="370"/>
      <c r="H64" s="346"/>
    </row>
    <row r="65" spans="2:8" ht="14.25" customHeight="1" x14ac:dyDescent="0.3">
      <c r="B65" s="348"/>
      <c r="C65" s="132"/>
      <c r="D65" s="253"/>
      <c r="E65" s="134"/>
      <c r="F65" s="135"/>
      <c r="G65" s="136"/>
      <c r="H65" s="137"/>
    </row>
    <row r="66" spans="2:8" ht="14.25" customHeight="1" x14ac:dyDescent="0.3">
      <c r="B66" s="348"/>
      <c r="C66" s="132"/>
      <c r="D66" s="253"/>
      <c r="E66" s="134"/>
      <c r="F66" s="135"/>
      <c r="G66" s="136"/>
      <c r="H66" s="137"/>
    </row>
    <row r="67" spans="2:8" ht="14.25" customHeight="1" x14ac:dyDescent="0.3">
      <c r="B67" s="348"/>
      <c r="C67" s="132"/>
      <c r="D67" s="253"/>
      <c r="E67" s="134"/>
      <c r="F67" s="135"/>
      <c r="G67" s="136"/>
      <c r="H67" s="137"/>
    </row>
    <row r="68" spans="2:8" ht="14.25" customHeight="1" x14ac:dyDescent="0.3">
      <c r="B68" s="348"/>
      <c r="C68" s="132"/>
      <c r="D68" s="253"/>
      <c r="E68" s="134"/>
      <c r="F68" s="135"/>
      <c r="G68" s="136"/>
      <c r="H68" s="137"/>
    </row>
    <row r="69" spans="2:8" ht="14.25" customHeight="1" x14ac:dyDescent="0.3">
      <c r="B69" s="348"/>
      <c r="C69" s="132"/>
      <c r="D69" s="253"/>
      <c r="E69" s="134"/>
      <c r="F69" s="135"/>
      <c r="G69" s="136"/>
      <c r="H69" s="137"/>
    </row>
    <row r="70" spans="2:8" ht="14.25" customHeight="1" x14ac:dyDescent="0.3">
      <c r="B70" s="348"/>
      <c r="C70" s="132"/>
      <c r="D70" s="253"/>
      <c r="E70" s="134"/>
      <c r="F70" s="135"/>
      <c r="G70" s="136"/>
      <c r="H70" s="137"/>
    </row>
    <row r="71" spans="2:8" ht="14.25" customHeight="1" x14ac:dyDescent="0.3">
      <c r="B71" s="348"/>
      <c r="C71" s="132"/>
      <c r="D71" s="253"/>
      <c r="E71" s="134"/>
      <c r="F71" s="135"/>
      <c r="G71" s="136"/>
      <c r="H71" s="137"/>
    </row>
    <row r="72" spans="2:8" ht="14.25" customHeight="1" x14ac:dyDescent="0.3">
      <c r="B72" s="348"/>
      <c r="C72" s="132"/>
      <c r="D72" s="253"/>
      <c r="E72" s="134"/>
      <c r="F72" s="135"/>
      <c r="G72" s="136"/>
      <c r="H72" s="137"/>
    </row>
    <row r="73" spans="2:8" ht="14.25" customHeight="1" x14ac:dyDescent="0.3">
      <c r="B73" s="348"/>
      <c r="C73" s="132"/>
      <c r="D73" s="253"/>
      <c r="E73" s="134"/>
      <c r="F73" s="135"/>
      <c r="G73" s="136"/>
      <c r="H73" s="137"/>
    </row>
    <row r="74" spans="2:8" ht="14.25" customHeight="1" x14ac:dyDescent="0.3">
      <c r="B74" s="348"/>
      <c r="C74" s="132"/>
      <c r="D74" s="253"/>
      <c r="E74" s="134"/>
      <c r="F74" s="135"/>
      <c r="G74" s="136"/>
      <c r="H74" s="137"/>
    </row>
    <row r="75" spans="2:8" ht="14.25" customHeight="1" x14ac:dyDescent="0.3">
      <c r="B75" s="99"/>
    </row>
    <row r="80" spans="2:8" ht="17.75" customHeight="1" x14ac:dyDescent="0.3">
      <c r="B80" s="1465"/>
      <c r="C80" s="1458"/>
      <c r="D80" s="1458"/>
      <c r="E80" s="1458"/>
      <c r="F80" s="1458"/>
      <c r="G80" s="1458"/>
      <c r="H80" s="1458"/>
    </row>
    <row r="81" spans="1:8" ht="18" customHeight="1" x14ac:dyDescent="0.3">
      <c r="B81" s="1465"/>
      <c r="C81" s="1458"/>
      <c r="D81" s="1458"/>
      <c r="E81" s="1458"/>
      <c r="F81" s="1458"/>
      <c r="G81" s="1458"/>
      <c r="H81" s="1458"/>
    </row>
    <row r="82" spans="1:8" ht="25.5" customHeight="1" x14ac:dyDescent="0.25">
      <c r="A82" s="370"/>
      <c r="B82" s="370"/>
      <c r="C82" s="347"/>
      <c r="D82" s="370"/>
      <c r="E82" s="346"/>
      <c r="F82" s="370"/>
      <c r="G82" s="370"/>
      <c r="H82" s="346"/>
    </row>
    <row r="83" spans="1:8" ht="14.25" customHeight="1" x14ac:dyDescent="0.3">
      <c r="B83" s="348"/>
      <c r="C83" s="348"/>
      <c r="D83" s="348"/>
      <c r="E83" s="134"/>
      <c r="F83" s="135"/>
      <c r="G83" s="136"/>
      <c r="H83" s="137"/>
    </row>
    <row r="84" spans="1:8" ht="14.25" customHeight="1" x14ac:dyDescent="0.3">
      <c r="B84" s="348"/>
      <c r="C84" s="348"/>
      <c r="D84" s="348"/>
      <c r="E84" s="134"/>
      <c r="F84" s="135"/>
      <c r="G84" s="136"/>
      <c r="H84" s="137"/>
    </row>
    <row r="85" spans="1:8" ht="14.25" customHeight="1" x14ac:dyDescent="0.3">
      <c r="B85" s="348"/>
      <c r="C85" s="348"/>
      <c r="D85" s="348"/>
      <c r="E85" s="134"/>
      <c r="F85" s="135"/>
      <c r="G85" s="136"/>
      <c r="H85" s="137"/>
    </row>
    <row r="86" spans="1:8" ht="14.25" customHeight="1" x14ac:dyDescent="0.3">
      <c r="B86" s="348"/>
      <c r="C86" s="348"/>
      <c r="D86" s="348"/>
      <c r="E86" s="134"/>
      <c r="F86" s="135"/>
      <c r="G86" s="136"/>
      <c r="H86" s="137"/>
    </row>
    <row r="87" spans="1:8" ht="14.25" customHeight="1" x14ac:dyDescent="0.3">
      <c r="B87" s="348"/>
      <c r="C87" s="348"/>
      <c r="D87" s="348"/>
      <c r="E87" s="134"/>
      <c r="F87" s="135"/>
      <c r="G87" s="136"/>
      <c r="H87" s="137"/>
    </row>
    <row r="88" spans="1:8" ht="14.25" customHeight="1" x14ac:dyDescent="0.3">
      <c r="B88" s="348"/>
      <c r="C88" s="348"/>
      <c r="D88" s="348"/>
      <c r="E88" s="134"/>
      <c r="F88" s="135"/>
      <c r="G88" s="136"/>
      <c r="H88" s="137"/>
    </row>
    <row r="89" spans="1:8" ht="14.25" customHeight="1" x14ac:dyDescent="0.3">
      <c r="B89" s="348"/>
      <c r="C89" s="348"/>
      <c r="D89" s="348"/>
      <c r="E89" s="134"/>
      <c r="F89" s="135"/>
      <c r="G89" s="136"/>
      <c r="H89" s="137"/>
    </row>
    <row r="90" spans="1:8" ht="14.25" customHeight="1" x14ac:dyDescent="0.3">
      <c r="B90" s="348"/>
      <c r="C90" s="348"/>
      <c r="D90" s="348"/>
      <c r="E90" s="134"/>
      <c r="F90" s="135"/>
      <c r="G90" s="136"/>
      <c r="H90" s="137"/>
    </row>
    <row r="91" spans="1:8" ht="20.25" customHeight="1" x14ac:dyDescent="0.4">
      <c r="B91" s="99"/>
      <c r="E91" s="99"/>
      <c r="F91" s="99"/>
      <c r="G91" s="203"/>
      <c r="H91" s="202"/>
    </row>
    <row r="92" spans="1:8" ht="14.25" customHeight="1" x14ac:dyDescent="0.3">
      <c r="B92" s="99"/>
    </row>
    <row r="98" spans="1:8" ht="17.75" customHeight="1" x14ac:dyDescent="0.3">
      <c r="B98" s="1465"/>
      <c r="C98" s="1458"/>
      <c r="D98" s="1458"/>
      <c r="E98" s="1458"/>
      <c r="F98" s="1458"/>
      <c r="G98" s="1458"/>
      <c r="H98" s="1458"/>
    </row>
    <row r="99" spans="1:8" ht="18" customHeight="1" x14ac:dyDescent="0.3">
      <c r="B99" s="1465"/>
      <c r="C99" s="1458"/>
      <c r="D99" s="1458"/>
      <c r="E99" s="1458"/>
      <c r="F99" s="1458"/>
      <c r="G99" s="1458"/>
      <c r="H99" s="1458"/>
    </row>
    <row r="100" spans="1:8" ht="25.5" customHeight="1" x14ac:dyDescent="0.25">
      <c r="A100" s="370"/>
      <c r="B100" s="370"/>
      <c r="C100" s="347"/>
      <c r="D100" s="370"/>
      <c r="E100" s="346"/>
      <c r="F100" s="370"/>
      <c r="G100" s="370"/>
      <c r="H100" s="346"/>
    </row>
    <row r="101" spans="1:8" ht="14.25" customHeight="1" x14ac:dyDescent="0.3">
      <c r="B101" s="348"/>
      <c r="C101" s="348"/>
      <c r="D101" s="348"/>
      <c r="E101" s="896"/>
      <c r="F101" s="897"/>
      <c r="G101" s="136"/>
      <c r="H101" s="137"/>
    </row>
    <row r="102" spans="1:8" ht="14.25" customHeight="1" x14ac:dyDescent="0.3">
      <c r="B102" s="348"/>
      <c r="C102" s="348"/>
      <c r="D102" s="348"/>
      <c r="E102" s="896"/>
      <c r="F102" s="897"/>
      <c r="G102" s="136"/>
      <c r="H102" s="137"/>
    </row>
    <row r="103" spans="1:8" ht="14.25" customHeight="1" x14ac:dyDescent="0.3">
      <c r="B103" s="348"/>
      <c r="C103" s="348"/>
      <c r="D103" s="348"/>
      <c r="E103" s="896"/>
      <c r="F103" s="897"/>
      <c r="G103" s="136"/>
      <c r="H103" s="137"/>
    </row>
    <row r="104" spans="1:8" ht="14.25" customHeight="1" x14ac:dyDescent="0.3">
      <c r="B104" s="348"/>
      <c r="C104" s="348"/>
      <c r="D104" s="348"/>
      <c r="E104" s="896"/>
      <c r="F104" s="897"/>
      <c r="G104" s="136"/>
      <c r="H104" s="137"/>
    </row>
    <row r="105" spans="1:8" ht="14.25" customHeight="1" x14ac:dyDescent="0.3">
      <c r="B105" s="348"/>
      <c r="C105" s="348"/>
      <c r="D105" s="348"/>
      <c r="E105" s="896"/>
      <c r="F105" s="897"/>
      <c r="G105" s="136"/>
      <c r="H105" s="137"/>
    </row>
    <row r="106" spans="1:8" ht="14.25" customHeight="1" x14ac:dyDescent="0.3">
      <c r="B106" s="348"/>
      <c r="C106" s="348"/>
      <c r="D106" s="348"/>
      <c r="E106" s="896"/>
      <c r="F106" s="897"/>
      <c r="G106" s="136"/>
      <c r="H106" s="137"/>
    </row>
    <row r="107" spans="1:8" ht="14.25" customHeight="1" x14ac:dyDescent="0.3">
      <c r="B107" s="348"/>
      <c r="C107" s="348"/>
      <c r="D107" s="348"/>
      <c r="E107" s="896"/>
      <c r="F107" s="897"/>
      <c r="G107" s="136"/>
      <c r="H107" s="137"/>
    </row>
    <row r="108" spans="1:8" ht="14.25" customHeight="1" x14ac:dyDescent="0.3">
      <c r="B108" s="348"/>
      <c r="C108" s="348"/>
      <c r="D108" s="348"/>
      <c r="E108" s="896"/>
      <c r="F108" s="897"/>
      <c r="G108" s="136"/>
      <c r="H108" s="137"/>
    </row>
    <row r="109" spans="1:8" ht="20.25" customHeight="1" x14ac:dyDescent="0.4">
      <c r="B109" s="99"/>
      <c r="E109" s="99"/>
      <c r="F109" s="99"/>
      <c r="G109" s="203"/>
      <c r="H109" s="202"/>
    </row>
    <row r="110" spans="1:8" ht="14.25" customHeight="1" x14ac:dyDescent="0.3">
      <c r="B110" s="99"/>
    </row>
    <row r="116" spans="1:8" ht="17.75" customHeight="1" x14ac:dyDescent="0.3">
      <c r="B116" s="1465"/>
      <c r="C116" s="1458"/>
      <c r="D116" s="1458"/>
      <c r="E116" s="1458"/>
      <c r="F116" s="1458"/>
      <c r="G116" s="1458"/>
      <c r="H116" s="1458"/>
    </row>
    <row r="117" spans="1:8" ht="18" customHeight="1" x14ac:dyDescent="0.3">
      <c r="B117" s="1465"/>
      <c r="C117" s="1458"/>
      <c r="D117" s="1458"/>
      <c r="E117" s="1458"/>
      <c r="F117" s="1458"/>
      <c r="G117" s="1458"/>
      <c r="H117" s="1458"/>
    </row>
    <row r="118" spans="1:8" ht="25.5" customHeight="1" x14ac:dyDescent="0.25">
      <c r="A118" s="370"/>
      <c r="B118" s="370"/>
      <c r="C118" s="347"/>
      <c r="D118" s="370"/>
      <c r="E118" s="346"/>
      <c r="F118" s="370"/>
      <c r="G118" s="370"/>
      <c r="H118" s="346"/>
    </row>
    <row r="119" spans="1:8" ht="14.25" customHeight="1" x14ac:dyDescent="0.3">
      <c r="B119" s="348"/>
      <c r="C119" s="348"/>
      <c r="D119" s="348"/>
      <c r="E119" s="896"/>
      <c r="F119" s="897"/>
      <c r="G119" s="136"/>
      <c r="H119" s="137"/>
    </row>
    <row r="120" spans="1:8" ht="14.25" customHeight="1" x14ac:dyDescent="0.3">
      <c r="B120" s="348"/>
      <c r="C120" s="348"/>
      <c r="D120" s="348"/>
      <c r="E120" s="896"/>
      <c r="F120" s="897"/>
      <c r="G120" s="136"/>
      <c r="H120" s="137"/>
    </row>
    <row r="121" spans="1:8" ht="14.25" customHeight="1" x14ac:dyDescent="0.3">
      <c r="B121" s="348"/>
      <c r="C121" s="348"/>
      <c r="D121" s="348"/>
      <c r="E121" s="896"/>
      <c r="F121" s="897"/>
      <c r="G121" s="136"/>
      <c r="H121" s="137"/>
    </row>
    <row r="122" spans="1:8" ht="14.25" customHeight="1" x14ac:dyDescent="0.3">
      <c r="B122" s="348"/>
      <c r="C122" s="348"/>
      <c r="D122" s="348"/>
      <c r="E122" s="896"/>
      <c r="F122" s="897"/>
      <c r="G122" s="136"/>
      <c r="H122" s="137"/>
    </row>
    <row r="123" spans="1:8" ht="14.25" customHeight="1" x14ac:dyDescent="0.3">
      <c r="B123" s="348"/>
      <c r="C123" s="348"/>
      <c r="D123" s="348"/>
      <c r="E123" s="896"/>
      <c r="F123" s="897"/>
      <c r="G123" s="136"/>
      <c r="H123" s="137"/>
    </row>
    <row r="124" spans="1:8" ht="14.25" customHeight="1" x14ac:dyDescent="0.3">
      <c r="B124" s="348"/>
      <c r="C124" s="348"/>
      <c r="D124" s="348"/>
      <c r="E124" s="896"/>
      <c r="F124" s="897"/>
      <c r="G124" s="136"/>
      <c r="H124" s="137"/>
    </row>
    <row r="125" spans="1:8" ht="14.25" customHeight="1" x14ac:dyDescent="0.3">
      <c r="B125" s="348"/>
      <c r="C125" s="348"/>
      <c r="D125" s="348"/>
      <c r="E125" s="896"/>
      <c r="F125" s="897"/>
      <c r="G125" s="136"/>
      <c r="H125" s="137"/>
    </row>
    <row r="126" spans="1:8" ht="14.25" customHeight="1" x14ac:dyDescent="0.3">
      <c r="B126" s="348"/>
      <c r="C126" s="132"/>
      <c r="D126" s="253"/>
      <c r="E126" s="134"/>
      <c r="F126" s="135"/>
      <c r="G126" s="136"/>
      <c r="H126" s="137"/>
    </row>
    <row r="127" spans="1:8" ht="20.25" customHeight="1" x14ac:dyDescent="0.4">
      <c r="B127" s="99"/>
      <c r="E127" s="99"/>
      <c r="F127" s="99"/>
      <c r="G127" s="203"/>
      <c r="H127" s="202"/>
    </row>
    <row r="130" spans="1:8" ht="17.75" customHeight="1" x14ac:dyDescent="0.3">
      <c r="B130" s="1465"/>
      <c r="C130" s="1458"/>
      <c r="D130" s="1458"/>
      <c r="E130" s="1458"/>
      <c r="F130" s="1458"/>
      <c r="G130" s="1458"/>
      <c r="H130" s="1458"/>
    </row>
    <row r="131" spans="1:8" ht="17.75" customHeight="1" x14ac:dyDescent="0.3">
      <c r="B131" s="1465"/>
      <c r="C131" s="1458"/>
      <c r="D131" s="1458"/>
      <c r="E131" s="1458"/>
      <c r="F131" s="1458"/>
      <c r="G131" s="1458"/>
      <c r="H131" s="1458"/>
    </row>
    <row r="132" spans="1:8" ht="25.5" customHeight="1" x14ac:dyDescent="0.25">
      <c r="A132" s="370"/>
      <c r="B132" s="370"/>
      <c r="C132" s="347"/>
      <c r="D132" s="370"/>
      <c r="E132" s="346"/>
      <c r="F132" s="370"/>
      <c r="G132" s="370"/>
      <c r="H132" s="346"/>
    </row>
    <row r="133" spans="1:8" ht="14.25" customHeight="1" x14ac:dyDescent="0.3">
      <c r="B133" s="348"/>
      <c r="C133" s="348"/>
      <c r="D133" s="348"/>
      <c r="E133" s="896"/>
      <c r="F133" s="897"/>
      <c r="G133" s="136"/>
      <c r="H133" s="137"/>
    </row>
    <row r="134" spans="1:8" ht="14.25" customHeight="1" x14ac:dyDescent="0.3">
      <c r="B134" s="348"/>
      <c r="C134" s="348"/>
      <c r="D134" s="348"/>
      <c r="E134" s="896"/>
      <c r="F134" s="897"/>
      <c r="G134" s="136"/>
      <c r="H134" s="137"/>
    </row>
    <row r="135" spans="1:8" ht="14.25" customHeight="1" x14ac:dyDescent="0.3">
      <c r="B135" s="348"/>
      <c r="C135" s="348"/>
      <c r="D135" s="348"/>
      <c r="E135" s="896"/>
      <c r="F135" s="897"/>
      <c r="G135" s="136"/>
      <c r="H135" s="137"/>
    </row>
    <row r="136" spans="1:8" ht="14.25" customHeight="1" x14ac:dyDescent="0.3">
      <c r="B136" s="348"/>
      <c r="C136" s="348"/>
      <c r="D136" s="348"/>
      <c r="E136" s="896"/>
      <c r="F136" s="897"/>
      <c r="G136" s="136"/>
      <c r="H136" s="137"/>
    </row>
    <row r="137" spans="1:8" ht="18" customHeight="1" x14ac:dyDescent="0.3">
      <c r="B137" s="348"/>
      <c r="C137" s="348"/>
      <c r="D137" s="348"/>
      <c r="E137" s="896"/>
      <c r="F137" s="897"/>
      <c r="G137" s="136"/>
      <c r="H137" s="137"/>
    </row>
    <row r="138" spans="1:8" ht="14.25" customHeight="1" x14ac:dyDescent="0.3">
      <c r="B138" s="348"/>
      <c r="C138" s="348"/>
      <c r="D138" s="348"/>
      <c r="E138" s="896"/>
      <c r="F138" s="897"/>
      <c r="G138" s="136"/>
      <c r="H138" s="137"/>
    </row>
    <row r="139" spans="1:8" ht="14.25" customHeight="1" x14ac:dyDescent="0.3">
      <c r="B139" s="348"/>
      <c r="C139" s="348"/>
      <c r="D139" s="348"/>
      <c r="E139" s="896"/>
      <c r="F139" s="897"/>
      <c r="G139" s="136"/>
      <c r="H139" s="137"/>
    </row>
    <row r="140" spans="1:8" ht="14.25" customHeight="1" x14ac:dyDescent="0.3">
      <c r="B140" s="348"/>
      <c r="C140" s="132"/>
      <c r="D140" s="253"/>
      <c r="E140" s="134"/>
      <c r="F140" s="135"/>
      <c r="G140" s="136"/>
      <c r="H140" s="137"/>
    </row>
    <row r="141" spans="1:8" ht="20.25" customHeight="1" x14ac:dyDescent="0.4">
      <c r="B141" s="99"/>
      <c r="E141" s="99"/>
      <c r="F141" s="99"/>
      <c r="G141" s="203"/>
      <c r="H141" s="202"/>
    </row>
    <row r="144" spans="1:8" ht="17.75" customHeight="1" x14ac:dyDescent="0.3">
      <c r="B144" s="1465"/>
      <c r="C144" s="1458"/>
      <c r="D144" s="1458"/>
      <c r="E144" s="1458"/>
      <c r="F144" s="1458"/>
      <c r="G144" s="1458"/>
      <c r="H144" s="1458"/>
    </row>
    <row r="145" spans="1:8" ht="17.75" customHeight="1" x14ac:dyDescent="0.3">
      <c r="B145" s="1465"/>
      <c r="C145" s="1458"/>
      <c r="D145" s="1458"/>
      <c r="E145" s="1458"/>
      <c r="F145" s="1458"/>
      <c r="G145" s="1458"/>
      <c r="H145" s="1458"/>
    </row>
    <row r="146" spans="1:8" ht="25.5" customHeight="1" x14ac:dyDescent="0.25">
      <c r="A146" s="370"/>
      <c r="B146" s="370"/>
      <c r="C146" s="347"/>
      <c r="D146" s="370"/>
      <c r="E146" s="346"/>
      <c r="F146" s="370"/>
      <c r="G146" s="370"/>
      <c r="H146" s="346"/>
    </row>
    <row r="147" spans="1:8" ht="14.25" customHeight="1" x14ac:dyDescent="0.3">
      <c r="B147" s="348"/>
      <c r="C147" s="348"/>
      <c r="D147" s="348"/>
      <c r="E147" s="896"/>
      <c r="F147" s="897"/>
      <c r="G147" s="136"/>
      <c r="H147" s="137"/>
    </row>
    <row r="148" spans="1:8" ht="14.25" customHeight="1" x14ac:dyDescent="0.3">
      <c r="B148" s="348"/>
      <c r="C148" s="348"/>
      <c r="D148" s="348"/>
      <c r="E148" s="896"/>
      <c r="F148" s="897"/>
      <c r="G148" s="136"/>
      <c r="H148" s="137"/>
    </row>
    <row r="149" spans="1:8" ht="14.25" customHeight="1" x14ac:dyDescent="0.3">
      <c r="B149" s="348"/>
      <c r="C149" s="348"/>
      <c r="D149" s="348"/>
      <c r="E149" s="896"/>
      <c r="F149" s="897"/>
      <c r="G149" s="136"/>
      <c r="H149" s="137"/>
    </row>
    <row r="150" spans="1:8" ht="14.25" customHeight="1" x14ac:dyDescent="0.3">
      <c r="B150" s="348"/>
      <c r="C150" s="348"/>
      <c r="D150" s="348"/>
      <c r="E150" s="896"/>
      <c r="F150" s="897"/>
      <c r="G150" s="136"/>
      <c r="H150" s="137"/>
    </row>
    <row r="151" spans="1:8" ht="18" customHeight="1" x14ac:dyDescent="0.3">
      <c r="B151" s="348"/>
      <c r="C151" s="348"/>
      <c r="D151" s="348"/>
      <c r="E151" s="896"/>
      <c r="F151" s="897"/>
      <c r="G151" s="136"/>
      <c r="H151" s="137"/>
    </row>
    <row r="152" spans="1:8" ht="14.25" customHeight="1" x14ac:dyDescent="0.3">
      <c r="B152" s="348"/>
      <c r="C152" s="348"/>
      <c r="D152" s="348"/>
      <c r="E152" s="896"/>
      <c r="F152" s="897"/>
      <c r="G152" s="136"/>
      <c r="H152" s="137"/>
    </row>
    <row r="153" spans="1:8" ht="14.25" customHeight="1" x14ac:dyDescent="0.3">
      <c r="B153" s="348"/>
      <c r="C153" s="348"/>
      <c r="D153" s="348"/>
      <c r="E153" s="896"/>
      <c r="F153" s="897"/>
      <c r="G153" s="136"/>
      <c r="H153" s="137"/>
    </row>
    <row r="154" spans="1:8" ht="14.25" customHeight="1" x14ac:dyDescent="0.3">
      <c r="B154" s="348"/>
      <c r="C154" s="132"/>
      <c r="D154" s="253"/>
      <c r="E154" s="134"/>
      <c r="F154" s="135"/>
      <c r="G154" s="136"/>
      <c r="H154" s="137"/>
    </row>
    <row r="155" spans="1:8" ht="20.25" customHeight="1" x14ac:dyDescent="0.4">
      <c r="B155" s="99"/>
      <c r="E155" s="99"/>
      <c r="F155" s="99"/>
      <c r="G155" s="203"/>
      <c r="H155" s="202"/>
    </row>
    <row r="160" spans="1:8" ht="17.75" customHeight="1" x14ac:dyDescent="0.3">
      <c r="B160" s="1465"/>
      <c r="C160" s="1458"/>
      <c r="D160" s="1458"/>
      <c r="E160" s="1458"/>
      <c r="F160" s="1458"/>
      <c r="G160" s="1458"/>
      <c r="H160" s="1458"/>
    </row>
    <row r="161" spans="1:8" ht="17.75" customHeight="1" x14ac:dyDescent="0.3">
      <c r="B161" s="1465"/>
      <c r="C161" s="1458"/>
      <c r="D161" s="1458"/>
      <c r="E161" s="1458"/>
      <c r="F161" s="1458"/>
      <c r="G161" s="1458"/>
      <c r="H161" s="1458"/>
    </row>
    <row r="162" spans="1:8" ht="25.5" customHeight="1" x14ac:dyDescent="0.25">
      <c r="A162" s="370"/>
      <c r="B162" s="370"/>
      <c r="C162" s="347"/>
      <c r="D162" s="370"/>
      <c r="E162" s="346"/>
      <c r="F162" s="370"/>
      <c r="G162" s="370"/>
      <c r="H162" s="346"/>
    </row>
    <row r="163" spans="1:8" ht="14.25" customHeight="1" x14ac:dyDescent="0.3">
      <c r="B163" s="348"/>
      <c r="C163" s="348"/>
      <c r="D163" s="348"/>
      <c r="E163" s="896"/>
      <c r="F163" s="897"/>
      <c r="G163" s="136"/>
      <c r="H163" s="137"/>
    </row>
    <row r="164" spans="1:8" ht="14.25" customHeight="1" x14ac:dyDescent="0.3">
      <c r="B164" s="348"/>
      <c r="C164" s="348"/>
      <c r="D164" s="348"/>
      <c r="E164" s="896"/>
      <c r="F164" s="897"/>
      <c r="G164" s="136"/>
      <c r="H164" s="137"/>
    </row>
    <row r="165" spans="1:8" ht="14.25" customHeight="1" x14ac:dyDescent="0.3">
      <c r="B165" s="348"/>
      <c r="C165" s="348"/>
      <c r="D165" s="348"/>
      <c r="E165" s="896"/>
      <c r="F165" s="897"/>
      <c r="G165" s="136"/>
      <c r="H165" s="137"/>
    </row>
    <row r="166" spans="1:8" ht="14.25" customHeight="1" x14ac:dyDescent="0.3">
      <c r="B166" s="348"/>
      <c r="C166" s="348"/>
      <c r="D166" s="348"/>
      <c r="E166" s="896"/>
      <c r="F166" s="897"/>
      <c r="G166" s="136"/>
      <c r="H166" s="137"/>
    </row>
    <row r="167" spans="1:8" ht="18" customHeight="1" x14ac:dyDescent="0.3">
      <c r="B167" s="348"/>
      <c r="C167" s="348"/>
      <c r="D167" s="348"/>
      <c r="E167" s="896"/>
      <c r="F167" s="897"/>
      <c r="G167" s="136"/>
      <c r="H167" s="137"/>
    </row>
    <row r="168" spans="1:8" ht="14.25" customHeight="1" x14ac:dyDescent="0.3">
      <c r="B168" s="348"/>
      <c r="C168" s="348"/>
      <c r="D168" s="348"/>
      <c r="E168" s="896"/>
      <c r="F168" s="897"/>
      <c r="G168" s="136"/>
      <c r="H168" s="137"/>
    </row>
    <row r="169" spans="1:8" ht="14.25" customHeight="1" x14ac:dyDescent="0.3">
      <c r="B169" s="348"/>
      <c r="C169" s="348"/>
      <c r="D169" s="348"/>
      <c r="E169" s="896"/>
      <c r="F169" s="897"/>
      <c r="G169" s="136"/>
      <c r="H169" s="137"/>
    </row>
    <row r="170" spans="1:8" ht="20.25" customHeight="1" x14ac:dyDescent="0.4">
      <c r="B170" s="348"/>
      <c r="C170" s="132"/>
      <c r="D170" s="253"/>
      <c r="E170" s="134"/>
      <c r="F170" s="99"/>
      <c r="G170" s="203"/>
      <c r="H170" s="202"/>
    </row>
    <row r="171" spans="1:8" ht="20.25" customHeight="1" x14ac:dyDescent="0.4">
      <c r="B171" s="99"/>
      <c r="E171" s="99"/>
      <c r="F171" s="99"/>
      <c r="G171" s="203"/>
      <c r="H171" s="202"/>
    </row>
  </sheetData>
  <mergeCells count="18">
    <mergeCell ref="B161:H161"/>
    <mergeCell ref="B80:H80"/>
    <mergeCell ref="B81:H81"/>
    <mergeCell ref="B63:H63"/>
    <mergeCell ref="B145:H145"/>
    <mergeCell ref="B99:H99"/>
    <mergeCell ref="B160:H160"/>
    <mergeCell ref="AE2:AG3"/>
    <mergeCell ref="B131:H131"/>
    <mergeCell ref="B98:H98"/>
    <mergeCell ref="B144:H144"/>
    <mergeCell ref="R26:U26"/>
    <mergeCell ref="B62:H62"/>
    <mergeCell ref="R25:U25"/>
    <mergeCell ref="B116:H116"/>
    <mergeCell ref="B2:H3"/>
    <mergeCell ref="B117:H117"/>
    <mergeCell ref="B130:H130"/>
  </mergeCells>
  <printOptions horizontalCentered="1"/>
  <pageMargins left="0.5" right="0.5" top="1" bottom="0.5" header="0.3" footer="0.511811023622047"/>
  <pageSetup paperSize="9" scale="29" orientation="portrait" r:id="rId1"/>
  <legacyDrawing r:id="rId2"/>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65">
    <tabColor rgb="FFC55A11"/>
    <pageSetUpPr fitToPage="1"/>
  </sheetPr>
  <dimension ref="A1:AG144"/>
  <sheetViews>
    <sheetView topLeftCell="R2" zoomScale="85" zoomScaleNormal="85" workbookViewId="0">
      <selection activeCell="Q43" sqref="Q43:T44"/>
    </sheetView>
  </sheetViews>
  <sheetFormatPr defaultColWidth="12.5" defaultRowHeight="14" x14ac:dyDescent="0.3"/>
  <cols>
    <col min="1" max="1" width="12.5" style="78" customWidth="1"/>
    <col min="2" max="2" width="35.9140625" style="14" bestFit="1" customWidth="1"/>
    <col min="3" max="3" width="15.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5.25" style="14" customWidth="1"/>
    <col min="15" max="17" width="12.5" style="14" customWidth="1"/>
    <col min="18" max="18" width="32.58203125" style="14" customWidth="1"/>
    <col min="19" max="19" width="12.5" style="14" customWidth="1"/>
    <col min="20" max="26" width="12.5" style="14"/>
    <col min="27" max="27" width="11" style="14" bestFit="1" customWidth="1"/>
    <col min="28" max="28" width="11.75" style="14" bestFit="1" customWidth="1"/>
    <col min="29" max="29" width="13.25" style="14" bestFit="1" customWidth="1"/>
    <col min="30" max="30" width="10.33203125" style="14" bestFit="1" customWidth="1"/>
    <col min="31" max="33" width="5.58203125" style="14" customWidth="1"/>
    <col min="34" max="16384" width="12.5" style="14"/>
  </cols>
  <sheetData>
    <row r="1" spans="1:33" ht="35.25" customHeight="1" x14ac:dyDescent="0.3">
      <c r="B1" s="79" t="s">
        <v>235</v>
      </c>
      <c r="C1" s="80">
        <v>1000</v>
      </c>
      <c r="D1" s="81" t="s">
        <v>236</v>
      </c>
      <c r="E1" s="116">
        <f>T32</f>
        <v>21942.675568022441</v>
      </c>
      <c r="F1" s="79" t="s">
        <v>237</v>
      </c>
      <c r="G1" s="267">
        <f>E1/C1</f>
        <v>21.942675568022441</v>
      </c>
      <c r="H1" s="79" t="s">
        <v>238</v>
      </c>
      <c r="I1" s="282">
        <f>G1/K1</f>
        <v>21.942675568022441</v>
      </c>
      <c r="J1" s="85" t="s">
        <v>239</v>
      </c>
      <c r="K1" s="99">
        <v>1</v>
      </c>
      <c r="L1" s="99"/>
      <c r="M1" s="88"/>
      <c r="N1" s="89"/>
      <c r="O1" s="90" t="s">
        <v>240</v>
      </c>
      <c r="P1" s="91" t="s">
        <v>293</v>
      </c>
      <c r="Q1" s="92" t="s">
        <v>242</v>
      </c>
      <c r="R1" s="559">
        <v>0.78</v>
      </c>
      <c r="Y1" s="90" t="s">
        <v>463</v>
      </c>
      <c r="Z1" s="835">
        <v>136500</v>
      </c>
      <c r="AA1" s="90" t="s">
        <v>578</v>
      </c>
      <c r="AB1" s="835">
        <v>0</v>
      </c>
      <c r="AC1" s="90" t="s">
        <v>567</v>
      </c>
      <c r="AD1" s="835">
        <v>440</v>
      </c>
      <c r="AE1" s="249"/>
      <c r="AF1" s="251"/>
      <c r="AG1" s="91"/>
    </row>
    <row r="2" spans="1:33" ht="12.75" customHeight="1" x14ac:dyDescent="0.3">
      <c r="A2" s="96"/>
      <c r="B2" s="1443" t="s">
        <v>464</v>
      </c>
      <c r="C2" s="1466"/>
      <c r="D2" s="1466"/>
      <c r="E2" s="1466"/>
      <c r="F2" s="1466"/>
      <c r="G2" s="1466"/>
      <c r="H2" s="1466"/>
      <c r="I2" s="549"/>
      <c r="J2" s="549"/>
      <c r="K2" s="550"/>
      <c r="L2" s="292"/>
      <c r="M2" s="99"/>
      <c r="N2" s="99"/>
      <c r="O2" s="99"/>
      <c r="P2" s="99"/>
      <c r="Q2" s="99"/>
      <c r="R2" s="99"/>
      <c r="AC2" s="98"/>
      <c r="AD2" s="98"/>
      <c r="AE2" s="1457"/>
      <c r="AF2" s="1460"/>
      <c r="AG2" s="1460"/>
    </row>
    <row r="3" spans="1:33" ht="12.75" customHeight="1" x14ac:dyDescent="0.3">
      <c r="A3" s="96"/>
      <c r="B3" s="1444"/>
      <c r="C3" s="1444"/>
      <c r="D3" s="1444"/>
      <c r="E3" s="1444"/>
      <c r="F3" s="1444"/>
      <c r="G3" s="1444"/>
      <c r="H3" s="1444"/>
      <c r="I3" s="369"/>
      <c r="J3" s="369"/>
      <c r="K3" s="501"/>
      <c r="L3" s="292"/>
      <c r="M3" s="99"/>
      <c r="N3" s="99"/>
      <c r="O3" s="99"/>
      <c r="P3" s="99"/>
      <c r="Q3" s="99"/>
      <c r="R3" s="99"/>
      <c r="AC3" s="98"/>
      <c r="AD3" s="98"/>
      <c r="AE3" s="1460"/>
      <c r="AF3" s="1460"/>
      <c r="AG3" s="1460"/>
    </row>
    <row r="4" spans="1:33" ht="48.5" customHeight="1" x14ac:dyDescent="0.25">
      <c r="A4" s="90" t="s">
        <v>1</v>
      </c>
      <c r="B4" s="90" t="s">
        <v>245</v>
      </c>
      <c r="C4" s="106" t="s">
        <v>246</v>
      </c>
      <c r="D4" s="90" t="s">
        <v>235</v>
      </c>
      <c r="E4" s="217" t="s">
        <v>238</v>
      </c>
      <c r="F4" s="107" t="s">
        <v>247</v>
      </c>
      <c r="G4" s="90" t="s">
        <v>248</v>
      </c>
      <c r="H4" s="330" t="s">
        <v>339</v>
      </c>
      <c r="I4" s="90" t="s">
        <v>250</v>
      </c>
      <c r="J4" s="90" t="s">
        <v>251</v>
      </c>
      <c r="K4" s="90" t="s">
        <v>252</v>
      </c>
      <c r="L4" s="90" t="s">
        <v>253</v>
      </c>
      <c r="M4" s="99"/>
      <c r="N4" s="99"/>
      <c r="O4" s="99"/>
      <c r="P4" s="99"/>
      <c r="AA4" s="250"/>
      <c r="AB4" s="252"/>
      <c r="AC4" s="250"/>
      <c r="AD4" s="250"/>
      <c r="AE4" s="250"/>
    </row>
    <row r="5" spans="1:33" ht="14.25" customHeight="1" x14ac:dyDescent="0.25">
      <c r="A5" s="265" t="s">
        <v>225</v>
      </c>
      <c r="B5" s="322" t="s">
        <v>230</v>
      </c>
      <c r="C5" s="123" t="s">
        <v>14</v>
      </c>
      <c r="D5" s="120">
        <f>I51/H51</f>
        <v>3185.1282051282051</v>
      </c>
      <c r="E5" s="196">
        <f>$H$52</f>
        <v>21.941973917243601</v>
      </c>
      <c r="F5" s="126">
        <v>1</v>
      </c>
      <c r="G5" s="120">
        <f t="shared" ref="G5:G19" si="0">D5*E5</f>
        <v>69888</v>
      </c>
      <c r="H5" s="119">
        <f t="shared" ref="H5:H19" si="1">G5*F5</f>
        <v>69888</v>
      </c>
      <c r="I5" s="80">
        <f>VLOOKUP(B5,All_Ingredients!$A$1:$F$149,6,FALSE())</f>
        <v>0.99</v>
      </c>
      <c r="J5" s="118">
        <f>VLOOKUP(B5,All_Ingredients!$A$1:$J$149,10,FALSE())</f>
        <v>11.75</v>
      </c>
      <c r="K5" s="121">
        <f t="shared" ref="K5" si="2">(H5/I5)/1000</f>
        <v>70.593939393939394</v>
      </c>
      <c r="L5" s="121">
        <f t="shared" ref="L5" si="3">K5*J5</f>
        <v>829.4787878787879</v>
      </c>
      <c r="M5" s="99"/>
      <c r="N5" s="99"/>
      <c r="O5" s="99"/>
      <c r="P5" s="99"/>
      <c r="X5" s="99"/>
      <c r="AA5" s="91"/>
      <c r="AB5" s="132"/>
      <c r="AC5" s="253"/>
      <c r="AD5" s="134"/>
      <c r="AE5" s="135"/>
    </row>
    <row r="6" spans="1:33" ht="14.25" customHeight="1" x14ac:dyDescent="0.3">
      <c r="A6" s="127" t="s">
        <v>13</v>
      </c>
      <c r="B6" s="22" t="s">
        <v>17</v>
      </c>
      <c r="C6" s="123" t="s">
        <v>14</v>
      </c>
      <c r="D6" s="124">
        <v>500</v>
      </c>
      <c r="E6" s="196">
        <f t="shared" ref="E6:E19" si="4">$G$1</f>
        <v>21.942675568022441</v>
      </c>
      <c r="F6" s="126">
        <v>1</v>
      </c>
      <c r="G6" s="120">
        <f t="shared" si="0"/>
        <v>10971.337784011221</v>
      </c>
      <c r="H6" s="119">
        <f t="shared" si="1"/>
        <v>10971.337784011221</v>
      </c>
      <c r="I6" s="80">
        <f>VLOOKUP(B6,All_Ingredients!$A$1:$F$149,6,FALSE())</f>
        <v>0.98</v>
      </c>
      <c r="J6" s="118">
        <f>VLOOKUP(B6,All_Ingredients!$A$1:$J$149,10,FALSE())</f>
        <v>3.5</v>
      </c>
      <c r="K6" s="121">
        <f t="shared" ref="K6:K19" si="5">(H6/I6)/1000</f>
        <v>11.195242636746142</v>
      </c>
      <c r="L6" s="121">
        <f t="shared" ref="L6:L19" si="6">K6*J6</f>
        <v>39.183349228611497</v>
      </c>
      <c r="U6" s="557"/>
      <c r="V6" s="99"/>
    </row>
    <row r="7" spans="1:33" ht="14.25" customHeight="1" x14ac:dyDescent="0.3">
      <c r="A7" s="127" t="s">
        <v>13</v>
      </c>
      <c r="B7" s="22" t="s">
        <v>12</v>
      </c>
      <c r="C7" s="123" t="s">
        <v>14</v>
      </c>
      <c r="D7" s="124">
        <v>300</v>
      </c>
      <c r="E7" s="222">
        <f t="shared" si="4"/>
        <v>21.942675568022441</v>
      </c>
      <c r="F7" s="126">
        <v>1</v>
      </c>
      <c r="G7" s="120">
        <f t="shared" si="0"/>
        <v>6582.8026704067324</v>
      </c>
      <c r="H7" s="119">
        <f t="shared" si="1"/>
        <v>6582.8026704067324</v>
      </c>
      <c r="I7" s="80">
        <f>VLOOKUP(B7,All_Ingredients!$A$1:$F$149,6,FALSE())</f>
        <v>0.9</v>
      </c>
      <c r="J7" s="118">
        <f>VLOOKUP(B7,All_Ingredients!$A$1:$J$149,10,FALSE())</f>
        <v>3</v>
      </c>
      <c r="K7" s="121">
        <f t="shared" si="5"/>
        <v>7.3142251893408137</v>
      </c>
      <c r="L7" s="121">
        <f t="shared" si="6"/>
        <v>21.942675568022441</v>
      </c>
      <c r="U7" s="557"/>
      <c r="V7" s="99"/>
    </row>
    <row r="8" spans="1:33" ht="14.25" customHeight="1" x14ac:dyDescent="0.3">
      <c r="A8" s="127" t="s">
        <v>154</v>
      </c>
      <c r="B8" s="22" t="s">
        <v>153</v>
      </c>
      <c r="C8" s="123" t="s">
        <v>14</v>
      </c>
      <c r="D8" s="124">
        <v>50</v>
      </c>
      <c r="E8" s="222">
        <f t="shared" si="4"/>
        <v>21.942675568022441</v>
      </c>
      <c r="F8" s="126">
        <v>1</v>
      </c>
      <c r="G8" s="120">
        <f t="shared" si="0"/>
        <v>1097.1337784011221</v>
      </c>
      <c r="H8" s="119">
        <f t="shared" si="1"/>
        <v>1097.1337784011221</v>
      </c>
      <c r="I8" s="80">
        <f>VLOOKUP(B8,All_Ingredients!$A$1:$F$149,6,FALSE())</f>
        <v>1</v>
      </c>
      <c r="J8" s="118">
        <f>VLOOKUP(B8,All_Ingredients!$A$1:$J$149,10,FALSE())</f>
        <v>30</v>
      </c>
      <c r="K8" s="121">
        <f t="shared" si="5"/>
        <v>1.0971337784011221</v>
      </c>
      <c r="L8" s="121">
        <f t="shared" si="6"/>
        <v>32.914013352033663</v>
      </c>
      <c r="U8" s="557"/>
      <c r="V8" s="99"/>
    </row>
    <row r="9" spans="1:33" ht="14.25" customHeight="1" x14ac:dyDescent="0.3">
      <c r="A9" s="127" t="s">
        <v>13</v>
      </c>
      <c r="B9" s="22" t="s">
        <v>762</v>
      </c>
      <c r="C9" s="123" t="s">
        <v>14</v>
      </c>
      <c r="D9" s="124">
        <v>50</v>
      </c>
      <c r="E9" s="222">
        <f t="shared" si="4"/>
        <v>21.942675568022441</v>
      </c>
      <c r="F9" s="126">
        <v>1</v>
      </c>
      <c r="G9" s="120">
        <f t="shared" si="0"/>
        <v>1097.1337784011221</v>
      </c>
      <c r="H9" s="119">
        <f t="shared" si="1"/>
        <v>1097.1337784011221</v>
      </c>
      <c r="I9" s="80">
        <f>VLOOKUP(B9,All_Ingredients!$A$1:$F$149,6,FALSE())</f>
        <v>1</v>
      </c>
      <c r="J9" s="118">
        <f>VLOOKUP(B9,All_Ingredients!$A$1:$J$149,10,FALSE())</f>
        <v>10.5</v>
      </c>
      <c r="K9" s="121">
        <f t="shared" si="5"/>
        <v>1.0971337784011221</v>
      </c>
      <c r="L9" s="121">
        <f t="shared" si="6"/>
        <v>11.519904673211782</v>
      </c>
      <c r="U9" s="557"/>
      <c r="V9" s="99"/>
    </row>
    <row r="10" spans="1:33" ht="16.25" customHeight="1" x14ac:dyDescent="0.3">
      <c r="A10" s="127" t="s">
        <v>192</v>
      </c>
      <c r="B10" s="22" t="s">
        <v>731</v>
      </c>
      <c r="C10" s="123" t="s">
        <v>14</v>
      </c>
      <c r="D10" s="124">
        <v>500</v>
      </c>
      <c r="E10" s="222">
        <f t="shared" si="4"/>
        <v>21.942675568022441</v>
      </c>
      <c r="F10" s="126">
        <v>1</v>
      </c>
      <c r="G10" s="120">
        <f t="shared" si="0"/>
        <v>10971.337784011221</v>
      </c>
      <c r="H10" s="119">
        <f t="shared" si="1"/>
        <v>10971.337784011221</v>
      </c>
      <c r="I10" s="80">
        <f>VLOOKUP(B10,All_Ingredients!$A$1:$F$149,6,FALSE())</f>
        <v>1</v>
      </c>
      <c r="J10" s="118">
        <f>VLOOKUP(B10,All_Ingredients!$A$1:$J$149,10,FALSE())</f>
        <v>8.1520833333333336</v>
      </c>
      <c r="K10" s="121">
        <f t="shared" si="5"/>
        <v>10.971337784011221</v>
      </c>
      <c r="L10" s="121">
        <f t="shared" si="6"/>
        <v>89.439259893408135</v>
      </c>
      <c r="U10" s="557"/>
      <c r="V10" s="99"/>
    </row>
    <row r="11" spans="1:33" ht="14.25" customHeight="1" x14ac:dyDescent="0.3">
      <c r="A11" s="127" t="s">
        <v>192</v>
      </c>
      <c r="B11" s="22" t="s">
        <v>194</v>
      </c>
      <c r="C11" s="123" t="s">
        <v>161</v>
      </c>
      <c r="D11" s="124">
        <v>50</v>
      </c>
      <c r="E11" s="222">
        <f t="shared" si="4"/>
        <v>21.942675568022441</v>
      </c>
      <c r="F11" s="126">
        <v>1</v>
      </c>
      <c r="G11" s="120">
        <f t="shared" si="0"/>
        <v>1097.1337784011221</v>
      </c>
      <c r="H11" s="119">
        <f t="shared" si="1"/>
        <v>1097.1337784011221</v>
      </c>
      <c r="I11" s="80">
        <f>VLOOKUP(B11,All_Ingredients!$A$1:$F$149,6,FALSE())</f>
        <v>1</v>
      </c>
      <c r="J11" s="118">
        <f>VLOOKUP(B11,All_Ingredients!$A$1:$J$149,10,FALSE())</f>
        <v>58.685446009389672</v>
      </c>
      <c r="K11" s="121">
        <f t="shared" si="5"/>
        <v>1.0971337784011221</v>
      </c>
      <c r="L11" s="121">
        <f t="shared" si="6"/>
        <v>64.38578511743674</v>
      </c>
      <c r="U11" s="557"/>
      <c r="V11" s="99"/>
    </row>
    <row r="12" spans="1:33" x14ac:dyDescent="0.3">
      <c r="A12" s="127" t="s">
        <v>95</v>
      </c>
      <c r="B12" s="22" t="s">
        <v>108</v>
      </c>
      <c r="C12" s="123" t="s">
        <v>14</v>
      </c>
      <c r="D12" s="124">
        <v>20</v>
      </c>
      <c r="E12" s="222">
        <f t="shared" si="4"/>
        <v>21.942675568022441</v>
      </c>
      <c r="F12" s="126">
        <v>1</v>
      </c>
      <c r="G12" s="120">
        <f t="shared" si="0"/>
        <v>438.85351136044881</v>
      </c>
      <c r="H12" s="119">
        <f t="shared" si="1"/>
        <v>438.85351136044881</v>
      </c>
      <c r="I12" s="80">
        <f>VLOOKUP(B12,All_Ingredients!$A$1:$F$149,6,FALSE())</f>
        <v>1</v>
      </c>
      <c r="J12" s="118">
        <f>VLOOKUP(B12,All_Ingredients!$A$1:$J$149,10,FALSE())</f>
        <v>8</v>
      </c>
      <c r="K12" s="121">
        <f t="shared" si="5"/>
        <v>0.43885351136044881</v>
      </c>
      <c r="L12" s="121">
        <f t="shared" si="6"/>
        <v>3.5108280908835905</v>
      </c>
      <c r="U12" s="557"/>
      <c r="V12" s="99"/>
    </row>
    <row r="13" spans="1:33" ht="15.75" customHeight="1" x14ac:dyDescent="0.3">
      <c r="A13" s="127" t="s">
        <v>95</v>
      </c>
      <c r="B13" s="22" t="s">
        <v>106</v>
      </c>
      <c r="C13" s="123" t="s">
        <v>14</v>
      </c>
      <c r="D13" s="124">
        <v>20</v>
      </c>
      <c r="E13" s="222">
        <f t="shared" si="4"/>
        <v>21.942675568022441</v>
      </c>
      <c r="F13" s="126">
        <v>1</v>
      </c>
      <c r="G13" s="120">
        <f t="shared" si="0"/>
        <v>438.85351136044881</v>
      </c>
      <c r="H13" s="119">
        <f t="shared" si="1"/>
        <v>438.85351136044881</v>
      </c>
      <c r="I13" s="80">
        <f>VLOOKUP(B13,All_Ingredients!$A$1:$F$149,6,FALSE())</f>
        <v>1</v>
      </c>
      <c r="J13" s="118">
        <f>VLOOKUP(B13,All_Ingredients!$A$1:$J$149,10,FALSE())</f>
        <v>15</v>
      </c>
      <c r="K13" s="121">
        <f t="shared" si="5"/>
        <v>0.43885351136044881</v>
      </c>
      <c r="L13" s="121">
        <f t="shared" si="6"/>
        <v>6.5828026704067319</v>
      </c>
      <c r="U13" s="557"/>
      <c r="V13" s="99"/>
    </row>
    <row r="14" spans="1:33" ht="17.25" customHeight="1" x14ac:dyDescent="0.3">
      <c r="A14" s="127" t="s">
        <v>95</v>
      </c>
      <c r="B14" s="322" t="s">
        <v>100</v>
      </c>
      <c r="C14" s="123" t="s">
        <v>14</v>
      </c>
      <c r="D14" s="124">
        <v>10</v>
      </c>
      <c r="E14" s="222">
        <f t="shared" si="4"/>
        <v>21.942675568022441</v>
      </c>
      <c r="F14" s="126">
        <v>1</v>
      </c>
      <c r="G14" s="120">
        <f t="shared" si="0"/>
        <v>219.4267556802244</v>
      </c>
      <c r="H14" s="119">
        <f t="shared" si="1"/>
        <v>219.4267556802244</v>
      </c>
      <c r="I14" s="80">
        <f>VLOOKUP(B14,All_Ingredients!$A$1:$F$149,6,FALSE())</f>
        <v>1</v>
      </c>
      <c r="J14" s="118">
        <f>VLOOKUP(B14,All_Ingredients!$A$1:$J$149,10,FALSE())</f>
        <v>31</v>
      </c>
      <c r="K14" s="121">
        <f t="shared" si="5"/>
        <v>0.21942675568022441</v>
      </c>
      <c r="L14" s="121">
        <f t="shared" si="6"/>
        <v>6.8022294260869565</v>
      </c>
      <c r="U14" s="557"/>
      <c r="V14" s="99"/>
    </row>
    <row r="15" spans="1:33" ht="18.75" customHeight="1" x14ac:dyDescent="0.3">
      <c r="A15" s="127" t="s">
        <v>95</v>
      </c>
      <c r="B15" s="322" t="s">
        <v>123</v>
      </c>
      <c r="C15" s="123" t="s">
        <v>14</v>
      </c>
      <c r="D15" s="124">
        <v>5</v>
      </c>
      <c r="E15" s="222">
        <f t="shared" si="4"/>
        <v>21.942675568022441</v>
      </c>
      <c r="F15" s="126">
        <v>1</v>
      </c>
      <c r="G15" s="120">
        <f t="shared" si="0"/>
        <v>109.7133778401122</v>
      </c>
      <c r="H15" s="119">
        <f t="shared" si="1"/>
        <v>109.7133778401122</v>
      </c>
      <c r="I15" s="80">
        <f>VLOOKUP(B15,All_Ingredients!$A$1:$F$149,6,FALSE())</f>
        <v>1</v>
      </c>
      <c r="J15" s="118">
        <f>VLOOKUP(B15,All_Ingredients!$A$1:$J$149,10,FALSE())</f>
        <v>14</v>
      </c>
      <c r="K15" s="121">
        <f t="shared" si="5"/>
        <v>0.1097133778401122</v>
      </c>
      <c r="L15" s="121">
        <f t="shared" si="6"/>
        <v>1.5359872897615707</v>
      </c>
      <c r="U15" s="557"/>
      <c r="V15" s="99"/>
    </row>
    <row r="16" spans="1:33" ht="14.75" customHeight="1" x14ac:dyDescent="0.3">
      <c r="A16" s="127" t="s">
        <v>215</v>
      </c>
      <c r="B16" s="322" t="s">
        <v>216</v>
      </c>
      <c r="C16" s="123" t="s">
        <v>14</v>
      </c>
      <c r="D16" s="124">
        <v>1</v>
      </c>
      <c r="E16" s="222">
        <f t="shared" si="4"/>
        <v>21.942675568022441</v>
      </c>
      <c r="F16" s="126">
        <v>1</v>
      </c>
      <c r="G16" s="120">
        <f t="shared" si="0"/>
        <v>21.942675568022441</v>
      </c>
      <c r="H16" s="119">
        <f t="shared" si="1"/>
        <v>21.942675568022441</v>
      </c>
      <c r="I16" s="80">
        <f>VLOOKUP(B16,All_Ingredients!$A$1:$F$149,6,FALSE())</f>
        <v>1</v>
      </c>
      <c r="J16" s="118">
        <f>VLOOKUP(B16,All_Ingredients!$A$1:$J$149,10,FALSE())</f>
        <v>35</v>
      </c>
      <c r="K16" s="121">
        <f t="shared" si="5"/>
        <v>2.194267556802244E-2</v>
      </c>
      <c r="L16" s="121">
        <f t="shared" si="6"/>
        <v>0.76799364488078536</v>
      </c>
      <c r="U16" s="557"/>
      <c r="V16" s="99"/>
    </row>
    <row r="17" spans="1:29" ht="14.25" customHeight="1" x14ac:dyDescent="0.3">
      <c r="A17" s="78" t="s">
        <v>154</v>
      </c>
      <c r="B17" s="322" t="s">
        <v>174</v>
      </c>
      <c r="C17" s="123" t="s">
        <v>14</v>
      </c>
      <c r="D17" s="114">
        <v>297</v>
      </c>
      <c r="E17" s="222">
        <f t="shared" si="4"/>
        <v>21.942675568022441</v>
      </c>
      <c r="F17" s="126">
        <v>1</v>
      </c>
      <c r="G17" s="120">
        <f t="shared" si="0"/>
        <v>6516.9746437026652</v>
      </c>
      <c r="H17" s="119">
        <f t="shared" si="1"/>
        <v>6516.9746437026652</v>
      </c>
      <c r="I17" s="80">
        <f>VLOOKUP(B17,All_Ingredients!$A$1:$F$149,6,FALSE())</f>
        <v>1</v>
      </c>
      <c r="J17" s="118">
        <f>VLOOKUP(B17,All_Ingredients!$A$1:$J$149,10,FALSE())</f>
        <v>17.934782608695652</v>
      </c>
      <c r="K17" s="121">
        <f t="shared" si="5"/>
        <v>6.5169746437026648</v>
      </c>
      <c r="L17" s="121">
        <f t="shared" si="6"/>
        <v>116.8805235011891</v>
      </c>
      <c r="Q17" s="412"/>
      <c r="T17" s="14" t="s">
        <v>846</v>
      </c>
    </row>
    <row r="18" spans="1:29" ht="14.25" customHeight="1" x14ac:dyDescent="0.3">
      <c r="A18" s="127" t="s">
        <v>95</v>
      </c>
      <c r="B18" s="22" t="s">
        <v>94</v>
      </c>
      <c r="C18" s="123" t="s">
        <v>14</v>
      </c>
      <c r="D18" s="124">
        <v>5</v>
      </c>
      <c r="E18" s="222">
        <f t="shared" si="4"/>
        <v>21.942675568022441</v>
      </c>
      <c r="F18" s="126">
        <v>1</v>
      </c>
      <c r="G18" s="120">
        <f t="shared" si="0"/>
        <v>109.7133778401122</v>
      </c>
      <c r="H18" s="119">
        <f t="shared" si="1"/>
        <v>109.7133778401122</v>
      </c>
      <c r="I18" s="80">
        <f>VLOOKUP(B18,All_Ingredients!$A$1:$F$149,6,FALSE())</f>
        <v>1</v>
      </c>
      <c r="J18" s="118">
        <f>VLOOKUP(B18,All_Ingredients!$A$1:$J$149,10,FALSE())</f>
        <v>0.74</v>
      </c>
      <c r="K18" s="121">
        <f t="shared" si="5"/>
        <v>0.1097133778401122</v>
      </c>
      <c r="L18" s="121">
        <f t="shared" si="6"/>
        <v>8.1187899601683031E-2</v>
      </c>
    </row>
    <row r="19" spans="1:29" ht="14.25" customHeight="1" x14ac:dyDescent="0.3">
      <c r="A19" s="127" t="s">
        <v>95</v>
      </c>
      <c r="B19" s="22" t="s">
        <v>187</v>
      </c>
      <c r="C19" s="123" t="s">
        <v>14</v>
      </c>
      <c r="D19" s="124">
        <v>100</v>
      </c>
      <c r="E19" s="222">
        <f t="shared" si="4"/>
        <v>21.942675568022441</v>
      </c>
      <c r="F19" s="126">
        <v>1</v>
      </c>
      <c r="G19" s="120">
        <f t="shared" si="0"/>
        <v>2194.2675568022441</v>
      </c>
      <c r="H19" s="119">
        <f t="shared" si="1"/>
        <v>2194.2675568022441</v>
      </c>
      <c r="I19" s="80">
        <f>VLOOKUP(B19,All_Ingredients!$A$1:$F$149,6,FALSE())</f>
        <v>1</v>
      </c>
      <c r="J19" s="118">
        <f>VLOOKUP(B19,All_Ingredients!$A$1:$J$149,10,FALSE())</f>
        <v>1.7</v>
      </c>
      <c r="K19" s="121">
        <f t="shared" si="5"/>
        <v>2.1942675568022443</v>
      </c>
      <c r="L19" s="121">
        <f t="shared" si="6"/>
        <v>3.730254846563815</v>
      </c>
      <c r="T19" s="14" t="s">
        <v>847</v>
      </c>
    </row>
    <row r="20" spans="1:29" x14ac:dyDescent="0.3">
      <c r="R20" s="618">
        <f>U28/R22</f>
        <v>0.5601122019635344</v>
      </c>
    </row>
    <row r="21" spans="1:29" ht="14.25" customHeight="1" x14ac:dyDescent="0.3">
      <c r="L21" s="296"/>
      <c r="R21" s="560" t="s">
        <v>359</v>
      </c>
      <c r="T21" s="560" t="s">
        <v>465</v>
      </c>
    </row>
    <row r="22" spans="1:29" ht="14.25" customHeight="1" x14ac:dyDescent="0.3">
      <c r="L22" s="296"/>
      <c r="R22" s="401">
        <f>$Z$1</f>
        <v>136500</v>
      </c>
      <c r="T22" s="401">
        <f>$AB$1</f>
        <v>0</v>
      </c>
    </row>
    <row r="23" spans="1:29" ht="14.25" customHeight="1" x14ac:dyDescent="0.3">
      <c r="L23" s="296"/>
    </row>
    <row r="24" spans="1:29" ht="14.25" customHeight="1" x14ac:dyDescent="0.3">
      <c r="L24" s="296"/>
      <c r="Z24" s="1208"/>
    </row>
    <row r="25" spans="1:29" ht="14.25" customHeight="1" x14ac:dyDescent="0.3">
      <c r="L25" s="296"/>
      <c r="R25" s="1459" t="s">
        <v>466</v>
      </c>
      <c r="S25" s="1444"/>
      <c r="T25" s="1444"/>
      <c r="U25" s="1444"/>
      <c r="Z25" s="140" t="s">
        <v>256</v>
      </c>
      <c r="AA25" s="141">
        <v>1</v>
      </c>
      <c r="AB25" s="140" t="s">
        <v>253</v>
      </c>
      <c r="AC25" s="142">
        <f>AC30*AA25</f>
        <v>1.6071552042547784E-2</v>
      </c>
    </row>
    <row r="26" spans="1:29" ht="18" customHeight="1" x14ac:dyDescent="0.3">
      <c r="L26" s="296"/>
      <c r="R26" s="1459" t="s">
        <v>365</v>
      </c>
      <c r="S26" s="1444"/>
      <c r="T26" s="1444"/>
      <c r="U26" s="1444"/>
    </row>
    <row r="27" spans="1:29" ht="23.25" customHeight="1" x14ac:dyDescent="0.3">
      <c r="L27" s="296"/>
      <c r="R27" s="144" t="s">
        <v>258</v>
      </c>
      <c r="S27" s="145" t="s">
        <v>387</v>
      </c>
      <c r="T27" s="145" t="s">
        <v>260</v>
      </c>
      <c r="U27" s="145" t="s">
        <v>261</v>
      </c>
      <c r="Z27" s="140" t="s">
        <v>262</v>
      </c>
      <c r="AA27" s="146" t="s">
        <v>263</v>
      </c>
      <c r="AB27" s="146" t="s">
        <v>264</v>
      </c>
      <c r="AC27" s="146" t="s">
        <v>266</v>
      </c>
    </row>
    <row r="28" spans="1:29" ht="14.25" customHeight="1" x14ac:dyDescent="0.3">
      <c r="L28" s="296"/>
      <c r="R28" s="147" t="s">
        <v>267</v>
      </c>
      <c r="S28" s="754">
        <f>($R$22*0.512)*$R$1</f>
        <v>54512.639999999999</v>
      </c>
      <c r="T28" s="754">
        <f>U28*U40</f>
        <v>21942.675568022441</v>
      </c>
      <c r="U28" s="754">
        <f>S28/S40</f>
        <v>76455.315568022444</v>
      </c>
      <c r="Z28" s="150"/>
      <c r="AA28" s="151">
        <f>AA25*$S$40</f>
        <v>0.71299999999999997</v>
      </c>
      <c r="AB28" s="151">
        <f>AA25*$U$40</f>
        <v>0.28699999999999998</v>
      </c>
      <c r="AC28" s="153">
        <f>SUM(AA28:AB28)</f>
        <v>1</v>
      </c>
    </row>
    <row r="29" spans="1:29" ht="14.25" customHeight="1" x14ac:dyDescent="0.3">
      <c r="R29" s="147" t="s">
        <v>268</v>
      </c>
      <c r="S29" s="756"/>
      <c r="T29" s="754"/>
      <c r="U29" s="754">
        <f>T29</f>
        <v>0</v>
      </c>
      <c r="Z29" s="150"/>
      <c r="AA29" s="155">
        <f>AA28/$AC$28</f>
        <v>0.71299999999999997</v>
      </c>
      <c r="AB29" s="155">
        <f>AB28/$AC$28</f>
        <v>0.28699999999999998</v>
      </c>
      <c r="AC29" s="155">
        <f>AC28/$AC$28</f>
        <v>1</v>
      </c>
    </row>
    <row r="30" spans="1:29" ht="14.25" customHeight="1" x14ac:dyDescent="0.3">
      <c r="B30" s="99"/>
      <c r="R30" s="147" t="s">
        <v>269</v>
      </c>
      <c r="S30" s="754">
        <f>($T$22*0.512)*$R$1</f>
        <v>0</v>
      </c>
      <c r="T30" s="754">
        <f>U30-S30</f>
        <v>0</v>
      </c>
      <c r="U30" s="754">
        <f>S30/S40</f>
        <v>0</v>
      </c>
      <c r="Z30" s="140" t="s">
        <v>270</v>
      </c>
      <c r="AA30" s="156">
        <f>S35/(S32)</f>
        <v>1.5216265216265217E-2</v>
      </c>
      <c r="AB30" s="157">
        <f>T35/T32</f>
        <v>1.8196358687633047E-2</v>
      </c>
      <c r="AC30" s="1278">
        <f>SUMPRODUCT(AA29:AB29,AA30:AB30)</f>
        <v>1.6071552042547784E-2</v>
      </c>
    </row>
    <row r="31" spans="1:29" ht="14.25" customHeight="1" x14ac:dyDescent="0.3">
      <c r="B31" s="99"/>
      <c r="R31" s="147" t="s">
        <v>271</v>
      </c>
      <c r="S31" s="154"/>
      <c r="T31" s="148"/>
      <c r="U31" s="148"/>
      <c r="AC31" s="1285"/>
    </row>
    <row r="32" spans="1:29" ht="14.25" customHeight="1" x14ac:dyDescent="0.3">
      <c r="B32" s="99"/>
      <c r="E32" s="99"/>
      <c r="F32" s="99"/>
      <c r="R32" s="159" t="s">
        <v>261</v>
      </c>
      <c r="S32" s="148">
        <f>SUM(S28:S30)</f>
        <v>54512.639999999999</v>
      </c>
      <c r="T32" s="148">
        <f>SUM(T28:T30)</f>
        <v>21942.675568022441</v>
      </c>
      <c r="U32" s="148">
        <f>SUM(U28:U30)</f>
        <v>76455.315568022444</v>
      </c>
    </row>
    <row r="33" spans="2:24" ht="14.25" customHeight="1" x14ac:dyDescent="0.3">
      <c r="B33" s="99"/>
      <c r="E33" s="99"/>
      <c r="F33" s="99"/>
      <c r="R33" s="160" t="s">
        <v>272</v>
      </c>
      <c r="S33" s="154"/>
      <c r="T33" s="154"/>
      <c r="U33" s="148">
        <f>F82</f>
        <v>0</v>
      </c>
    </row>
    <row r="34" spans="2:24" ht="14.25" customHeight="1" x14ac:dyDescent="0.3">
      <c r="B34" s="99"/>
      <c r="E34" s="99"/>
      <c r="F34" s="99"/>
      <c r="R34" s="161" t="s">
        <v>273</v>
      </c>
      <c r="S34" s="154"/>
      <c r="T34" s="148"/>
      <c r="U34" s="148"/>
    </row>
    <row r="35" spans="2:24" ht="14.25" customHeight="1" x14ac:dyDescent="0.3">
      <c r="B35" s="99"/>
      <c r="E35" s="99"/>
      <c r="F35" s="99"/>
      <c r="R35" s="162" t="s">
        <v>253</v>
      </c>
      <c r="S35" s="1125">
        <f>$L$5</f>
        <v>829.4787878787879</v>
      </c>
      <c r="T35" s="1125">
        <f>SUM(L6:L19)</f>
        <v>399.27679520209853</v>
      </c>
      <c r="U35" s="1125">
        <f>S35+T35</f>
        <v>1228.7555830808865</v>
      </c>
    </row>
    <row r="36" spans="2:24" ht="14.25" customHeight="1" x14ac:dyDescent="0.3">
      <c r="B36" s="99"/>
      <c r="E36" s="99"/>
      <c r="F36" s="99"/>
    </row>
    <row r="40" spans="2:24" ht="14.25" customHeight="1" x14ac:dyDescent="0.3">
      <c r="R40" s="164" t="s">
        <v>274</v>
      </c>
      <c r="S40" s="238">
        <v>0.71299999999999997</v>
      </c>
      <c r="T40" s="164" t="s">
        <v>275</v>
      </c>
      <c r="U40" s="238">
        <v>0.28699999999999998</v>
      </c>
      <c r="V40" s="167">
        <f>S40+U40</f>
        <v>1</v>
      </c>
    </row>
    <row r="41" spans="2:24" ht="14.25" customHeight="1" x14ac:dyDescent="0.3">
      <c r="U41" s="168"/>
    </row>
    <row r="42" spans="2:24" ht="14.25" customHeight="1" x14ac:dyDescent="0.3"/>
    <row r="43" spans="2:24" ht="14" customHeight="1" x14ac:dyDescent="0.3">
      <c r="Q43" s="169" t="s">
        <v>276</v>
      </c>
      <c r="R43" s="169" t="s">
        <v>277</v>
      </c>
      <c r="S43" s="169" t="s">
        <v>278</v>
      </c>
      <c r="T43" s="169" t="s">
        <v>279</v>
      </c>
      <c r="U43" s="169" t="s">
        <v>280</v>
      </c>
      <c r="V43" s="169" t="s">
        <v>281</v>
      </c>
      <c r="W43" s="257" t="s">
        <v>282</v>
      </c>
      <c r="X43" s="320"/>
    </row>
    <row r="44" spans="2:24" ht="14" customHeight="1" x14ac:dyDescent="0.3">
      <c r="Q44" s="171">
        <v>34844</v>
      </c>
      <c r="R44" s="172">
        <f>D51</f>
        <v>10000</v>
      </c>
      <c r="S44" s="240">
        <v>1</v>
      </c>
      <c r="T44" s="240">
        <v>0</v>
      </c>
      <c r="U44" s="241">
        <f>R44*S44</f>
        <v>10000</v>
      </c>
      <c r="V44" s="175">
        <f>R44*T44</f>
        <v>0</v>
      </c>
      <c r="W44" s="259">
        <f>Q44-U44</f>
        <v>24844</v>
      </c>
      <c r="X44" s="297"/>
    </row>
    <row r="50" spans="2:10" x14ac:dyDescent="0.3">
      <c r="B50" s="275"/>
      <c r="C50" s="144" t="s">
        <v>237</v>
      </c>
      <c r="D50" s="144" t="s">
        <v>283</v>
      </c>
      <c r="G50" s="144" t="s">
        <v>284</v>
      </c>
      <c r="H50" s="144" t="s">
        <v>237</v>
      </c>
      <c r="I50" s="144" t="s">
        <v>285</v>
      </c>
      <c r="J50" s="144" t="s">
        <v>286</v>
      </c>
    </row>
    <row r="51" spans="2:10" x14ac:dyDescent="0.3">
      <c r="B51" s="179" t="s">
        <v>287</v>
      </c>
      <c r="C51" s="180">
        <f>10/$K$1</f>
        <v>10</v>
      </c>
      <c r="D51" s="181">
        <f>$C$1*10</f>
        <v>10000</v>
      </c>
      <c r="G51" s="179" t="s">
        <v>287</v>
      </c>
      <c r="H51" s="276">
        <v>10</v>
      </c>
      <c r="I51" s="180">
        <f t="shared" ref="I51:I57" si="7">J51/$R$1</f>
        <v>31851.282051282051</v>
      </c>
      <c r="J51" s="180">
        <f>$W$44</f>
        <v>24844</v>
      </c>
    </row>
    <row r="52" spans="2:10" x14ac:dyDescent="0.3">
      <c r="B52" s="230" t="s">
        <v>266</v>
      </c>
      <c r="C52" s="231">
        <f>$I$1</f>
        <v>21.942675568022441</v>
      </c>
      <c r="D52" s="232">
        <f>$T$32</f>
        <v>21942.675568022441</v>
      </c>
      <c r="G52" s="147" t="s">
        <v>266</v>
      </c>
      <c r="H52" s="209">
        <f>I52/$D$5</f>
        <v>21.941973917243601</v>
      </c>
      <c r="I52" s="175">
        <f t="shared" si="7"/>
        <v>69888</v>
      </c>
      <c r="J52" s="183">
        <f>$S$32</f>
        <v>54512.639999999999</v>
      </c>
    </row>
    <row r="53" spans="2:10" x14ac:dyDescent="0.3">
      <c r="B53" s="230" t="s">
        <v>288</v>
      </c>
      <c r="C53" s="233">
        <f>MIN(C52, C51)</f>
        <v>10</v>
      </c>
      <c r="D53" s="232">
        <f>(C53*$K$1)*$C$1</f>
        <v>10000</v>
      </c>
      <c r="G53" s="147" t="s">
        <v>288</v>
      </c>
      <c r="H53" s="186">
        <f>MIN(H52,H51)</f>
        <v>10</v>
      </c>
      <c r="I53" s="175">
        <f t="shared" si="7"/>
        <v>31851.282051282051</v>
      </c>
      <c r="J53" s="175">
        <f>MIN(J52,J51)</f>
        <v>24844</v>
      </c>
    </row>
    <row r="54" spans="2:10" x14ac:dyDescent="0.3">
      <c r="B54" s="230" t="s">
        <v>289</v>
      </c>
      <c r="C54" s="233">
        <f>MIN(MAX(C52-C53,0),C51)</f>
        <v>10</v>
      </c>
      <c r="D54" s="232">
        <f>(C54*$K$1)*$C$1</f>
        <v>10000</v>
      </c>
      <c r="G54" s="147" t="s">
        <v>289</v>
      </c>
      <c r="H54" s="561">
        <f>MIN(MAX(H52-H53),H51)</f>
        <v>10</v>
      </c>
      <c r="I54" s="175">
        <f t="shared" si="7"/>
        <v>31851.282051282051</v>
      </c>
      <c r="J54" s="175">
        <f>MIN(MAX(J52-J53,0),J51)</f>
        <v>24844</v>
      </c>
    </row>
    <row r="55" spans="2:10" x14ac:dyDescent="0.3">
      <c r="B55" s="230" t="s">
        <v>290</v>
      </c>
      <c r="C55" s="233">
        <f>MIN(MAX(C52-C53-C54,0),C51)</f>
        <v>1.942675568022441</v>
      </c>
      <c r="D55" s="232">
        <f>(C55*$K$1)*$C$1</f>
        <v>1942.675568022441</v>
      </c>
      <c r="G55" s="144" t="s">
        <v>290</v>
      </c>
      <c r="H55" s="186">
        <f>MIN(MAX(H52-H53-H54),H51)</f>
        <v>1.941973917243601</v>
      </c>
      <c r="I55" s="175">
        <f t="shared" si="7"/>
        <v>6185.4358974358965</v>
      </c>
      <c r="J55" s="175">
        <f>MIN(MAX(J52-J53-J54,0),J51)</f>
        <v>4824.6399999999994</v>
      </c>
    </row>
    <row r="56" spans="2:10" x14ac:dyDescent="0.3">
      <c r="B56" s="230" t="s">
        <v>297</v>
      </c>
      <c r="C56" s="233">
        <f>MIN(MAX(C52-C53-C54-C55,0),C51)</f>
        <v>0</v>
      </c>
      <c r="D56" s="234">
        <f>C56*$K$1</f>
        <v>0</v>
      </c>
      <c r="G56" s="144" t="s">
        <v>297</v>
      </c>
      <c r="H56" s="186">
        <f>MIN(MAX(H52-H53-H54-H55,0),H51)</f>
        <v>0</v>
      </c>
      <c r="I56" s="175">
        <f t="shared" si="7"/>
        <v>0</v>
      </c>
      <c r="J56" s="175">
        <f>MIN(MAX(J52-J53-J54-J55,0),J51)</f>
        <v>0</v>
      </c>
    </row>
    <row r="57" spans="2:10" x14ac:dyDescent="0.3">
      <c r="B57" s="99"/>
      <c r="G57" s="144" t="s">
        <v>348</v>
      </c>
      <c r="H57" s="186">
        <f>MIN(MAX(H52-H53-H54-H55-H56,0),H51)</f>
        <v>0</v>
      </c>
      <c r="I57" s="175">
        <f t="shared" si="7"/>
        <v>0</v>
      </c>
      <c r="J57" s="209">
        <f>MIN(MAX(J52-J53-J54-J55-J56,0),J51)</f>
        <v>0</v>
      </c>
    </row>
    <row r="60" spans="2:10" ht="14.25" customHeight="1" x14ac:dyDescent="0.3"/>
    <row r="61" spans="2:10" ht="14.25" customHeight="1" x14ac:dyDescent="0.3"/>
    <row r="64" spans="2:10" ht="17.75" customHeight="1" x14ac:dyDescent="0.3">
      <c r="B64" s="1465"/>
      <c r="C64" s="1458"/>
      <c r="D64" s="1458"/>
      <c r="E64" s="1458"/>
      <c r="F64" s="1458"/>
      <c r="G64" s="1458"/>
      <c r="H64" s="1458"/>
    </row>
    <row r="65" spans="1:8" ht="17.75" customHeight="1" x14ac:dyDescent="0.3">
      <c r="B65" s="1465"/>
      <c r="C65" s="1458"/>
      <c r="D65" s="1458"/>
      <c r="E65" s="1458"/>
      <c r="F65" s="1458"/>
      <c r="G65" s="1458"/>
      <c r="H65" s="1458"/>
    </row>
    <row r="66" spans="1:8" ht="25.5" customHeight="1" x14ac:dyDescent="0.25">
      <c r="A66" s="370"/>
      <c r="B66" s="370"/>
      <c r="C66" s="347"/>
      <c r="D66" s="370"/>
      <c r="E66" s="346"/>
      <c r="F66" s="370"/>
      <c r="G66" s="370"/>
      <c r="H66" s="346"/>
    </row>
    <row r="67" spans="1:8" ht="14.25" customHeight="1" x14ac:dyDescent="0.25">
      <c r="A67" s="370"/>
      <c r="B67" s="348"/>
      <c r="C67" s="132"/>
      <c r="D67" s="224"/>
      <c r="E67" s="134"/>
      <c r="F67" s="135"/>
      <c r="G67" s="136"/>
      <c r="H67" s="137"/>
    </row>
    <row r="68" spans="1:8" ht="14.25" customHeight="1" x14ac:dyDescent="0.3">
      <c r="B68" s="348"/>
      <c r="C68" s="132"/>
      <c r="D68" s="253"/>
      <c r="E68" s="134"/>
      <c r="F68" s="135"/>
      <c r="G68" s="136"/>
      <c r="H68" s="137"/>
    </row>
    <row r="69" spans="1:8" ht="14.25" customHeight="1" x14ac:dyDescent="0.3">
      <c r="B69" s="348"/>
      <c r="C69" s="132"/>
      <c r="D69" s="253"/>
      <c r="E69" s="134"/>
      <c r="F69" s="135"/>
      <c r="G69" s="136"/>
      <c r="H69" s="137"/>
    </row>
    <row r="70" spans="1:8" ht="14.25" customHeight="1" x14ac:dyDescent="0.3">
      <c r="B70" s="348"/>
      <c r="C70" s="132"/>
      <c r="D70" s="253"/>
      <c r="E70" s="134"/>
      <c r="F70" s="135"/>
      <c r="G70" s="136"/>
      <c r="H70" s="137"/>
    </row>
    <row r="71" spans="1:8" ht="14.25" customHeight="1" x14ac:dyDescent="0.3">
      <c r="B71" s="348"/>
      <c r="C71" s="132"/>
      <c r="D71" s="253"/>
      <c r="E71" s="134"/>
      <c r="F71" s="135"/>
      <c r="G71" s="136"/>
      <c r="H71" s="137"/>
    </row>
    <row r="72" spans="1:8" ht="14.25" customHeight="1" x14ac:dyDescent="0.3">
      <c r="B72" s="348"/>
      <c r="C72" s="132"/>
      <c r="D72" s="253"/>
      <c r="E72" s="134"/>
      <c r="F72" s="135"/>
      <c r="G72" s="136"/>
      <c r="H72" s="137"/>
    </row>
    <row r="73" spans="1:8" ht="14.25" customHeight="1" x14ac:dyDescent="0.3">
      <c r="B73" s="348"/>
      <c r="C73" s="132"/>
      <c r="D73" s="253"/>
      <c r="E73" s="134"/>
      <c r="F73" s="135"/>
      <c r="G73" s="136"/>
      <c r="H73" s="137"/>
    </row>
    <row r="74" spans="1:8" ht="14.25" customHeight="1" x14ac:dyDescent="0.3">
      <c r="B74" s="348"/>
      <c r="C74" s="132"/>
      <c r="D74" s="253"/>
      <c r="E74" s="134"/>
      <c r="F74" s="135"/>
      <c r="G74" s="136"/>
      <c r="H74" s="137"/>
    </row>
    <row r="75" spans="1:8" ht="14.25" customHeight="1" x14ac:dyDescent="0.3">
      <c r="B75" s="348"/>
      <c r="C75" s="132"/>
      <c r="D75" s="253"/>
      <c r="E75" s="134"/>
      <c r="F75" s="135"/>
      <c r="G75" s="136"/>
      <c r="H75" s="137"/>
    </row>
    <row r="76" spans="1:8" ht="14.25" customHeight="1" x14ac:dyDescent="0.3">
      <c r="B76" s="348"/>
      <c r="C76" s="132"/>
      <c r="D76" s="253"/>
      <c r="E76" s="134"/>
      <c r="F76" s="135"/>
      <c r="G76" s="136"/>
      <c r="H76" s="137"/>
    </row>
    <row r="77" spans="1:8" ht="14.25" customHeight="1" x14ac:dyDescent="0.3">
      <c r="B77" s="348"/>
      <c r="C77" s="132"/>
      <c r="D77" s="253"/>
      <c r="E77" s="134"/>
      <c r="F77" s="135"/>
      <c r="G77" s="136"/>
      <c r="H77" s="137"/>
    </row>
    <row r="78" spans="1:8" ht="14.25" customHeight="1" x14ac:dyDescent="0.3">
      <c r="B78" s="348"/>
      <c r="C78" s="132"/>
      <c r="D78" s="253"/>
      <c r="E78" s="134"/>
      <c r="F78" s="135"/>
      <c r="G78" s="136"/>
      <c r="H78" s="137"/>
    </row>
    <row r="79" spans="1:8" ht="14.25" customHeight="1" x14ac:dyDescent="0.3">
      <c r="B79" s="348"/>
      <c r="C79" s="132"/>
      <c r="D79" s="253"/>
      <c r="E79" s="134"/>
      <c r="F79" s="135"/>
      <c r="G79" s="136"/>
      <c r="H79" s="137"/>
    </row>
    <row r="80" spans="1:8" ht="14.25" customHeight="1" x14ac:dyDescent="0.3">
      <c r="B80" s="348"/>
      <c r="C80" s="132"/>
      <c r="D80" s="253"/>
      <c r="E80" s="134"/>
      <c r="F80" s="135"/>
      <c r="G80" s="136"/>
      <c r="H80" s="137"/>
    </row>
    <row r="81" spans="1:8" ht="20.25" customHeight="1" x14ac:dyDescent="0.4">
      <c r="B81" s="203"/>
      <c r="C81" s="481"/>
      <c r="D81" s="482"/>
      <c r="E81" s="483"/>
      <c r="F81" s="482"/>
      <c r="G81" s="484"/>
      <c r="H81" s="202"/>
    </row>
    <row r="82" spans="1:8" ht="14.25" customHeight="1" x14ac:dyDescent="0.3">
      <c r="B82" s="99"/>
      <c r="C82" s="207"/>
      <c r="D82" s="208"/>
      <c r="E82" s="99"/>
      <c r="F82" s="99"/>
    </row>
    <row r="85" spans="1:8" ht="17.75" customHeight="1" x14ac:dyDescent="0.3">
      <c r="B85" s="1465"/>
      <c r="C85" s="1458"/>
      <c r="D85" s="1458"/>
      <c r="E85" s="1458"/>
      <c r="F85" s="1458"/>
      <c r="G85" s="1458"/>
      <c r="H85" s="1458"/>
    </row>
    <row r="86" spans="1:8" ht="17.75" customHeight="1" x14ac:dyDescent="0.3">
      <c r="B86" s="1465"/>
      <c r="C86" s="1458"/>
      <c r="D86" s="1458"/>
      <c r="E86" s="1458"/>
      <c r="F86" s="1458"/>
      <c r="G86" s="1458"/>
      <c r="H86" s="1458"/>
    </row>
    <row r="87" spans="1:8" ht="25.5" customHeight="1" x14ac:dyDescent="0.25">
      <c r="A87" s="370"/>
      <c r="B87" s="370"/>
      <c r="C87" s="347"/>
      <c r="D87" s="370"/>
      <c r="E87" s="346"/>
      <c r="F87" s="370"/>
      <c r="G87" s="370"/>
      <c r="H87" s="346"/>
    </row>
    <row r="88" spans="1:8" ht="14.25" customHeight="1" x14ac:dyDescent="0.25">
      <c r="A88" s="370"/>
      <c r="B88" s="348"/>
      <c r="C88" s="348"/>
      <c r="D88" s="898"/>
      <c r="E88" s="134"/>
      <c r="F88" s="135"/>
      <c r="G88" s="136"/>
      <c r="H88" s="137"/>
    </row>
    <row r="89" spans="1:8" ht="14.25" customHeight="1" x14ac:dyDescent="0.3">
      <c r="B89" s="348"/>
      <c r="C89" s="348"/>
      <c r="D89" s="348"/>
      <c r="E89" s="134"/>
      <c r="F89" s="135"/>
      <c r="G89" s="136"/>
      <c r="H89" s="137"/>
    </row>
    <row r="90" spans="1:8" ht="14.25" customHeight="1" x14ac:dyDescent="0.3">
      <c r="B90" s="348"/>
      <c r="C90" s="348"/>
      <c r="D90" s="348"/>
      <c r="E90" s="134"/>
      <c r="F90" s="135"/>
      <c r="G90" s="136"/>
      <c r="H90" s="137"/>
    </row>
    <row r="91" spans="1:8" ht="14.25" customHeight="1" x14ac:dyDescent="0.3">
      <c r="B91" s="348"/>
      <c r="C91" s="348"/>
      <c r="D91" s="348"/>
      <c r="E91" s="134"/>
      <c r="F91" s="135"/>
      <c r="G91" s="136"/>
      <c r="H91" s="137"/>
    </row>
    <row r="92" spans="1:8" ht="14.25" customHeight="1" x14ac:dyDescent="0.3">
      <c r="B92" s="348"/>
      <c r="C92" s="348"/>
      <c r="D92" s="348"/>
      <c r="E92" s="134"/>
      <c r="F92" s="135"/>
      <c r="G92" s="136"/>
      <c r="H92" s="137"/>
    </row>
    <row r="93" spans="1:8" ht="14.25" customHeight="1" x14ac:dyDescent="0.3">
      <c r="B93" s="348"/>
      <c r="C93" s="348"/>
      <c r="D93" s="348"/>
      <c r="E93" s="134"/>
      <c r="F93" s="135"/>
      <c r="G93" s="136"/>
      <c r="H93" s="137"/>
    </row>
    <row r="94" spans="1:8" ht="14.25" customHeight="1" x14ac:dyDescent="0.3">
      <c r="B94" s="348"/>
      <c r="C94" s="348"/>
      <c r="D94" s="348"/>
      <c r="E94" s="134"/>
      <c r="F94" s="135"/>
      <c r="G94" s="136"/>
      <c r="H94" s="137"/>
    </row>
    <row r="95" spans="1:8" ht="14.25" customHeight="1" x14ac:dyDescent="0.3">
      <c r="B95" s="348"/>
      <c r="C95" s="348"/>
      <c r="D95" s="348"/>
      <c r="E95" s="134"/>
      <c r="F95" s="135"/>
      <c r="G95" s="136"/>
      <c r="H95" s="137"/>
    </row>
    <row r="96" spans="1:8" ht="14.25" customHeight="1" x14ac:dyDescent="0.3">
      <c r="B96" s="348"/>
      <c r="C96" s="348"/>
      <c r="D96" s="348"/>
      <c r="E96" s="134"/>
      <c r="F96" s="135"/>
      <c r="G96" s="136"/>
      <c r="H96" s="137"/>
    </row>
    <row r="97" spans="1:8" ht="14.25" customHeight="1" x14ac:dyDescent="0.3">
      <c r="B97" s="348"/>
      <c r="C97" s="348"/>
      <c r="D97" s="348"/>
      <c r="E97" s="134"/>
      <c r="F97" s="135"/>
      <c r="G97" s="136"/>
      <c r="H97" s="137"/>
    </row>
    <row r="98" spans="1:8" ht="14.25" customHeight="1" x14ac:dyDescent="0.3">
      <c r="B98" s="348"/>
      <c r="C98" s="348"/>
      <c r="D98" s="348"/>
      <c r="E98" s="134"/>
      <c r="F98" s="135"/>
      <c r="G98" s="136"/>
      <c r="H98" s="137"/>
    </row>
    <row r="99" spans="1:8" ht="14.25" customHeight="1" x14ac:dyDescent="0.3">
      <c r="B99" s="348"/>
      <c r="C99" s="348"/>
      <c r="D99" s="348"/>
      <c r="E99" s="134"/>
      <c r="F99" s="135"/>
      <c r="G99" s="136"/>
      <c r="H99" s="137"/>
    </row>
    <row r="100" spans="1:8" ht="14.25" customHeight="1" x14ac:dyDescent="0.3">
      <c r="B100" s="348"/>
      <c r="C100" s="348"/>
      <c r="D100" s="348"/>
      <c r="E100" s="134"/>
      <c r="F100" s="135"/>
      <c r="G100" s="136"/>
      <c r="H100" s="137"/>
    </row>
    <row r="101" spans="1:8" ht="14.25" customHeight="1" x14ac:dyDescent="0.3">
      <c r="B101" s="348"/>
      <c r="C101" s="348"/>
      <c r="D101" s="348"/>
      <c r="E101" s="134"/>
      <c r="F101" s="135"/>
      <c r="G101" s="136"/>
      <c r="H101" s="137"/>
    </row>
    <row r="102" spans="1:8" ht="20.25" customHeight="1" x14ac:dyDescent="0.4">
      <c r="B102" s="203"/>
      <c r="C102" s="481"/>
      <c r="D102" s="482"/>
      <c r="E102" s="483"/>
      <c r="F102" s="482"/>
      <c r="G102" s="484"/>
      <c r="H102" s="202"/>
    </row>
    <row r="106" spans="1:8" ht="17.75" customHeight="1" x14ac:dyDescent="0.3">
      <c r="B106" s="1465"/>
      <c r="C106" s="1458"/>
      <c r="D106" s="1458"/>
      <c r="E106" s="1458"/>
      <c r="F106" s="1458"/>
      <c r="G106" s="1458"/>
      <c r="H106" s="1458"/>
    </row>
    <row r="107" spans="1:8" ht="17.75" customHeight="1" x14ac:dyDescent="0.3">
      <c r="B107" s="1465"/>
      <c r="C107" s="1458"/>
      <c r="D107" s="1458"/>
      <c r="E107" s="1458"/>
      <c r="F107" s="1458"/>
      <c r="G107" s="1458"/>
      <c r="H107" s="1458"/>
    </row>
    <row r="108" spans="1:8" ht="25.5" customHeight="1" x14ac:dyDescent="0.25">
      <c r="A108" s="370"/>
      <c r="B108" s="370"/>
      <c r="C108" s="347"/>
      <c r="D108" s="370"/>
      <c r="E108" s="346"/>
      <c r="F108" s="370"/>
      <c r="G108" s="370"/>
      <c r="H108" s="346"/>
    </row>
    <row r="109" spans="1:8" ht="14.25" customHeight="1" x14ac:dyDescent="0.25">
      <c r="A109" s="370"/>
      <c r="B109" s="348"/>
      <c r="C109" s="348"/>
      <c r="D109" s="348"/>
      <c r="E109" s="134"/>
      <c r="F109" s="135"/>
      <c r="G109" s="251"/>
      <c r="H109" s="899"/>
    </row>
    <row r="110" spans="1:8" ht="14.25" customHeight="1" x14ac:dyDescent="0.3">
      <c r="B110" s="348"/>
      <c r="C110" s="348"/>
      <c r="D110" s="348"/>
      <c r="E110" s="134"/>
      <c r="F110" s="135"/>
      <c r="G110" s="136"/>
      <c r="H110" s="137"/>
    </row>
    <row r="111" spans="1:8" ht="14.25" customHeight="1" x14ac:dyDescent="0.3">
      <c r="B111" s="348"/>
      <c r="C111" s="348"/>
      <c r="D111" s="348"/>
      <c r="E111" s="134"/>
      <c r="F111" s="135"/>
      <c r="G111" s="136"/>
      <c r="H111" s="137"/>
    </row>
    <row r="112" spans="1:8" ht="14.25" customHeight="1" x14ac:dyDescent="0.3">
      <c r="B112" s="348"/>
      <c r="C112" s="348"/>
      <c r="D112" s="348"/>
      <c r="E112" s="134"/>
      <c r="F112" s="135"/>
      <c r="G112" s="136"/>
      <c r="H112" s="137"/>
    </row>
    <row r="113" spans="2:8" ht="14.25" customHeight="1" x14ac:dyDescent="0.3">
      <c r="B113" s="348"/>
      <c r="C113" s="348"/>
      <c r="D113" s="348"/>
      <c r="E113" s="134"/>
      <c r="F113" s="135"/>
      <c r="G113" s="136"/>
      <c r="H113" s="137"/>
    </row>
    <row r="114" spans="2:8" ht="14.25" customHeight="1" x14ac:dyDescent="0.3">
      <c r="B114" s="348"/>
      <c r="C114" s="348"/>
      <c r="D114" s="348"/>
      <c r="E114" s="134"/>
      <c r="F114" s="135"/>
      <c r="G114" s="136"/>
      <c r="H114" s="137"/>
    </row>
    <row r="115" spans="2:8" ht="14.25" customHeight="1" x14ac:dyDescent="0.3">
      <c r="B115" s="348"/>
      <c r="C115" s="348"/>
      <c r="D115" s="348"/>
      <c r="E115" s="134"/>
      <c r="F115" s="135"/>
      <c r="G115" s="136"/>
      <c r="H115" s="137"/>
    </row>
    <row r="116" spans="2:8" ht="14.25" customHeight="1" x14ac:dyDescent="0.3">
      <c r="B116" s="348"/>
      <c r="C116" s="348"/>
      <c r="D116" s="348"/>
      <c r="E116" s="134"/>
      <c r="F116" s="135"/>
      <c r="G116" s="136"/>
      <c r="H116" s="137"/>
    </row>
    <row r="117" spans="2:8" ht="14.25" customHeight="1" x14ac:dyDescent="0.3">
      <c r="B117" s="348"/>
      <c r="C117" s="348"/>
      <c r="D117" s="348"/>
      <c r="E117" s="134"/>
      <c r="F117" s="135"/>
      <c r="G117" s="136"/>
      <c r="H117" s="137"/>
    </row>
    <row r="118" spans="2:8" ht="14.25" customHeight="1" x14ac:dyDescent="0.3">
      <c r="B118" s="348"/>
      <c r="C118" s="348"/>
      <c r="D118" s="348"/>
      <c r="E118" s="134"/>
      <c r="F118" s="135"/>
      <c r="G118" s="136"/>
      <c r="H118" s="137"/>
    </row>
    <row r="119" spans="2:8" ht="14.25" customHeight="1" x14ac:dyDescent="0.3">
      <c r="B119" s="348"/>
      <c r="C119" s="348"/>
      <c r="D119" s="348"/>
      <c r="E119" s="134"/>
      <c r="F119" s="135"/>
      <c r="G119" s="136"/>
      <c r="H119" s="137"/>
    </row>
    <row r="120" spans="2:8" ht="14.25" customHeight="1" x14ac:dyDescent="0.3">
      <c r="B120" s="348"/>
      <c r="C120" s="348"/>
      <c r="D120" s="348"/>
      <c r="E120" s="134"/>
      <c r="F120" s="135"/>
      <c r="G120" s="136"/>
      <c r="H120" s="137"/>
    </row>
    <row r="121" spans="2:8" ht="14.25" customHeight="1" x14ac:dyDescent="0.3">
      <c r="B121" s="348"/>
      <c r="C121" s="348"/>
      <c r="D121" s="348"/>
      <c r="E121" s="134"/>
      <c r="F121" s="135"/>
      <c r="G121" s="136"/>
      <c r="H121" s="137"/>
    </row>
    <row r="122" spans="2:8" ht="14.25" customHeight="1" x14ac:dyDescent="0.3">
      <c r="B122" s="348"/>
      <c r="C122" s="348"/>
      <c r="D122" s="348"/>
      <c r="E122" s="134"/>
      <c r="F122" s="135"/>
      <c r="G122" s="136"/>
      <c r="H122" s="137"/>
    </row>
    <row r="123" spans="2:8" ht="20.25" customHeight="1" x14ac:dyDescent="0.4">
      <c r="B123" s="203"/>
      <c r="C123" s="481"/>
      <c r="D123" s="482"/>
      <c r="E123" s="483"/>
      <c r="F123" s="482"/>
      <c r="G123" s="484"/>
      <c r="H123" s="202"/>
    </row>
    <row r="127" spans="2:8" ht="17.75" customHeight="1" x14ac:dyDescent="0.3">
      <c r="B127" s="1465"/>
      <c r="C127" s="1458"/>
      <c r="D127" s="1458"/>
      <c r="E127" s="1458"/>
      <c r="F127" s="1458"/>
      <c r="G127" s="1458"/>
      <c r="H127" s="1458"/>
    </row>
    <row r="128" spans="2:8" ht="17.75" customHeight="1" x14ac:dyDescent="0.3">
      <c r="B128" s="1465"/>
      <c r="C128" s="1458"/>
      <c r="D128" s="1458"/>
      <c r="E128" s="1458"/>
      <c r="F128" s="1458"/>
      <c r="G128" s="1458"/>
      <c r="H128" s="1458"/>
    </row>
    <row r="129" spans="1:8" ht="25.5" customHeight="1" x14ac:dyDescent="0.25">
      <c r="A129" s="370"/>
      <c r="B129" s="370"/>
      <c r="C129" s="347"/>
      <c r="D129" s="370"/>
      <c r="E129" s="346"/>
      <c r="F129" s="370"/>
      <c r="G129" s="370"/>
      <c r="H129" s="346"/>
    </row>
    <row r="130" spans="1:8" ht="14.25" customHeight="1" x14ac:dyDescent="0.25">
      <c r="A130" s="370"/>
      <c r="B130" s="348"/>
      <c r="C130" s="348"/>
      <c r="D130" s="348"/>
      <c r="E130" s="134"/>
      <c r="F130" s="135"/>
      <c r="G130" s="251"/>
      <c r="H130" s="899"/>
    </row>
    <row r="131" spans="1:8" ht="14.25" customHeight="1" x14ac:dyDescent="0.3">
      <c r="B131" s="348"/>
      <c r="C131" s="348"/>
      <c r="D131" s="348"/>
      <c r="E131" s="134"/>
      <c r="F131" s="135"/>
      <c r="G131" s="136"/>
      <c r="H131" s="137"/>
    </row>
    <row r="132" spans="1:8" ht="14.25" customHeight="1" x14ac:dyDescent="0.3">
      <c r="B132" s="348"/>
      <c r="C132" s="348"/>
      <c r="D132" s="348"/>
      <c r="E132" s="134"/>
      <c r="F132" s="135"/>
      <c r="G132" s="136"/>
      <c r="H132" s="137"/>
    </row>
    <row r="133" spans="1:8" ht="14.25" customHeight="1" x14ac:dyDescent="0.3">
      <c r="B133" s="348"/>
      <c r="C133" s="348"/>
      <c r="D133" s="348"/>
      <c r="E133" s="134"/>
      <c r="F133" s="135"/>
      <c r="G133" s="136"/>
      <c r="H133" s="137"/>
    </row>
    <row r="134" spans="1:8" ht="14.25" customHeight="1" x14ac:dyDescent="0.3">
      <c r="B134" s="348"/>
      <c r="C134" s="348"/>
      <c r="D134" s="348"/>
      <c r="E134" s="134"/>
      <c r="F134" s="135"/>
      <c r="G134" s="136"/>
      <c r="H134" s="137"/>
    </row>
    <row r="135" spans="1:8" ht="14.25" customHeight="1" x14ac:dyDescent="0.3">
      <c r="B135" s="348"/>
      <c r="C135" s="348"/>
      <c r="D135" s="348"/>
      <c r="E135" s="134"/>
      <c r="F135" s="135"/>
      <c r="G135" s="136"/>
      <c r="H135" s="137"/>
    </row>
    <row r="136" spans="1:8" ht="14.25" customHeight="1" x14ac:dyDescent="0.3">
      <c r="B136" s="348"/>
      <c r="C136" s="348"/>
      <c r="D136" s="348"/>
      <c r="E136" s="134"/>
      <c r="F136" s="135"/>
      <c r="G136" s="136"/>
      <c r="H136" s="137"/>
    </row>
    <row r="137" spans="1:8" ht="14.25" customHeight="1" x14ac:dyDescent="0.3">
      <c r="B137" s="348"/>
      <c r="C137" s="348"/>
      <c r="D137" s="348"/>
      <c r="E137" s="134"/>
      <c r="F137" s="135"/>
      <c r="G137" s="136"/>
      <c r="H137" s="137"/>
    </row>
    <row r="138" spans="1:8" ht="14.25" customHeight="1" x14ac:dyDescent="0.3">
      <c r="B138" s="348"/>
      <c r="C138" s="348"/>
      <c r="D138" s="348"/>
      <c r="E138" s="134"/>
      <c r="F138" s="135"/>
      <c r="G138" s="136"/>
      <c r="H138" s="137"/>
    </row>
    <row r="139" spans="1:8" ht="14.25" customHeight="1" x14ac:dyDescent="0.3">
      <c r="B139" s="348"/>
      <c r="C139" s="348"/>
      <c r="D139" s="348"/>
      <c r="E139" s="134"/>
      <c r="F139" s="135"/>
      <c r="G139" s="136"/>
      <c r="H139" s="137"/>
    </row>
    <row r="140" spans="1:8" ht="14.25" customHeight="1" x14ac:dyDescent="0.3">
      <c r="B140" s="348"/>
      <c r="C140" s="348"/>
      <c r="D140" s="348"/>
      <c r="E140" s="134"/>
      <c r="F140" s="135"/>
      <c r="G140" s="136"/>
      <c r="H140" s="137"/>
    </row>
    <row r="141" spans="1:8" ht="14.25" customHeight="1" x14ac:dyDescent="0.3">
      <c r="B141" s="348"/>
      <c r="C141" s="348"/>
      <c r="D141" s="348"/>
      <c r="E141" s="134"/>
      <c r="F141" s="135"/>
      <c r="G141" s="136"/>
      <c r="H141" s="137"/>
    </row>
    <row r="142" spans="1:8" ht="14.25" customHeight="1" x14ac:dyDescent="0.3">
      <c r="B142" s="348"/>
      <c r="C142" s="348"/>
      <c r="D142" s="348"/>
      <c r="E142" s="134"/>
      <c r="F142" s="135"/>
      <c r="G142" s="136"/>
      <c r="H142" s="137"/>
    </row>
    <row r="143" spans="1:8" ht="14.25" customHeight="1" x14ac:dyDescent="0.3">
      <c r="B143" s="348"/>
      <c r="C143" s="348"/>
      <c r="D143" s="348"/>
      <c r="E143" s="134"/>
      <c r="F143" s="135"/>
      <c r="G143" s="136"/>
      <c r="H143" s="137"/>
    </row>
    <row r="144" spans="1:8" ht="20.25" customHeight="1" x14ac:dyDescent="0.4">
      <c r="B144" s="203"/>
      <c r="C144" s="481"/>
      <c r="D144" s="482"/>
      <c r="E144" s="483"/>
      <c r="F144" s="482"/>
      <c r="G144" s="484"/>
      <c r="H144" s="202"/>
    </row>
  </sheetData>
  <mergeCells count="12">
    <mergeCell ref="B128:H128"/>
    <mergeCell ref="B107:H107"/>
    <mergeCell ref="B85:H85"/>
    <mergeCell ref="AE2:AG3"/>
    <mergeCell ref="B127:H127"/>
    <mergeCell ref="B65:H65"/>
    <mergeCell ref="B106:H106"/>
    <mergeCell ref="R26:U26"/>
    <mergeCell ref="R25:U25"/>
    <mergeCell ref="B64:H64"/>
    <mergeCell ref="B86:H86"/>
    <mergeCell ref="B2:H3"/>
  </mergeCells>
  <printOptions horizontalCentered="1"/>
  <pageMargins left="0.5" right="0.5" top="1" bottom="0.5" header="0.3" footer="0.511811023622047"/>
  <pageSetup paperSize="9" scale="32" orientation="portrait" r:id="rId1"/>
  <legacyDrawing r:id="rId2"/>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66">
    <tabColor rgb="FFC55A11"/>
    <pageSetUpPr fitToPage="1"/>
  </sheetPr>
  <dimension ref="A1:AG159"/>
  <sheetViews>
    <sheetView topLeftCell="O1" zoomScale="70" zoomScaleNormal="70" workbookViewId="0">
      <selection activeCell="Q43" sqref="Q43:T44"/>
    </sheetView>
  </sheetViews>
  <sheetFormatPr defaultColWidth="12.5" defaultRowHeight="14" x14ac:dyDescent="0.3"/>
  <cols>
    <col min="1" max="1" width="16.33203125" style="1" customWidth="1"/>
    <col min="2" max="2" width="38.25" customWidth="1"/>
    <col min="3" max="3" width="16.9140625" customWidth="1"/>
    <col min="4" max="4" width="19" customWidth="1"/>
    <col min="5" max="5" width="16.1640625" customWidth="1"/>
    <col min="6" max="6" width="23.08203125" customWidth="1"/>
    <col min="7" max="7" width="25.1640625" customWidth="1"/>
    <col min="8" max="8" width="19.83203125" customWidth="1"/>
    <col min="9" max="9" width="18" customWidth="1"/>
    <col min="12" max="12" width="8.33203125" customWidth="1"/>
    <col min="13" max="17" width="7.1640625" customWidth="1"/>
    <col min="18" max="18" width="32.58203125" bestFit="1" customWidth="1"/>
    <col min="23" max="23" width="29.4140625" customWidth="1"/>
    <col min="24" max="24" width="31.6640625" customWidth="1"/>
  </cols>
  <sheetData>
    <row r="1" spans="1:33" ht="24" customHeight="1" x14ac:dyDescent="0.3">
      <c r="A1" s="79" t="s">
        <v>235</v>
      </c>
      <c r="B1" s="80">
        <v>1000</v>
      </c>
      <c r="C1" s="88" t="s">
        <v>317</v>
      </c>
      <c r="D1" s="89">
        <f>$S$30/J1</f>
        <v>44828.125</v>
      </c>
      <c r="E1" s="90" t="s">
        <v>240</v>
      </c>
      <c r="F1" s="91" t="s">
        <v>467</v>
      </c>
      <c r="G1" s="90" t="s">
        <v>319</v>
      </c>
      <c r="H1" s="304">
        <f>H52</f>
        <v>28.69</v>
      </c>
      <c r="I1" s="92" t="s">
        <v>242</v>
      </c>
      <c r="J1" s="305">
        <v>0.64</v>
      </c>
      <c r="K1" s="99"/>
      <c r="Y1" s="90" t="s">
        <v>463</v>
      </c>
      <c r="Z1" s="835">
        <v>28190</v>
      </c>
      <c r="AA1" s="90" t="s">
        <v>578</v>
      </c>
      <c r="AB1" s="835">
        <v>500</v>
      </c>
      <c r="AC1" s="90" t="s">
        <v>567</v>
      </c>
      <c r="AD1" s="835">
        <v>194</v>
      </c>
    </row>
    <row r="2" spans="1:33" ht="12.75" customHeight="1" x14ac:dyDescent="0.3">
      <c r="A2" s="264"/>
      <c r="B2" s="1450" t="s">
        <v>468</v>
      </c>
      <c r="C2" s="1458"/>
      <c r="D2" s="1458"/>
      <c r="E2" s="1458"/>
      <c r="F2" s="1458"/>
      <c r="G2" s="1458"/>
      <c r="H2" s="1458"/>
      <c r="I2" s="1458"/>
      <c r="J2" s="1458"/>
      <c r="K2" s="1458"/>
      <c r="L2" s="292"/>
      <c r="M2" s="99"/>
      <c r="N2" s="99"/>
      <c r="AE2" s="1433"/>
      <c r="AF2" s="1458"/>
      <c r="AG2" s="1458"/>
    </row>
    <row r="3" spans="1:33" ht="12.75" customHeight="1" x14ac:dyDescent="0.3">
      <c r="A3" s="264"/>
      <c r="B3" s="1444"/>
      <c r="C3" s="1444"/>
      <c r="D3" s="1444"/>
      <c r="E3" s="1444"/>
      <c r="F3" s="1444"/>
      <c r="G3" s="1444"/>
      <c r="H3" s="1444"/>
      <c r="I3" s="1444"/>
      <c r="J3" s="1444"/>
      <c r="K3" s="1444"/>
      <c r="L3" s="292"/>
      <c r="M3" s="99"/>
      <c r="N3" s="99"/>
      <c r="AE3" s="1458"/>
      <c r="AF3" s="1458"/>
      <c r="AG3" s="1458"/>
    </row>
    <row r="4" spans="1:33" ht="46.5" customHeight="1" x14ac:dyDescent="0.3">
      <c r="A4" s="90" t="s">
        <v>1</v>
      </c>
      <c r="B4" s="90" t="s">
        <v>245</v>
      </c>
      <c r="C4" s="306" t="s">
        <v>321</v>
      </c>
      <c r="D4" s="90" t="s">
        <v>322</v>
      </c>
      <c r="E4" s="107" t="s">
        <v>323</v>
      </c>
      <c r="F4" s="107" t="s">
        <v>324</v>
      </c>
      <c r="G4" s="307" t="s">
        <v>325</v>
      </c>
      <c r="H4" s="108" t="s">
        <v>326</v>
      </c>
      <c r="I4" s="90" t="s">
        <v>250</v>
      </c>
      <c r="J4" s="90" t="s">
        <v>251</v>
      </c>
      <c r="K4" s="90" t="s">
        <v>252</v>
      </c>
      <c r="L4" s="90" t="s">
        <v>253</v>
      </c>
    </row>
    <row r="5" spans="1:33" ht="14.25" customHeight="1" x14ac:dyDescent="0.3">
      <c r="A5" s="265" t="s">
        <v>225</v>
      </c>
      <c r="B5" s="22" t="s">
        <v>227</v>
      </c>
      <c r="C5" s="123" t="s">
        <v>14</v>
      </c>
      <c r="D5" s="267">
        <f>I51/H51</f>
        <v>1562.5</v>
      </c>
      <c r="E5" s="118">
        <f>I52/D5</f>
        <v>28.69</v>
      </c>
      <c r="F5" s="126">
        <v>1</v>
      </c>
      <c r="G5" s="116">
        <f>D1</f>
        <v>44828.125</v>
      </c>
      <c r="H5" s="405">
        <f>D1</f>
        <v>44828.125</v>
      </c>
      <c r="I5" s="80">
        <f>VLOOKUP(B5,All_Ingredients!$A$1:$F$149,6,FALSE())</f>
        <v>0.55000000000000004</v>
      </c>
      <c r="J5" s="118">
        <f>VLOOKUP(B5,All_Ingredients!$A$1:$J$149,10,FALSE())</f>
        <v>14.361111111111111</v>
      </c>
      <c r="K5" s="121">
        <f t="shared" ref="K5" si="0">(H5/I5)/1000</f>
        <v>81.505681818181813</v>
      </c>
      <c r="L5" s="121">
        <f t="shared" ref="L5" si="1">K5*J5</f>
        <v>1170.5121527777776</v>
      </c>
    </row>
    <row r="6" spans="1:33" ht="14.25" customHeight="1" x14ac:dyDescent="0.3">
      <c r="A6" s="269" t="s">
        <v>95</v>
      </c>
      <c r="B6" s="22" t="s">
        <v>106</v>
      </c>
      <c r="C6" s="123" t="s">
        <v>14</v>
      </c>
      <c r="D6" s="124">
        <f>15*1.2</f>
        <v>18</v>
      </c>
      <c r="E6" s="196">
        <f t="shared" ref="E6:E13" si="2">$H$52</f>
        <v>28.69</v>
      </c>
      <c r="F6" s="126">
        <v>0.7</v>
      </c>
      <c r="G6" s="118">
        <f t="shared" ref="G6:G13" si="3">D6*E6</f>
        <v>516.42000000000007</v>
      </c>
      <c r="H6" s="119">
        <f t="shared" ref="H6:H13" si="4">G6*F6</f>
        <v>361.49400000000003</v>
      </c>
      <c r="I6" s="80">
        <f>VLOOKUP(B6,All_Ingredients!$A$1:$F$149,6,FALSE())</f>
        <v>1</v>
      </c>
      <c r="J6" s="118">
        <f>VLOOKUP(B6,All_Ingredients!$A$1:$J$149,10,FALSE())</f>
        <v>15</v>
      </c>
      <c r="K6" s="121">
        <f t="shared" ref="K6:K13" si="5">(H6/I6)/1000</f>
        <v>0.36149400000000004</v>
      </c>
      <c r="L6" s="121">
        <f t="shared" ref="L6:L13" si="6">K6*J6</f>
        <v>5.4224100000000002</v>
      </c>
    </row>
    <row r="7" spans="1:33" ht="14.25" customHeight="1" x14ac:dyDescent="0.3">
      <c r="A7" s="269" t="s">
        <v>206</v>
      </c>
      <c r="B7" s="322" t="s">
        <v>205</v>
      </c>
      <c r="C7" s="123" t="s">
        <v>161</v>
      </c>
      <c r="D7" s="124">
        <f>600*1.2</f>
        <v>720</v>
      </c>
      <c r="E7" s="196">
        <f t="shared" si="2"/>
        <v>28.69</v>
      </c>
      <c r="F7" s="126">
        <v>1</v>
      </c>
      <c r="G7" s="118">
        <f t="shared" si="3"/>
        <v>20656.8</v>
      </c>
      <c r="H7" s="119">
        <f t="shared" si="4"/>
        <v>20656.8</v>
      </c>
      <c r="I7" s="80">
        <f>VLOOKUP(B7,All_Ingredients!$A$1:$F$149,6,FALSE())</f>
        <v>1</v>
      </c>
      <c r="J7" s="118">
        <f>VLOOKUP(B7,All_Ingredients!$A$1:$J$149,10,FALSE())</f>
        <v>0</v>
      </c>
      <c r="K7" s="121">
        <f t="shared" si="5"/>
        <v>20.6568</v>
      </c>
      <c r="L7" s="121">
        <f t="shared" si="6"/>
        <v>0</v>
      </c>
    </row>
    <row r="8" spans="1:33" ht="14.25" customHeight="1" x14ac:dyDescent="0.3">
      <c r="A8" s="269" t="s">
        <v>95</v>
      </c>
      <c r="B8" s="293" t="s">
        <v>127</v>
      </c>
      <c r="C8" s="123" t="s">
        <v>14</v>
      </c>
      <c r="D8" s="124">
        <f>10*1.2</f>
        <v>12</v>
      </c>
      <c r="E8" s="196">
        <f t="shared" si="2"/>
        <v>28.69</v>
      </c>
      <c r="F8" s="126">
        <v>0.25</v>
      </c>
      <c r="G8" s="118">
        <f t="shared" si="3"/>
        <v>344.28000000000003</v>
      </c>
      <c r="H8" s="119">
        <f t="shared" si="4"/>
        <v>86.070000000000007</v>
      </c>
      <c r="I8" s="80">
        <f>VLOOKUP(B8,All_Ingredients!$A$1:$F$149,6,FALSE())</f>
        <v>1</v>
      </c>
      <c r="J8" s="118">
        <f>VLOOKUP(B8,All_Ingredients!$A$1:$J$149,10,FALSE())</f>
        <v>125</v>
      </c>
      <c r="K8" s="121">
        <f t="shared" si="5"/>
        <v>8.6070000000000008E-2</v>
      </c>
      <c r="L8" s="121">
        <f t="shared" si="6"/>
        <v>10.758750000000001</v>
      </c>
    </row>
    <row r="9" spans="1:33" ht="14.25" customHeight="1" x14ac:dyDescent="0.3">
      <c r="A9" s="269" t="s">
        <v>192</v>
      </c>
      <c r="B9" s="293" t="s">
        <v>731</v>
      </c>
      <c r="C9" s="123" t="s">
        <v>14</v>
      </c>
      <c r="D9" s="124">
        <f>50*1.2</f>
        <v>60</v>
      </c>
      <c r="E9" s="196">
        <f t="shared" si="2"/>
        <v>28.69</v>
      </c>
      <c r="F9" s="126">
        <v>0.75</v>
      </c>
      <c r="G9" s="118">
        <f t="shared" si="3"/>
        <v>1721.4</v>
      </c>
      <c r="H9" s="119">
        <f t="shared" si="4"/>
        <v>1291.0500000000002</v>
      </c>
      <c r="I9" s="80">
        <f>VLOOKUP(B9,All_Ingredients!$A$1:$F$149,6,FALSE())</f>
        <v>1</v>
      </c>
      <c r="J9" s="118">
        <f>VLOOKUP(B9,All_Ingredients!$A$1:$J$149,10,FALSE())</f>
        <v>8.1520833333333336</v>
      </c>
      <c r="K9" s="121">
        <f t="shared" si="5"/>
        <v>1.2910500000000003</v>
      </c>
      <c r="L9" s="121">
        <f t="shared" si="6"/>
        <v>10.524747187500003</v>
      </c>
    </row>
    <row r="10" spans="1:33" ht="14.25" customHeight="1" x14ac:dyDescent="0.3">
      <c r="A10" s="269" t="s">
        <v>13</v>
      </c>
      <c r="B10" s="322" t="s">
        <v>32</v>
      </c>
      <c r="C10" s="123" t="s">
        <v>14</v>
      </c>
      <c r="D10" s="562">
        <f>17*1.2</f>
        <v>20.399999999999999</v>
      </c>
      <c r="E10" s="196">
        <f t="shared" si="2"/>
        <v>28.69</v>
      </c>
      <c r="F10" s="126">
        <v>0.75</v>
      </c>
      <c r="G10" s="118">
        <f t="shared" si="3"/>
        <v>585.27599999999995</v>
      </c>
      <c r="H10" s="119">
        <f t="shared" si="4"/>
        <v>438.95699999999999</v>
      </c>
      <c r="I10" s="80">
        <f>VLOOKUP(B10,All_Ingredients!$A$1:$F$149,6,FALSE())</f>
        <v>0.69</v>
      </c>
      <c r="J10" s="118">
        <f>VLOOKUP(B10,All_Ingredients!$A$1:$J$149,10,FALSE())</f>
        <v>4</v>
      </c>
      <c r="K10" s="121">
        <f t="shared" si="5"/>
        <v>0.63616956521739132</v>
      </c>
      <c r="L10" s="121">
        <f t="shared" si="6"/>
        <v>2.5446782608695653</v>
      </c>
    </row>
    <row r="11" spans="1:33" ht="14.25" customHeight="1" x14ac:dyDescent="0.3">
      <c r="A11" s="269" t="s">
        <v>95</v>
      </c>
      <c r="B11" s="22" t="s">
        <v>137</v>
      </c>
      <c r="C11" s="123" t="s">
        <v>14</v>
      </c>
      <c r="D11" s="124">
        <f>20*1.2</f>
        <v>24</v>
      </c>
      <c r="E11" s="196">
        <f t="shared" si="2"/>
        <v>28.69</v>
      </c>
      <c r="F11" s="126">
        <v>0.5</v>
      </c>
      <c r="G11" s="118">
        <f t="shared" si="3"/>
        <v>688.56000000000006</v>
      </c>
      <c r="H11" s="119">
        <f t="shared" si="4"/>
        <v>344.28000000000003</v>
      </c>
      <c r="I11" s="80">
        <f>VLOOKUP(B11,All_Ingredients!$A$1:$F$149,6,FALSE())</f>
        <v>1</v>
      </c>
      <c r="J11" s="118">
        <f>VLOOKUP(B11,All_Ingredients!$A$1:$J$149,10,FALSE())</f>
        <v>43.75</v>
      </c>
      <c r="K11" s="121">
        <f t="shared" si="5"/>
        <v>0.34428000000000003</v>
      </c>
      <c r="L11" s="121">
        <f t="shared" si="6"/>
        <v>15.062250000000001</v>
      </c>
    </row>
    <row r="12" spans="1:33" ht="14.25" customHeight="1" x14ac:dyDescent="0.3">
      <c r="A12" s="269" t="s">
        <v>95</v>
      </c>
      <c r="B12" s="22" t="s">
        <v>108</v>
      </c>
      <c r="C12" s="123" t="s">
        <v>14</v>
      </c>
      <c r="D12" s="124">
        <f>15*1.2</f>
        <v>18</v>
      </c>
      <c r="E12" s="196">
        <f t="shared" si="2"/>
        <v>28.69</v>
      </c>
      <c r="F12" s="126">
        <v>0.7</v>
      </c>
      <c r="G12" s="118">
        <f t="shared" si="3"/>
        <v>516.42000000000007</v>
      </c>
      <c r="H12" s="119">
        <f t="shared" si="4"/>
        <v>361.49400000000003</v>
      </c>
      <c r="I12" s="80">
        <f>VLOOKUP(B12,All_Ingredients!$A$1:$F$149,6,FALSE())</f>
        <v>1</v>
      </c>
      <c r="J12" s="118">
        <f>VLOOKUP(B12,All_Ingredients!$A$1:$J$149,10,FALSE())</f>
        <v>8</v>
      </c>
      <c r="K12" s="121">
        <f t="shared" si="5"/>
        <v>0.36149400000000004</v>
      </c>
      <c r="L12" s="121">
        <f t="shared" si="6"/>
        <v>2.8919520000000003</v>
      </c>
    </row>
    <row r="13" spans="1:33" ht="14.25" customHeight="1" x14ac:dyDescent="0.3">
      <c r="A13" s="269" t="s">
        <v>95</v>
      </c>
      <c r="B13" s="22" t="s">
        <v>94</v>
      </c>
      <c r="C13" s="123" t="s">
        <v>14</v>
      </c>
      <c r="D13" s="124">
        <f>15*1.2</f>
        <v>18</v>
      </c>
      <c r="E13" s="196">
        <f t="shared" si="2"/>
        <v>28.69</v>
      </c>
      <c r="F13" s="126">
        <v>0.75</v>
      </c>
      <c r="G13" s="118">
        <f t="shared" si="3"/>
        <v>516.42000000000007</v>
      </c>
      <c r="H13" s="119">
        <f t="shared" si="4"/>
        <v>387.31500000000005</v>
      </c>
      <c r="I13" s="80">
        <f>VLOOKUP(B13,All_Ingredients!$A$1:$F$149,6,FALSE())</f>
        <v>1</v>
      </c>
      <c r="J13" s="118">
        <f>VLOOKUP(B13,All_Ingredients!$A$1:$J$149,10,FALSE())</f>
        <v>0.74</v>
      </c>
      <c r="K13" s="121">
        <f t="shared" si="5"/>
        <v>0.38731500000000008</v>
      </c>
      <c r="L13" s="121">
        <f t="shared" si="6"/>
        <v>0.28661310000000007</v>
      </c>
    </row>
    <row r="24" spans="18:29" x14ac:dyDescent="0.3">
      <c r="Z24" s="1265"/>
    </row>
    <row r="25" spans="18:29" ht="15.75" customHeight="1" x14ac:dyDescent="0.35">
      <c r="R25" s="1528" t="str">
        <f>B2</f>
        <v>Beef Boukhary - بخاري لحم</v>
      </c>
      <c r="S25" s="1530"/>
      <c r="T25" s="1530"/>
      <c r="U25" s="1286"/>
      <c r="Z25" s="140" t="s">
        <v>256</v>
      </c>
      <c r="AA25" s="141">
        <v>1</v>
      </c>
      <c r="AB25" s="140" t="s">
        <v>253</v>
      </c>
      <c r="AC25" s="142">
        <f>AC30*AA25</f>
        <v>4.3326735975845111E-2</v>
      </c>
    </row>
    <row r="26" spans="18:29" ht="14.25" customHeight="1" x14ac:dyDescent="0.3">
      <c r="R26" s="1445" t="s">
        <v>328</v>
      </c>
      <c r="S26" s="1529"/>
      <c r="T26" s="1529"/>
      <c r="U26" s="1286"/>
      <c r="AB26" s="14"/>
      <c r="AC26" s="14"/>
    </row>
    <row r="27" spans="18:29" ht="14.25" customHeight="1" thickBot="1" x14ac:dyDescent="0.35">
      <c r="R27" s="230" t="s">
        <v>258</v>
      </c>
      <c r="S27" s="453" t="s">
        <v>387</v>
      </c>
      <c r="T27" s="453" t="s">
        <v>261</v>
      </c>
      <c r="U27" s="453" t="s">
        <v>817</v>
      </c>
      <c r="Z27" s="140" t="s">
        <v>262</v>
      </c>
      <c r="AA27" s="146" t="s">
        <v>263</v>
      </c>
      <c r="AB27" s="1167" t="s">
        <v>817</v>
      </c>
      <c r="AC27" s="146" t="s">
        <v>266</v>
      </c>
    </row>
    <row r="28" spans="18:29" ht="14.25" customHeight="1" thickBot="1" x14ac:dyDescent="0.35">
      <c r="R28" s="143" t="s">
        <v>329</v>
      </c>
      <c r="S28" s="1334">
        <f>$Z$1</f>
        <v>28190</v>
      </c>
      <c r="T28" s="1331">
        <f>S28</f>
        <v>28190</v>
      </c>
      <c r="U28" s="227">
        <f>SUM(H37:H38)</f>
        <v>207.58</v>
      </c>
      <c r="Z28" s="150"/>
      <c r="AA28" s="151">
        <f>AA25</f>
        <v>1</v>
      </c>
      <c r="AB28" s="1169"/>
      <c r="AC28" s="153">
        <f>SUM(AA28:AB28)</f>
        <v>1</v>
      </c>
    </row>
    <row r="29" spans="18:29" ht="14.25" customHeight="1" thickBot="1" x14ac:dyDescent="0.35">
      <c r="R29" s="143" t="s">
        <v>330</v>
      </c>
      <c r="S29" s="1332">
        <f>$AB$1</f>
        <v>500</v>
      </c>
      <c r="T29" s="1332">
        <f>S29</f>
        <v>500</v>
      </c>
      <c r="U29" s="229"/>
      <c r="Z29" s="150"/>
      <c r="AA29" s="155">
        <v>1</v>
      </c>
      <c r="AB29" s="1173"/>
      <c r="AC29" s="155">
        <f>AC28/$AC$28</f>
        <v>1</v>
      </c>
    </row>
    <row r="30" spans="18:29" ht="14.25" customHeight="1" thickBot="1" x14ac:dyDescent="0.35">
      <c r="R30" s="235" t="s">
        <v>331</v>
      </c>
      <c r="S30" s="227">
        <f>S28+S29</f>
        <v>28690</v>
      </c>
      <c r="T30" s="227">
        <f>T28+T29</f>
        <v>28690</v>
      </c>
      <c r="U30" s="227">
        <f>U28+U29</f>
        <v>207.58</v>
      </c>
      <c r="Z30" s="140" t="s">
        <v>270</v>
      </c>
      <c r="AA30" s="156">
        <f>S33/(S28)</f>
        <v>4.3206936975031821E-2</v>
      </c>
      <c r="AB30" s="1180">
        <f>U33/T30</f>
        <v>1.1979900081329151E-4</v>
      </c>
      <c r="AC30" s="1182">
        <f>SUMPRODUCT(AA30,AA29)+AB30</f>
        <v>4.3326735975845111E-2</v>
      </c>
    </row>
    <row r="31" spans="18:29" ht="14.25" customHeight="1" thickBot="1" x14ac:dyDescent="0.35">
      <c r="R31" s="236" t="s">
        <v>272</v>
      </c>
      <c r="S31" s="229"/>
      <c r="T31" s="229"/>
      <c r="U31" s="229"/>
    </row>
    <row r="32" spans="18:29" ht="14.25" customHeight="1" thickBot="1" x14ac:dyDescent="0.35">
      <c r="R32" s="237" t="s">
        <v>273</v>
      </c>
      <c r="S32" s="229"/>
      <c r="T32" s="229"/>
      <c r="U32" s="229"/>
    </row>
    <row r="33" spans="2:23" ht="18.75" customHeight="1" thickBot="1" x14ac:dyDescent="0.35">
      <c r="R33" s="1287" t="s">
        <v>253</v>
      </c>
      <c r="S33" s="1125">
        <f>SUM(L5:L13)</f>
        <v>1218.0035533261471</v>
      </c>
      <c r="T33" s="1263">
        <f>S33+U33</f>
        <v>1221.4405866594805</v>
      </c>
      <c r="U33" s="1263">
        <f>SUM(L37:L38)</f>
        <v>3.4370333333333334</v>
      </c>
    </row>
    <row r="35" spans="2:23" ht="15.5" x14ac:dyDescent="0.3">
      <c r="B35" s="1484" t="s">
        <v>695</v>
      </c>
      <c r="C35" s="1484"/>
      <c r="D35" s="1484"/>
      <c r="E35" s="1484"/>
      <c r="F35" s="1484"/>
      <c r="G35" s="870"/>
      <c r="H35" s="870"/>
      <c r="I35" s="877"/>
      <c r="J35" s="877"/>
      <c r="K35" s="877"/>
      <c r="L35" s="877"/>
    </row>
    <row r="36" spans="2:23" ht="46.5" x14ac:dyDescent="0.3">
      <c r="B36" s="848" t="s">
        <v>245</v>
      </c>
      <c r="C36" s="848" t="s">
        <v>321</v>
      </c>
      <c r="D36" s="850" t="s">
        <v>645</v>
      </c>
      <c r="E36" s="847" t="s">
        <v>646</v>
      </c>
      <c r="F36" s="850" t="s">
        <v>647</v>
      </c>
      <c r="G36" s="870"/>
      <c r="H36" s="850" t="s">
        <v>647</v>
      </c>
      <c r="I36" s="850" t="s">
        <v>250</v>
      </c>
      <c r="J36" s="850" t="s">
        <v>251</v>
      </c>
      <c r="K36" s="850" t="s">
        <v>252</v>
      </c>
      <c r="L36" s="850" t="s">
        <v>253</v>
      </c>
    </row>
    <row r="37" spans="2:23" x14ac:dyDescent="0.3">
      <c r="B37" s="843" t="s">
        <v>186</v>
      </c>
      <c r="C37" s="844" t="s">
        <v>14</v>
      </c>
      <c r="D37" s="845">
        <v>1</v>
      </c>
      <c r="E37" s="843">
        <f>$AD$1</f>
        <v>194</v>
      </c>
      <c r="F37" s="843">
        <f>D37*E37</f>
        <v>194</v>
      </c>
      <c r="G37" s="869"/>
      <c r="H37" s="843">
        <f>F37</f>
        <v>194</v>
      </c>
      <c r="I37" s="843">
        <f>VLOOKUP(B37,All_Ingredients!$A$1:$F$149,6,FALSE())</f>
        <v>1</v>
      </c>
      <c r="J37" s="843">
        <f>VLOOKUP(B37,All_Ingredients!$A$1:$J$149,10,FALSE())</f>
        <v>17.5</v>
      </c>
      <c r="K37" s="843">
        <f>(H37/I37)/1000</f>
        <v>0.19400000000000001</v>
      </c>
      <c r="L37" s="843">
        <f>K37*J37</f>
        <v>3.395</v>
      </c>
    </row>
    <row r="38" spans="2:23" x14ac:dyDescent="0.3">
      <c r="B38" s="843" t="s">
        <v>19</v>
      </c>
      <c r="C38" s="844" t="s">
        <v>14</v>
      </c>
      <c r="D38" s="845">
        <v>7.0000000000000007E-2</v>
      </c>
      <c r="E38" s="843">
        <f>$AD$1</f>
        <v>194</v>
      </c>
      <c r="F38" s="843">
        <f>D38*E38</f>
        <v>13.580000000000002</v>
      </c>
      <c r="G38" s="869"/>
      <c r="H38" s="843">
        <f>F38</f>
        <v>13.580000000000002</v>
      </c>
      <c r="I38" s="843">
        <f>VLOOKUP(B38,All_Ingredients!$A$1:$F$149,6,FALSE())</f>
        <v>0.84</v>
      </c>
      <c r="J38" s="843">
        <f>VLOOKUP(B38,All_Ingredients!$A$1:$J$149,10,FALSE())</f>
        <v>2.6</v>
      </c>
      <c r="K38" s="843">
        <f>(H38/I38)/1000</f>
        <v>1.6166666666666669E-2</v>
      </c>
      <c r="L38" s="843">
        <f>K38*J38</f>
        <v>4.2033333333333339E-2</v>
      </c>
    </row>
    <row r="39" spans="2:23" x14ac:dyDescent="0.3">
      <c r="B39" s="4"/>
    </row>
    <row r="40" spans="2:23" ht="14.25" customHeight="1" x14ac:dyDescent="0.3">
      <c r="Q40" s="14"/>
      <c r="R40" s="164" t="s">
        <v>332</v>
      </c>
      <c r="S40" s="238">
        <f>S28/T28</f>
        <v>1</v>
      </c>
    </row>
    <row r="41" spans="2:23" ht="14.25" customHeight="1" x14ac:dyDescent="0.3">
      <c r="Q41" s="14"/>
      <c r="R41" s="14"/>
      <c r="S41" s="14"/>
      <c r="T41" s="14"/>
      <c r="U41" s="168"/>
      <c r="V41" s="14"/>
      <c r="W41" s="14"/>
    </row>
    <row r="42" spans="2:23" ht="14.25" customHeight="1" x14ac:dyDescent="0.3">
      <c r="Q42" s="14"/>
      <c r="R42" s="14"/>
      <c r="S42" s="14"/>
      <c r="T42" s="14"/>
      <c r="U42" s="14"/>
      <c r="V42" s="14"/>
      <c r="W42" s="14"/>
    </row>
    <row r="43" spans="2:23" ht="14.25" customHeight="1" x14ac:dyDescent="0.3">
      <c r="Q43" s="169" t="s">
        <v>276</v>
      </c>
      <c r="R43" s="169" t="s">
        <v>277</v>
      </c>
      <c r="S43" s="169" t="s">
        <v>278</v>
      </c>
      <c r="T43" s="169" t="s">
        <v>279</v>
      </c>
      <c r="U43" s="169" t="s">
        <v>280</v>
      </c>
      <c r="V43" s="169" t="s">
        <v>281</v>
      </c>
      <c r="W43" s="257" t="s">
        <v>333</v>
      </c>
    </row>
    <row r="44" spans="2:23" ht="14.25" customHeight="1" x14ac:dyDescent="0.3">
      <c r="Q44" s="171">
        <v>10000</v>
      </c>
      <c r="R44" s="172">
        <v>0</v>
      </c>
      <c r="S44" s="240">
        <v>0</v>
      </c>
      <c r="T44" s="240">
        <v>0</v>
      </c>
      <c r="U44" s="241">
        <f>R44*S44</f>
        <v>0</v>
      </c>
      <c r="V44" s="175">
        <f>R44*T44</f>
        <v>0</v>
      </c>
      <c r="W44" s="259">
        <f>Q44-U44</f>
        <v>10000</v>
      </c>
    </row>
    <row r="50" spans="1:12" ht="14.5" thickBot="1" x14ac:dyDescent="0.35">
      <c r="G50" s="145" t="s">
        <v>284</v>
      </c>
      <c r="H50" s="145" t="s">
        <v>237</v>
      </c>
      <c r="I50" s="145" t="s">
        <v>285</v>
      </c>
      <c r="J50" s="145" t="s">
        <v>286</v>
      </c>
    </row>
    <row r="51" spans="1:12" ht="14.5" thickBot="1" x14ac:dyDescent="0.35">
      <c r="G51" s="309" t="s">
        <v>469</v>
      </c>
      <c r="H51" s="310">
        <v>10</v>
      </c>
      <c r="I51" s="310">
        <f t="shared" ref="I51:I58" si="7">J51/$J$1</f>
        <v>15625</v>
      </c>
      <c r="J51" s="311">
        <f>$W$44</f>
        <v>10000</v>
      </c>
    </row>
    <row r="52" spans="1:12" x14ac:dyDescent="0.3">
      <c r="G52" s="161" t="s">
        <v>266</v>
      </c>
      <c r="H52" s="312">
        <f>$E$5</f>
        <v>28.69</v>
      </c>
      <c r="I52" s="313">
        <f t="shared" si="7"/>
        <v>44828.125</v>
      </c>
      <c r="J52" s="314">
        <f>$S$30</f>
        <v>28690</v>
      </c>
    </row>
    <row r="53" spans="1:12" x14ac:dyDescent="0.3">
      <c r="D53" s="489"/>
      <c r="G53" s="147" t="s">
        <v>288</v>
      </c>
      <c r="H53" s="315">
        <f>MIN($H$52, $H$51)</f>
        <v>10</v>
      </c>
      <c r="I53" s="175">
        <f t="shared" si="7"/>
        <v>15625</v>
      </c>
      <c r="J53" s="316">
        <f>MIN(MAX($J$52,0),$J$51)</f>
        <v>10000</v>
      </c>
    </row>
    <row r="54" spans="1:12" x14ac:dyDescent="0.3">
      <c r="D54" s="489"/>
      <c r="G54" s="147" t="s">
        <v>289</v>
      </c>
      <c r="H54" s="315">
        <f>MIN(MAX($H$52-H53,0),$H$51)</f>
        <v>10</v>
      </c>
      <c r="I54" s="175">
        <f t="shared" si="7"/>
        <v>15625</v>
      </c>
      <c r="J54" s="183">
        <f>MIN(MAX($J$52-J53,0),$J$51)</f>
        <v>10000</v>
      </c>
    </row>
    <row r="55" spans="1:12" x14ac:dyDescent="0.3">
      <c r="D55" s="489"/>
      <c r="G55" s="144" t="s">
        <v>290</v>
      </c>
      <c r="H55" s="315">
        <f>MIN(MAX($H$52-H53-H54,0),$H$51)</f>
        <v>8.6900000000000013</v>
      </c>
      <c r="I55" s="175">
        <f t="shared" si="7"/>
        <v>13578.125</v>
      </c>
      <c r="J55" s="316">
        <f>MIN(MAX($J$52-J53-J54,0),$J$51)</f>
        <v>8690</v>
      </c>
    </row>
    <row r="56" spans="1:12" x14ac:dyDescent="0.3">
      <c r="G56" s="144" t="s">
        <v>297</v>
      </c>
      <c r="H56" s="315">
        <f>MIN(MAX($H$52-H53-H54-H55,0),$H$51)</f>
        <v>0</v>
      </c>
      <c r="I56" s="175">
        <f t="shared" si="7"/>
        <v>0</v>
      </c>
      <c r="J56" s="316">
        <f>MIN(MAX($J$52-J53-J54-J55,0),$J$51)</f>
        <v>0</v>
      </c>
    </row>
    <row r="57" spans="1:12" ht="14.25" customHeight="1" x14ac:dyDescent="0.3">
      <c r="A57" s="99"/>
      <c r="F57" s="99"/>
      <c r="G57" s="144" t="s">
        <v>348</v>
      </c>
      <c r="H57" s="315">
        <f>MIN(MAX($H$52-H53-H54-H55-H56,0),$H$51)</f>
        <v>0</v>
      </c>
      <c r="I57" s="175">
        <f t="shared" si="7"/>
        <v>0</v>
      </c>
      <c r="J57" s="316">
        <f>MIN(MAX($J$52-J53-J54-J55-J56,0),$J$51)</f>
        <v>0</v>
      </c>
      <c r="L57" s="208"/>
    </row>
    <row r="58" spans="1:12" ht="14.25" customHeight="1" x14ac:dyDescent="0.3">
      <c r="A58" s="99"/>
      <c r="F58" s="99"/>
      <c r="G58" s="144" t="s">
        <v>461</v>
      </c>
      <c r="H58" s="315">
        <f>MIN(MAX($H$52-H53-H54-H55-H56-H57,0),$H$51)</f>
        <v>0</v>
      </c>
      <c r="I58" s="175">
        <f t="shared" si="7"/>
        <v>0</v>
      </c>
      <c r="J58" s="316">
        <f>MIN(MAX($J$52-J53-J54-J55-J56-J57,0),$J$51)</f>
        <v>0</v>
      </c>
      <c r="L58" s="208"/>
    </row>
    <row r="59" spans="1:12" ht="14.25" customHeight="1" x14ac:dyDescent="0.3">
      <c r="A59" s="99"/>
      <c r="F59" s="99"/>
    </row>
    <row r="60" spans="1:12" ht="14.25" customHeight="1" x14ac:dyDescent="0.3">
      <c r="A60" s="99"/>
      <c r="F60" s="99"/>
    </row>
    <row r="61" spans="1:12" ht="14.25" customHeight="1" x14ac:dyDescent="0.3">
      <c r="A61" s="99"/>
      <c r="F61" s="99"/>
    </row>
    <row r="62" spans="1:12" ht="14.25" customHeight="1" x14ac:dyDescent="0.3">
      <c r="A62" s="321"/>
      <c r="B62" s="1438" t="str">
        <f>"بخاري لحم  1 / " &amp; COUNTIF($H$53:$H$58, "&gt;0")</f>
        <v>بخاري لحم  1 / 3</v>
      </c>
      <c r="C62" s="1439"/>
      <c r="D62" s="1439"/>
      <c r="E62" s="1439"/>
      <c r="F62" s="1439"/>
      <c r="G62" s="1439"/>
      <c r="H62" s="1439"/>
    </row>
    <row r="63" spans="1:12" ht="14.25" customHeight="1" x14ac:dyDescent="0.3">
      <c r="A63" s="406"/>
      <c r="B63" s="1436" t="str">
        <f>"Beef Boukhary 1 / " &amp; COUNTIF($H$53:$H$58, "&gt;0")</f>
        <v>Beef Boukhary 1 / 3</v>
      </c>
      <c r="C63" s="1437"/>
      <c r="D63" s="1437"/>
      <c r="E63" s="1437"/>
      <c r="F63" s="1437"/>
      <c r="G63" s="1437"/>
      <c r="H63" s="1437"/>
    </row>
    <row r="64" spans="1:12" ht="56" customHeight="1" x14ac:dyDescent="0.3">
      <c r="A64" s="90"/>
      <c r="B64" s="90" t="s">
        <v>245</v>
      </c>
      <c r="C64" s="306" t="s">
        <v>321</v>
      </c>
      <c r="D64" s="90" t="s">
        <v>322</v>
      </c>
      <c r="E64" s="107" t="s">
        <v>323</v>
      </c>
      <c r="F64" s="107" t="s">
        <v>324</v>
      </c>
      <c r="G64" s="307" t="s">
        <v>325</v>
      </c>
      <c r="H64" s="108" t="s">
        <v>326</v>
      </c>
    </row>
    <row r="65" spans="1:8" ht="14.25" customHeight="1" x14ac:dyDescent="0.3">
      <c r="A65" s="218" t="s">
        <v>225</v>
      </c>
      <c r="B65" s="322" t="str">
        <f t="shared" ref="B65:D73" si="8">B5</f>
        <v>Indian Meat Alana  - لحم هندى ألانا</v>
      </c>
      <c r="C65" s="322" t="str">
        <f t="shared" si="8"/>
        <v>gm</v>
      </c>
      <c r="D65" s="323">
        <f t="shared" si="8"/>
        <v>1562.5</v>
      </c>
      <c r="E65" s="196">
        <f t="shared" ref="E65:E73" si="9">$H$53</f>
        <v>10</v>
      </c>
      <c r="F65" s="126">
        <f t="shared" ref="F65:F73" si="10">F5</f>
        <v>1</v>
      </c>
      <c r="G65" s="118">
        <f t="shared" ref="G65:G73" si="11">D65*E65</f>
        <v>15625</v>
      </c>
      <c r="H65" s="119">
        <f t="shared" ref="H65:H73" si="12">G65*F65</f>
        <v>15625</v>
      </c>
    </row>
    <row r="66" spans="1:8" ht="14.25" customHeight="1" x14ac:dyDescent="0.3">
      <c r="A66" s="269" t="s">
        <v>95</v>
      </c>
      <c r="B66" s="322" t="str">
        <f t="shared" si="8"/>
        <v>Cumin Powder - كمون مطحون</v>
      </c>
      <c r="C66" s="322" t="str">
        <f t="shared" si="8"/>
        <v>gm</v>
      </c>
      <c r="D66" s="322">
        <f t="shared" si="8"/>
        <v>18</v>
      </c>
      <c r="E66" s="196">
        <f t="shared" si="9"/>
        <v>10</v>
      </c>
      <c r="F66" s="126">
        <f t="shared" si="10"/>
        <v>0.7</v>
      </c>
      <c r="G66" s="80">
        <f t="shared" si="11"/>
        <v>180</v>
      </c>
      <c r="H66" s="119">
        <f t="shared" si="12"/>
        <v>125.99999999999999</v>
      </c>
    </row>
    <row r="67" spans="1:8" ht="17.75" customHeight="1" x14ac:dyDescent="0.3">
      <c r="A67" s="269" t="s">
        <v>206</v>
      </c>
      <c r="B67" s="322" t="str">
        <f t="shared" si="8"/>
        <v>Water - ماء</v>
      </c>
      <c r="C67" s="322" t="str">
        <f t="shared" si="8"/>
        <v>ml</v>
      </c>
      <c r="D67" s="322">
        <f t="shared" si="8"/>
        <v>720</v>
      </c>
      <c r="E67" s="196">
        <f t="shared" si="9"/>
        <v>10</v>
      </c>
      <c r="F67" s="126">
        <f t="shared" si="10"/>
        <v>1</v>
      </c>
      <c r="G67" s="80">
        <f t="shared" si="11"/>
        <v>7200</v>
      </c>
      <c r="H67" s="119">
        <f t="shared" si="12"/>
        <v>7200</v>
      </c>
    </row>
    <row r="68" spans="1:8" ht="17.75" customHeight="1" x14ac:dyDescent="0.3">
      <c r="A68" s="269" t="s">
        <v>95</v>
      </c>
      <c r="B68" s="322" t="str">
        <f t="shared" si="8"/>
        <v>Cardamom Whole - هيل حب</v>
      </c>
      <c r="C68" s="322" t="str">
        <f t="shared" si="8"/>
        <v>gm</v>
      </c>
      <c r="D68" s="322">
        <f t="shared" si="8"/>
        <v>12</v>
      </c>
      <c r="E68" s="196">
        <f t="shared" si="9"/>
        <v>10</v>
      </c>
      <c r="F68" s="126">
        <f t="shared" si="10"/>
        <v>0.25</v>
      </c>
      <c r="G68" s="80">
        <f t="shared" si="11"/>
        <v>120</v>
      </c>
      <c r="H68" s="119">
        <f t="shared" si="12"/>
        <v>30</v>
      </c>
    </row>
    <row r="69" spans="1:8" x14ac:dyDescent="0.3">
      <c r="A69" s="269" t="s">
        <v>192</v>
      </c>
      <c r="B69" s="322" t="str">
        <f t="shared" si="8"/>
        <v>Tomato Paste - صلصة طماطم</v>
      </c>
      <c r="C69" s="322" t="str">
        <f t="shared" si="8"/>
        <v>gm</v>
      </c>
      <c r="D69" s="322">
        <f t="shared" si="8"/>
        <v>60</v>
      </c>
      <c r="E69" s="196">
        <f t="shared" si="9"/>
        <v>10</v>
      </c>
      <c r="F69" s="126">
        <f t="shared" si="10"/>
        <v>0.75</v>
      </c>
      <c r="G69" s="80">
        <f t="shared" si="11"/>
        <v>600</v>
      </c>
      <c r="H69" s="119">
        <f t="shared" si="12"/>
        <v>450</v>
      </c>
    </row>
    <row r="70" spans="1:8" ht="14.25" customHeight="1" x14ac:dyDescent="0.3">
      <c r="A70" s="269" t="s">
        <v>13</v>
      </c>
      <c r="B70" s="322" t="str">
        <f t="shared" si="8"/>
        <v>Green Bell Pepper - فلفل أخضر رومى</v>
      </c>
      <c r="C70" s="322" t="str">
        <f t="shared" si="8"/>
        <v>gm</v>
      </c>
      <c r="D70" s="322">
        <f t="shared" si="8"/>
        <v>20.399999999999999</v>
      </c>
      <c r="E70" s="196">
        <f t="shared" si="9"/>
        <v>10</v>
      </c>
      <c r="F70" s="126">
        <f t="shared" si="10"/>
        <v>0.75</v>
      </c>
      <c r="G70" s="80">
        <f t="shared" si="11"/>
        <v>204</v>
      </c>
      <c r="H70" s="119">
        <f t="shared" si="12"/>
        <v>153</v>
      </c>
    </row>
    <row r="71" spans="1:8" ht="14.25" customHeight="1" x14ac:dyDescent="0.3">
      <c r="A71" s="269" t="s">
        <v>95</v>
      </c>
      <c r="B71" s="322" t="str">
        <f t="shared" si="8"/>
        <v>Kabsa Spices Powder - توابل كبسة بودر</v>
      </c>
      <c r="C71" s="322" t="str">
        <f t="shared" si="8"/>
        <v>gm</v>
      </c>
      <c r="D71" s="322">
        <f t="shared" si="8"/>
        <v>24</v>
      </c>
      <c r="E71" s="196">
        <f t="shared" si="9"/>
        <v>10</v>
      </c>
      <c r="F71" s="126">
        <f t="shared" si="10"/>
        <v>0.5</v>
      </c>
      <c r="G71" s="80">
        <f t="shared" si="11"/>
        <v>240</v>
      </c>
      <c r="H71" s="119">
        <f t="shared" si="12"/>
        <v>120</v>
      </c>
    </row>
    <row r="72" spans="1:8" ht="14.25" customHeight="1" x14ac:dyDescent="0.3">
      <c r="A72" s="269" t="s">
        <v>95</v>
      </c>
      <c r="B72" s="322" t="str">
        <f t="shared" si="8"/>
        <v>Coriander Powder - كزبرة مطحونة</v>
      </c>
      <c r="C72" s="322" t="str">
        <f t="shared" si="8"/>
        <v>gm</v>
      </c>
      <c r="D72" s="322">
        <f t="shared" si="8"/>
        <v>18</v>
      </c>
      <c r="E72" s="196">
        <f t="shared" si="9"/>
        <v>10</v>
      </c>
      <c r="F72" s="126">
        <f t="shared" si="10"/>
        <v>0.7</v>
      </c>
      <c r="G72" s="80">
        <f t="shared" si="11"/>
        <v>180</v>
      </c>
      <c r="H72" s="119">
        <f t="shared" si="12"/>
        <v>125.99999999999999</v>
      </c>
    </row>
    <row r="73" spans="1:8" ht="14.25" customHeight="1" x14ac:dyDescent="0.3">
      <c r="A73" s="269" t="s">
        <v>95</v>
      </c>
      <c r="B73" s="322" t="str">
        <f t="shared" si="8"/>
        <v>Salt - ملح</v>
      </c>
      <c r="C73" s="322" t="str">
        <f t="shared" si="8"/>
        <v>gm</v>
      </c>
      <c r="D73" s="322">
        <f t="shared" si="8"/>
        <v>18</v>
      </c>
      <c r="E73" s="196">
        <f t="shared" si="9"/>
        <v>10</v>
      </c>
      <c r="F73" s="126">
        <f t="shared" si="10"/>
        <v>0.75</v>
      </c>
      <c r="G73" s="80">
        <f t="shared" si="11"/>
        <v>180</v>
      </c>
      <c r="H73" s="119">
        <f t="shared" si="12"/>
        <v>135</v>
      </c>
    </row>
    <row r="74" spans="1:8" ht="14.25" customHeight="1" x14ac:dyDescent="0.3">
      <c r="A74" s="210"/>
      <c r="B74" s="197" t="s">
        <v>291</v>
      </c>
      <c r="C74" s="199" t="s">
        <v>277</v>
      </c>
      <c r="D74" s="14"/>
      <c r="E74" s="199" t="s">
        <v>292</v>
      </c>
      <c r="F74" s="14"/>
      <c r="G74" s="878" t="s">
        <v>268</v>
      </c>
      <c r="H74" s="878" t="s">
        <v>703</v>
      </c>
    </row>
    <row r="75" spans="1:8" ht="20.75" customHeight="1" x14ac:dyDescent="0.4">
      <c r="A75" s="210"/>
      <c r="B75" s="198">
        <f>$J$53</f>
        <v>10000</v>
      </c>
      <c r="C75" s="198">
        <f>E75+G75</f>
        <v>0</v>
      </c>
      <c r="D75" s="915"/>
      <c r="E75" s="198">
        <f>$C$53*$S$44</f>
        <v>0</v>
      </c>
      <c r="F75" s="919"/>
      <c r="G75" s="198">
        <f>$C$53*$T$44</f>
        <v>0</v>
      </c>
      <c r="H75" s="198">
        <f>B75+E75</f>
        <v>10000</v>
      </c>
    </row>
    <row r="76" spans="1:8" ht="14.25" customHeight="1" x14ac:dyDescent="0.3">
      <c r="B76" s="99"/>
      <c r="E76" s="99"/>
      <c r="F76" s="99"/>
    </row>
    <row r="77" spans="1:8" ht="14.25" customHeight="1" x14ac:dyDescent="0.3">
      <c r="A77" s="923"/>
      <c r="B77" s="1438" t="str">
        <f>"بخاري لحم  2 / " &amp; COUNTIF($H$53:$H$58, "&gt;0")</f>
        <v>بخاري لحم  2 / 3</v>
      </c>
      <c r="C77" s="1439"/>
      <c r="D77" s="1439"/>
      <c r="E77" s="1439"/>
      <c r="F77" s="1439"/>
      <c r="G77" s="1439"/>
      <c r="H77" s="1439"/>
    </row>
    <row r="78" spans="1:8" ht="14.25" customHeight="1" x14ac:dyDescent="0.3">
      <c r="A78" s="923"/>
      <c r="B78" s="1436" t="str">
        <f>"Beef Boukhary 2 / " &amp; COUNTIF($H$53:$H$58, "&gt;0")</f>
        <v>Beef Boukhary 2 / 3</v>
      </c>
      <c r="C78" s="1437"/>
      <c r="D78" s="1437"/>
      <c r="E78" s="1437"/>
      <c r="F78" s="1437"/>
      <c r="G78" s="1437"/>
      <c r="H78" s="1437"/>
    </row>
    <row r="79" spans="1:8" ht="50" customHeight="1" x14ac:dyDescent="0.3">
      <c r="A79" s="90"/>
      <c r="B79" s="90" t="s">
        <v>245</v>
      </c>
      <c r="C79" s="306" t="s">
        <v>321</v>
      </c>
      <c r="D79" s="90" t="s">
        <v>322</v>
      </c>
      <c r="E79" s="107" t="s">
        <v>323</v>
      </c>
      <c r="F79" s="107" t="s">
        <v>324</v>
      </c>
      <c r="G79" s="307" t="s">
        <v>325</v>
      </c>
      <c r="H79" s="108" t="s">
        <v>326</v>
      </c>
    </row>
    <row r="80" spans="1:8" ht="19.5" customHeight="1" x14ac:dyDescent="0.3">
      <c r="A80" s="218" t="s">
        <v>225</v>
      </c>
      <c r="B80" s="322" t="str">
        <f t="shared" ref="B80:D88" si="13">B5</f>
        <v>Indian Meat Alana  - لحم هندى ألانا</v>
      </c>
      <c r="C80" s="322" t="str">
        <f t="shared" si="13"/>
        <v>gm</v>
      </c>
      <c r="D80" s="118">
        <f t="shared" si="13"/>
        <v>1562.5</v>
      </c>
      <c r="E80" s="196">
        <f t="shared" ref="E80:E88" si="14">$H$54</f>
        <v>10</v>
      </c>
      <c r="F80" s="126">
        <f t="shared" ref="F80:F88" si="15">F5</f>
        <v>1</v>
      </c>
      <c r="G80" s="118">
        <f t="shared" ref="G80:G88" si="16">D80*E80</f>
        <v>15625</v>
      </c>
      <c r="H80" s="119">
        <f t="shared" ref="H80:H88" si="17">G80*F80</f>
        <v>15625</v>
      </c>
    </row>
    <row r="81" spans="1:8" ht="14.25" customHeight="1" x14ac:dyDescent="0.3">
      <c r="A81" s="269" t="s">
        <v>95</v>
      </c>
      <c r="B81" s="322" t="str">
        <f t="shared" si="13"/>
        <v>Cumin Powder - كمون مطحون</v>
      </c>
      <c r="C81" s="322" t="str">
        <f t="shared" si="13"/>
        <v>gm</v>
      </c>
      <c r="D81" s="322">
        <f t="shared" si="13"/>
        <v>18</v>
      </c>
      <c r="E81" s="196">
        <f t="shared" si="14"/>
        <v>10</v>
      </c>
      <c r="F81" s="126">
        <f t="shared" si="15"/>
        <v>0.7</v>
      </c>
      <c r="G81" s="118">
        <f t="shared" si="16"/>
        <v>180</v>
      </c>
      <c r="H81" s="119">
        <f t="shared" si="17"/>
        <v>125.99999999999999</v>
      </c>
    </row>
    <row r="82" spans="1:8" ht="17.75" customHeight="1" x14ac:dyDescent="0.3">
      <c r="A82" s="269" t="s">
        <v>206</v>
      </c>
      <c r="B82" s="322" t="str">
        <f t="shared" si="13"/>
        <v>Water - ماء</v>
      </c>
      <c r="C82" s="322" t="str">
        <f t="shared" si="13"/>
        <v>ml</v>
      </c>
      <c r="D82" s="322">
        <f t="shared" si="13"/>
        <v>720</v>
      </c>
      <c r="E82" s="196">
        <f t="shared" si="14"/>
        <v>10</v>
      </c>
      <c r="F82" s="126">
        <f t="shared" si="15"/>
        <v>1</v>
      </c>
      <c r="G82" s="118">
        <f t="shared" si="16"/>
        <v>7200</v>
      </c>
      <c r="H82" s="119">
        <f t="shared" si="17"/>
        <v>7200</v>
      </c>
    </row>
    <row r="83" spans="1:8" ht="17.75" customHeight="1" x14ac:dyDescent="0.3">
      <c r="A83" s="269" t="s">
        <v>95</v>
      </c>
      <c r="B83" s="322" t="str">
        <f t="shared" si="13"/>
        <v>Cardamom Whole - هيل حب</v>
      </c>
      <c r="C83" s="322" t="str">
        <f t="shared" si="13"/>
        <v>gm</v>
      </c>
      <c r="D83" s="322">
        <f t="shared" si="13"/>
        <v>12</v>
      </c>
      <c r="E83" s="196">
        <f t="shared" si="14"/>
        <v>10</v>
      </c>
      <c r="F83" s="126">
        <f t="shared" si="15"/>
        <v>0.25</v>
      </c>
      <c r="G83" s="118">
        <f t="shared" si="16"/>
        <v>120</v>
      </c>
      <c r="H83" s="119">
        <f t="shared" si="17"/>
        <v>30</v>
      </c>
    </row>
    <row r="84" spans="1:8" x14ac:dyDescent="0.3">
      <c r="A84" s="269" t="s">
        <v>192</v>
      </c>
      <c r="B84" s="322" t="str">
        <f t="shared" si="13"/>
        <v>Tomato Paste - صلصة طماطم</v>
      </c>
      <c r="C84" s="322" t="str">
        <f t="shared" si="13"/>
        <v>gm</v>
      </c>
      <c r="D84" s="322">
        <f t="shared" si="13"/>
        <v>60</v>
      </c>
      <c r="E84" s="196">
        <f t="shared" si="14"/>
        <v>10</v>
      </c>
      <c r="F84" s="126">
        <f t="shared" si="15"/>
        <v>0.75</v>
      </c>
      <c r="G84" s="118">
        <f t="shared" si="16"/>
        <v>600</v>
      </c>
      <c r="H84" s="119">
        <f t="shared" si="17"/>
        <v>450</v>
      </c>
    </row>
    <row r="85" spans="1:8" ht="14.25" customHeight="1" x14ac:dyDescent="0.3">
      <c r="A85" s="269" t="s">
        <v>13</v>
      </c>
      <c r="B85" s="322" t="str">
        <f t="shared" si="13"/>
        <v>Green Bell Pepper - فلفل أخضر رومى</v>
      </c>
      <c r="C85" s="322" t="str">
        <f t="shared" si="13"/>
        <v>gm</v>
      </c>
      <c r="D85" s="322">
        <f t="shared" si="13"/>
        <v>20.399999999999999</v>
      </c>
      <c r="E85" s="196">
        <f t="shared" si="14"/>
        <v>10</v>
      </c>
      <c r="F85" s="126">
        <f t="shared" si="15"/>
        <v>0.75</v>
      </c>
      <c r="G85" s="118">
        <f t="shared" si="16"/>
        <v>204</v>
      </c>
      <c r="H85" s="119">
        <f t="shared" si="17"/>
        <v>153</v>
      </c>
    </row>
    <row r="86" spans="1:8" ht="14.25" customHeight="1" x14ac:dyDescent="0.3">
      <c r="A86" s="269" t="s">
        <v>95</v>
      </c>
      <c r="B86" s="322" t="str">
        <f t="shared" si="13"/>
        <v>Kabsa Spices Powder - توابل كبسة بودر</v>
      </c>
      <c r="C86" s="322" t="str">
        <f t="shared" si="13"/>
        <v>gm</v>
      </c>
      <c r="D86" s="322">
        <f t="shared" si="13"/>
        <v>24</v>
      </c>
      <c r="E86" s="196">
        <f t="shared" si="14"/>
        <v>10</v>
      </c>
      <c r="F86" s="126">
        <f t="shared" si="15"/>
        <v>0.5</v>
      </c>
      <c r="G86" s="118">
        <f t="shared" si="16"/>
        <v>240</v>
      </c>
      <c r="H86" s="119">
        <f t="shared" si="17"/>
        <v>120</v>
      </c>
    </row>
    <row r="87" spans="1:8" ht="14.25" customHeight="1" x14ac:dyDescent="0.3">
      <c r="A87" s="269" t="s">
        <v>95</v>
      </c>
      <c r="B87" s="322" t="str">
        <f t="shared" si="13"/>
        <v>Coriander Powder - كزبرة مطحونة</v>
      </c>
      <c r="C87" s="322" t="str">
        <f t="shared" si="13"/>
        <v>gm</v>
      </c>
      <c r="D87" s="322">
        <f t="shared" si="13"/>
        <v>18</v>
      </c>
      <c r="E87" s="196">
        <f t="shared" si="14"/>
        <v>10</v>
      </c>
      <c r="F87" s="126">
        <f t="shared" si="15"/>
        <v>0.7</v>
      </c>
      <c r="G87" s="118">
        <f t="shared" si="16"/>
        <v>180</v>
      </c>
      <c r="H87" s="119">
        <f t="shared" si="17"/>
        <v>125.99999999999999</v>
      </c>
    </row>
    <row r="88" spans="1:8" ht="14.25" customHeight="1" x14ac:dyDescent="0.3">
      <c r="A88" s="269" t="s">
        <v>95</v>
      </c>
      <c r="B88" s="322" t="str">
        <f t="shared" si="13"/>
        <v>Salt - ملح</v>
      </c>
      <c r="C88" s="322" t="str">
        <f t="shared" si="13"/>
        <v>gm</v>
      </c>
      <c r="D88" s="322">
        <f t="shared" si="13"/>
        <v>18</v>
      </c>
      <c r="E88" s="196">
        <f t="shared" si="14"/>
        <v>10</v>
      </c>
      <c r="F88" s="126">
        <f t="shared" si="15"/>
        <v>0.75</v>
      </c>
      <c r="G88" s="118">
        <f t="shared" si="16"/>
        <v>180</v>
      </c>
      <c r="H88" s="119">
        <f t="shared" si="17"/>
        <v>135</v>
      </c>
    </row>
    <row r="89" spans="1:8" ht="14.25" customHeight="1" x14ac:dyDescent="0.3">
      <c r="A89" s="210"/>
      <c r="B89" s="197" t="s">
        <v>291</v>
      </c>
      <c r="C89" s="199" t="s">
        <v>277</v>
      </c>
      <c r="D89" s="14"/>
      <c r="E89" s="199" t="s">
        <v>292</v>
      </c>
      <c r="F89" s="14"/>
      <c r="G89" s="878" t="s">
        <v>268</v>
      </c>
      <c r="H89" s="878" t="s">
        <v>703</v>
      </c>
    </row>
    <row r="90" spans="1:8" ht="23.75" customHeight="1" x14ac:dyDescent="0.4">
      <c r="A90" s="210"/>
      <c r="B90" s="198">
        <f>$J$54</f>
        <v>10000</v>
      </c>
      <c r="C90" s="198">
        <f>E90+G90</f>
        <v>0</v>
      </c>
      <c r="D90" s="915"/>
      <c r="E90" s="198">
        <f>$D$54*$S$44</f>
        <v>0</v>
      </c>
      <c r="F90" s="919"/>
      <c r="G90" s="198">
        <f>$D$54*$T$44</f>
        <v>0</v>
      </c>
      <c r="H90" s="198">
        <f>B90+E90</f>
        <v>10000</v>
      </c>
    </row>
    <row r="91" spans="1:8" ht="14.25" customHeight="1" x14ac:dyDescent="0.3">
      <c r="B91" s="99"/>
      <c r="E91" s="99"/>
      <c r="F91" s="99"/>
    </row>
    <row r="92" spans="1:8" ht="14.25" customHeight="1" x14ac:dyDescent="0.3">
      <c r="B92" s="99"/>
      <c r="E92" s="99"/>
      <c r="F92" s="99"/>
    </row>
    <row r="93" spans="1:8" ht="14.25" customHeight="1" x14ac:dyDescent="0.3">
      <c r="B93" s="99"/>
      <c r="E93" s="99"/>
      <c r="F93" s="99"/>
    </row>
    <row r="94" spans="1:8" ht="20.25" customHeight="1" x14ac:dyDescent="0.3">
      <c r="A94" s="923"/>
      <c r="B94" s="1438" t="str">
        <f>"بخاري لحم  3 / " &amp; COUNTIF($H$53:$H$58, "&gt;0")</f>
        <v>بخاري لحم  3 / 3</v>
      </c>
      <c r="C94" s="1439"/>
      <c r="D94" s="1439"/>
      <c r="E94" s="1439"/>
      <c r="F94" s="1439"/>
      <c r="G94" s="1439"/>
      <c r="H94" s="1439"/>
    </row>
    <row r="95" spans="1:8" ht="22.25" customHeight="1" x14ac:dyDescent="0.3">
      <c r="A95" s="923"/>
      <c r="B95" s="1436" t="str">
        <f>"Beef Boukhary  3 / " &amp; COUNTIF($H$53:$H$58, "&gt;0")</f>
        <v>Beef Boukhary  3 / 3</v>
      </c>
      <c r="C95" s="1437"/>
      <c r="D95" s="1437"/>
      <c r="E95" s="1437"/>
      <c r="F95" s="1437"/>
      <c r="G95" s="1437"/>
      <c r="H95" s="1437"/>
    </row>
    <row r="96" spans="1:8" ht="44" customHeight="1" x14ac:dyDescent="0.3">
      <c r="A96" s="90"/>
      <c r="B96" s="90" t="s">
        <v>245</v>
      </c>
      <c r="C96" s="106" t="s">
        <v>246</v>
      </c>
      <c r="D96" s="90" t="s">
        <v>235</v>
      </c>
      <c r="E96" s="217" t="s">
        <v>238</v>
      </c>
      <c r="F96" s="107" t="s">
        <v>334</v>
      </c>
      <c r="G96" s="90" t="s">
        <v>248</v>
      </c>
      <c r="H96" s="217" t="s">
        <v>249</v>
      </c>
    </row>
    <row r="97" spans="1:8" ht="14.25" customHeight="1" x14ac:dyDescent="0.3">
      <c r="A97" s="218" t="s">
        <v>225</v>
      </c>
      <c r="B97" s="218" t="str">
        <f t="shared" ref="B97:D105" si="18">B5</f>
        <v>Indian Meat Alana  - لحم هندى ألانا</v>
      </c>
      <c r="C97" s="218" t="str">
        <f t="shared" si="18"/>
        <v>gm</v>
      </c>
      <c r="D97" s="118">
        <f t="shared" si="18"/>
        <v>1562.5</v>
      </c>
      <c r="E97" s="196">
        <f t="shared" ref="E97:E105" si="19">$H$55</f>
        <v>8.6900000000000013</v>
      </c>
      <c r="F97" s="324">
        <f t="shared" ref="F97:F105" si="20">F5</f>
        <v>1</v>
      </c>
      <c r="G97" s="118">
        <f t="shared" ref="G97:G105" si="21">D97*E97</f>
        <v>13578.125000000002</v>
      </c>
      <c r="H97" s="119">
        <f t="shared" ref="H97:H105" si="22">G97*F97</f>
        <v>13578.125000000002</v>
      </c>
    </row>
    <row r="98" spans="1:8" ht="14.25" customHeight="1" x14ac:dyDescent="0.3">
      <c r="A98" s="218" t="s">
        <v>95</v>
      </c>
      <c r="B98" s="218" t="str">
        <f t="shared" si="18"/>
        <v>Cumin Powder - كمون مطحون</v>
      </c>
      <c r="C98" s="218" t="str">
        <f t="shared" si="18"/>
        <v>gm</v>
      </c>
      <c r="D98" s="218">
        <f t="shared" si="18"/>
        <v>18</v>
      </c>
      <c r="E98" s="196">
        <f t="shared" si="19"/>
        <v>8.6900000000000013</v>
      </c>
      <c r="F98" s="324">
        <f t="shared" si="20"/>
        <v>0.7</v>
      </c>
      <c r="G98" s="118">
        <f t="shared" si="21"/>
        <v>156.42000000000002</v>
      </c>
      <c r="H98" s="119">
        <f t="shared" si="22"/>
        <v>109.494</v>
      </c>
    </row>
    <row r="99" spans="1:8" ht="16.25" customHeight="1" x14ac:dyDescent="0.3">
      <c r="A99" s="218" t="s">
        <v>206</v>
      </c>
      <c r="B99" s="218" t="str">
        <f t="shared" si="18"/>
        <v>Water - ماء</v>
      </c>
      <c r="C99" s="218" t="str">
        <f t="shared" si="18"/>
        <v>ml</v>
      </c>
      <c r="D99" s="218">
        <f t="shared" si="18"/>
        <v>720</v>
      </c>
      <c r="E99" s="196">
        <f t="shared" si="19"/>
        <v>8.6900000000000013</v>
      </c>
      <c r="F99" s="324">
        <f t="shared" si="20"/>
        <v>1</v>
      </c>
      <c r="G99" s="118">
        <f t="shared" si="21"/>
        <v>6256.8000000000011</v>
      </c>
      <c r="H99" s="119">
        <f t="shared" si="22"/>
        <v>6256.8000000000011</v>
      </c>
    </row>
    <row r="100" spans="1:8" ht="17.75" customHeight="1" x14ac:dyDescent="0.3">
      <c r="A100" s="218" t="s">
        <v>95</v>
      </c>
      <c r="B100" s="218" t="str">
        <f t="shared" si="18"/>
        <v>Cardamom Whole - هيل حب</v>
      </c>
      <c r="C100" s="218" t="str">
        <f t="shared" si="18"/>
        <v>gm</v>
      </c>
      <c r="D100" s="218">
        <f t="shared" si="18"/>
        <v>12</v>
      </c>
      <c r="E100" s="196">
        <f t="shared" si="19"/>
        <v>8.6900000000000013</v>
      </c>
      <c r="F100" s="324">
        <f t="shared" si="20"/>
        <v>0.25</v>
      </c>
      <c r="G100" s="118">
        <f t="shared" si="21"/>
        <v>104.28000000000002</v>
      </c>
      <c r="H100" s="119">
        <f t="shared" si="22"/>
        <v>26.070000000000004</v>
      </c>
    </row>
    <row r="101" spans="1:8" ht="49.5" customHeight="1" x14ac:dyDescent="0.3">
      <c r="A101" s="218" t="s">
        <v>192</v>
      </c>
      <c r="B101" s="218" t="str">
        <f t="shared" si="18"/>
        <v>Tomato Paste - صلصة طماطم</v>
      </c>
      <c r="C101" s="218" t="str">
        <f t="shared" si="18"/>
        <v>gm</v>
      </c>
      <c r="D101" s="218">
        <f t="shared" si="18"/>
        <v>60</v>
      </c>
      <c r="E101" s="196">
        <f t="shared" si="19"/>
        <v>8.6900000000000013</v>
      </c>
      <c r="F101" s="324">
        <f t="shared" si="20"/>
        <v>0.75</v>
      </c>
      <c r="G101" s="118">
        <f t="shared" si="21"/>
        <v>521.40000000000009</v>
      </c>
      <c r="H101" s="119">
        <f t="shared" si="22"/>
        <v>391.05000000000007</v>
      </c>
    </row>
    <row r="102" spans="1:8" ht="14.25" customHeight="1" x14ac:dyDescent="0.3">
      <c r="A102" s="218" t="s">
        <v>13</v>
      </c>
      <c r="B102" s="218" t="str">
        <f t="shared" si="18"/>
        <v>Green Bell Pepper - فلفل أخضر رومى</v>
      </c>
      <c r="C102" s="218" t="str">
        <f t="shared" si="18"/>
        <v>gm</v>
      </c>
      <c r="D102" s="218">
        <f t="shared" si="18"/>
        <v>20.399999999999999</v>
      </c>
      <c r="E102" s="196">
        <f t="shared" si="19"/>
        <v>8.6900000000000013</v>
      </c>
      <c r="F102" s="324">
        <f t="shared" si="20"/>
        <v>0.75</v>
      </c>
      <c r="G102" s="118">
        <f t="shared" si="21"/>
        <v>177.27600000000001</v>
      </c>
      <c r="H102" s="119">
        <f t="shared" si="22"/>
        <v>132.95699999999999</v>
      </c>
    </row>
    <row r="103" spans="1:8" ht="14.25" customHeight="1" x14ac:dyDescent="0.3">
      <c r="A103" s="218" t="s">
        <v>95</v>
      </c>
      <c r="B103" s="218" t="str">
        <f t="shared" si="18"/>
        <v>Kabsa Spices Powder - توابل كبسة بودر</v>
      </c>
      <c r="C103" s="218" t="str">
        <f t="shared" si="18"/>
        <v>gm</v>
      </c>
      <c r="D103" s="218">
        <f t="shared" si="18"/>
        <v>24</v>
      </c>
      <c r="E103" s="196">
        <f t="shared" si="19"/>
        <v>8.6900000000000013</v>
      </c>
      <c r="F103" s="324">
        <f t="shared" si="20"/>
        <v>0.5</v>
      </c>
      <c r="G103" s="118">
        <f t="shared" si="21"/>
        <v>208.56000000000003</v>
      </c>
      <c r="H103" s="119">
        <f t="shared" si="22"/>
        <v>104.28000000000002</v>
      </c>
    </row>
    <row r="104" spans="1:8" ht="14.25" customHeight="1" x14ac:dyDescent="0.3">
      <c r="A104" s="218" t="s">
        <v>95</v>
      </c>
      <c r="B104" s="218" t="str">
        <f t="shared" si="18"/>
        <v>Coriander Powder - كزبرة مطحونة</v>
      </c>
      <c r="C104" s="218" t="str">
        <f t="shared" si="18"/>
        <v>gm</v>
      </c>
      <c r="D104" s="218">
        <f t="shared" si="18"/>
        <v>18</v>
      </c>
      <c r="E104" s="196">
        <f t="shared" si="19"/>
        <v>8.6900000000000013</v>
      </c>
      <c r="F104" s="324">
        <f t="shared" si="20"/>
        <v>0.7</v>
      </c>
      <c r="G104" s="118">
        <f t="shared" si="21"/>
        <v>156.42000000000002</v>
      </c>
      <c r="H104" s="119">
        <f t="shared" si="22"/>
        <v>109.494</v>
      </c>
    </row>
    <row r="105" spans="1:8" ht="14.25" customHeight="1" x14ac:dyDescent="0.3">
      <c r="A105" s="218" t="s">
        <v>95</v>
      </c>
      <c r="B105" s="218" t="str">
        <f t="shared" si="18"/>
        <v>Salt - ملح</v>
      </c>
      <c r="C105" s="218" t="str">
        <f t="shared" si="18"/>
        <v>gm</v>
      </c>
      <c r="D105" s="218">
        <f t="shared" si="18"/>
        <v>18</v>
      </c>
      <c r="E105" s="196">
        <f t="shared" si="19"/>
        <v>8.6900000000000013</v>
      </c>
      <c r="F105" s="324">
        <f t="shared" si="20"/>
        <v>0.75</v>
      </c>
      <c r="G105" s="118">
        <f t="shared" si="21"/>
        <v>156.42000000000002</v>
      </c>
      <c r="H105" s="119">
        <f t="shared" si="22"/>
        <v>117.31500000000001</v>
      </c>
    </row>
    <row r="106" spans="1:8" ht="14.25" customHeight="1" x14ac:dyDescent="0.3">
      <c r="A106" s="210"/>
      <c r="B106" s="197" t="s">
        <v>291</v>
      </c>
      <c r="C106" s="199" t="s">
        <v>277</v>
      </c>
      <c r="D106" s="14"/>
      <c r="E106" s="199" t="s">
        <v>292</v>
      </c>
      <c r="F106" s="14"/>
      <c r="G106" s="878" t="s">
        <v>268</v>
      </c>
      <c r="H106" s="878" t="s">
        <v>703</v>
      </c>
    </row>
    <row r="107" spans="1:8" ht="26" customHeight="1" x14ac:dyDescent="0.4">
      <c r="A107" s="210"/>
      <c r="B107" s="198">
        <f>$J$55</f>
        <v>8690</v>
      </c>
      <c r="C107" s="198">
        <f>E107+G107</f>
        <v>0</v>
      </c>
      <c r="D107" s="915"/>
      <c r="E107" s="198">
        <f>$D$55*$S$44</f>
        <v>0</v>
      </c>
      <c r="F107" s="919"/>
      <c r="G107" s="198">
        <f>$D$55*$T$44</f>
        <v>0</v>
      </c>
      <c r="H107" s="198">
        <f>B107+E107</f>
        <v>8690</v>
      </c>
    </row>
    <row r="108" spans="1:8" ht="14.25" customHeight="1" x14ac:dyDescent="0.3"/>
    <row r="109" spans="1:8" ht="14.25" customHeight="1" x14ac:dyDescent="0.3"/>
    <row r="110" spans="1:8" ht="14.25" customHeight="1" x14ac:dyDescent="0.3">
      <c r="A110" s="923"/>
      <c r="B110" s="1438" t="str">
        <f>"بخاري لحم  4 / " &amp; COUNTIF($H$53:$H$58, "&gt;0")</f>
        <v>بخاري لحم  4 / 3</v>
      </c>
      <c r="C110" s="1439"/>
      <c r="D110" s="1439"/>
      <c r="E110" s="1439"/>
      <c r="F110" s="1439"/>
      <c r="G110" s="1439"/>
      <c r="H110" s="1439"/>
    </row>
    <row r="111" spans="1:8" ht="20.25" customHeight="1" x14ac:dyDescent="0.3">
      <c r="A111" s="923"/>
      <c r="B111" s="1436" t="str">
        <f>"Beef Boukhary  4 / " &amp; COUNTIF($H$53:$H$58, "&gt;0")</f>
        <v>Beef Boukhary  4 / 3</v>
      </c>
      <c r="C111" s="1437"/>
      <c r="D111" s="1437"/>
      <c r="E111" s="1437"/>
      <c r="F111" s="1437"/>
      <c r="G111" s="1437"/>
      <c r="H111" s="1437"/>
    </row>
    <row r="112" spans="1:8" ht="49.25" customHeight="1" x14ac:dyDescent="0.3">
      <c r="A112" s="90"/>
      <c r="B112" s="90" t="s">
        <v>245</v>
      </c>
      <c r="C112" s="106" t="s">
        <v>246</v>
      </c>
      <c r="D112" s="90" t="s">
        <v>235</v>
      </c>
      <c r="E112" s="217" t="s">
        <v>238</v>
      </c>
      <c r="F112" s="107" t="s">
        <v>334</v>
      </c>
      <c r="G112" s="90" t="s">
        <v>248</v>
      </c>
      <c r="H112" s="217" t="s">
        <v>249</v>
      </c>
    </row>
    <row r="113" spans="1:8" x14ac:dyDescent="0.3">
      <c r="A113" s="218" t="s">
        <v>225</v>
      </c>
      <c r="B113" s="218" t="str">
        <f t="shared" ref="B113:D121" si="23">B5</f>
        <v>Indian Meat Alana  - لحم هندى ألانا</v>
      </c>
      <c r="C113" s="218" t="str">
        <f t="shared" si="23"/>
        <v>gm</v>
      </c>
      <c r="D113" s="563">
        <f t="shared" si="23"/>
        <v>1562.5</v>
      </c>
      <c r="E113" s="196">
        <f t="shared" ref="E113:E121" si="24">$H$56</f>
        <v>0</v>
      </c>
      <c r="F113" s="324">
        <f t="shared" ref="F113:F121" si="25">F5</f>
        <v>1</v>
      </c>
      <c r="G113" s="118">
        <f t="shared" ref="G113:G121" si="26">D113*E113</f>
        <v>0</v>
      </c>
      <c r="H113" s="119">
        <f t="shared" ref="H113:H121" si="27">G113*F113</f>
        <v>0</v>
      </c>
    </row>
    <row r="114" spans="1:8" x14ac:dyDescent="0.3">
      <c r="A114" s="218" t="s">
        <v>95</v>
      </c>
      <c r="B114" s="218" t="str">
        <f t="shared" si="23"/>
        <v>Cumin Powder - كمون مطحون</v>
      </c>
      <c r="C114" s="218" t="str">
        <f t="shared" si="23"/>
        <v>gm</v>
      </c>
      <c r="D114" s="218">
        <f t="shared" si="23"/>
        <v>18</v>
      </c>
      <c r="E114" s="196">
        <f t="shared" si="24"/>
        <v>0</v>
      </c>
      <c r="F114" s="324">
        <f t="shared" si="25"/>
        <v>0.7</v>
      </c>
      <c r="G114" s="118">
        <f t="shared" si="26"/>
        <v>0</v>
      </c>
      <c r="H114" s="119">
        <f t="shared" si="27"/>
        <v>0</v>
      </c>
    </row>
    <row r="115" spans="1:8" ht="17.75" customHeight="1" x14ac:dyDescent="0.3">
      <c r="A115" s="218" t="s">
        <v>206</v>
      </c>
      <c r="B115" s="218" t="str">
        <f t="shared" si="23"/>
        <v>Water - ماء</v>
      </c>
      <c r="C115" s="218" t="str">
        <f t="shared" si="23"/>
        <v>ml</v>
      </c>
      <c r="D115" s="218">
        <f t="shared" si="23"/>
        <v>720</v>
      </c>
      <c r="E115" s="196">
        <f t="shared" si="24"/>
        <v>0</v>
      </c>
      <c r="F115" s="324">
        <f t="shared" si="25"/>
        <v>1</v>
      </c>
      <c r="G115" s="118">
        <f t="shared" si="26"/>
        <v>0</v>
      </c>
      <c r="H115" s="119">
        <f t="shared" si="27"/>
        <v>0</v>
      </c>
    </row>
    <row r="116" spans="1:8" ht="17.75" customHeight="1" x14ac:dyDescent="0.3">
      <c r="A116" s="218" t="s">
        <v>95</v>
      </c>
      <c r="B116" s="218" t="str">
        <f t="shared" si="23"/>
        <v>Cardamom Whole - هيل حب</v>
      </c>
      <c r="C116" s="218" t="str">
        <f t="shared" si="23"/>
        <v>gm</v>
      </c>
      <c r="D116" s="218">
        <f t="shared" si="23"/>
        <v>12</v>
      </c>
      <c r="E116" s="196">
        <f t="shared" si="24"/>
        <v>0</v>
      </c>
      <c r="F116" s="324">
        <f t="shared" si="25"/>
        <v>0.25</v>
      </c>
      <c r="G116" s="118">
        <f t="shared" si="26"/>
        <v>0</v>
      </c>
      <c r="H116" s="119">
        <f t="shared" si="27"/>
        <v>0</v>
      </c>
    </row>
    <row r="117" spans="1:8" x14ac:dyDescent="0.3">
      <c r="A117" s="218" t="s">
        <v>192</v>
      </c>
      <c r="B117" s="218" t="str">
        <f t="shared" si="23"/>
        <v>Tomato Paste - صلصة طماطم</v>
      </c>
      <c r="C117" s="218" t="str">
        <f t="shared" si="23"/>
        <v>gm</v>
      </c>
      <c r="D117" s="218">
        <f t="shared" si="23"/>
        <v>60</v>
      </c>
      <c r="E117" s="196">
        <f t="shared" si="24"/>
        <v>0</v>
      </c>
      <c r="F117" s="324">
        <f t="shared" si="25"/>
        <v>0.75</v>
      </c>
      <c r="G117" s="118">
        <f t="shared" si="26"/>
        <v>0</v>
      </c>
      <c r="H117" s="119">
        <f t="shared" si="27"/>
        <v>0</v>
      </c>
    </row>
    <row r="118" spans="1:8" ht="14.25" customHeight="1" x14ac:dyDescent="0.3">
      <c r="A118" s="218" t="s">
        <v>13</v>
      </c>
      <c r="B118" s="218" t="str">
        <f t="shared" si="23"/>
        <v>Green Bell Pepper - فلفل أخضر رومى</v>
      </c>
      <c r="C118" s="218" t="str">
        <f t="shared" si="23"/>
        <v>gm</v>
      </c>
      <c r="D118" s="218">
        <f t="shared" si="23"/>
        <v>20.399999999999999</v>
      </c>
      <c r="E118" s="196">
        <f t="shared" si="24"/>
        <v>0</v>
      </c>
      <c r="F118" s="324">
        <f t="shared" si="25"/>
        <v>0.75</v>
      </c>
      <c r="G118" s="118">
        <f t="shared" si="26"/>
        <v>0</v>
      </c>
      <c r="H118" s="119">
        <f t="shared" si="27"/>
        <v>0</v>
      </c>
    </row>
    <row r="119" spans="1:8" ht="14.25" customHeight="1" x14ac:dyDescent="0.3">
      <c r="A119" s="218" t="s">
        <v>95</v>
      </c>
      <c r="B119" s="218" t="str">
        <f t="shared" si="23"/>
        <v>Kabsa Spices Powder - توابل كبسة بودر</v>
      </c>
      <c r="C119" s="218" t="str">
        <f t="shared" si="23"/>
        <v>gm</v>
      </c>
      <c r="D119" s="218">
        <f t="shared" si="23"/>
        <v>24</v>
      </c>
      <c r="E119" s="196">
        <f t="shared" si="24"/>
        <v>0</v>
      </c>
      <c r="F119" s="324">
        <f t="shared" si="25"/>
        <v>0.5</v>
      </c>
      <c r="G119" s="118">
        <f t="shared" si="26"/>
        <v>0</v>
      </c>
      <c r="H119" s="119">
        <f t="shared" si="27"/>
        <v>0</v>
      </c>
    </row>
    <row r="120" spans="1:8" ht="14.25" customHeight="1" x14ac:dyDescent="0.3">
      <c r="A120" s="218" t="s">
        <v>95</v>
      </c>
      <c r="B120" s="218" t="str">
        <f t="shared" si="23"/>
        <v>Coriander Powder - كزبرة مطحونة</v>
      </c>
      <c r="C120" s="218" t="str">
        <f t="shared" si="23"/>
        <v>gm</v>
      </c>
      <c r="D120" s="218">
        <f t="shared" si="23"/>
        <v>18</v>
      </c>
      <c r="E120" s="196">
        <f t="shared" si="24"/>
        <v>0</v>
      </c>
      <c r="F120" s="324">
        <f t="shared" si="25"/>
        <v>0.7</v>
      </c>
      <c r="G120" s="118">
        <f t="shared" si="26"/>
        <v>0</v>
      </c>
      <c r="H120" s="119">
        <f t="shared" si="27"/>
        <v>0</v>
      </c>
    </row>
    <row r="121" spans="1:8" ht="14.25" customHeight="1" x14ac:dyDescent="0.3">
      <c r="A121" s="218" t="s">
        <v>95</v>
      </c>
      <c r="B121" s="218" t="str">
        <f t="shared" si="23"/>
        <v>Salt - ملح</v>
      </c>
      <c r="C121" s="218" t="str">
        <f t="shared" si="23"/>
        <v>gm</v>
      </c>
      <c r="D121" s="218">
        <f t="shared" si="23"/>
        <v>18</v>
      </c>
      <c r="E121" s="196">
        <f t="shared" si="24"/>
        <v>0</v>
      </c>
      <c r="F121" s="324">
        <f t="shared" si="25"/>
        <v>0.75</v>
      </c>
      <c r="G121" s="118">
        <f t="shared" si="26"/>
        <v>0</v>
      </c>
      <c r="H121" s="119">
        <f t="shared" si="27"/>
        <v>0</v>
      </c>
    </row>
    <row r="122" spans="1:8" ht="14.25" customHeight="1" x14ac:dyDescent="0.3">
      <c r="A122" s="210"/>
      <c r="B122" s="197" t="s">
        <v>291</v>
      </c>
      <c r="C122" s="199" t="s">
        <v>277</v>
      </c>
      <c r="D122" s="14"/>
      <c r="E122" s="199" t="s">
        <v>292</v>
      </c>
      <c r="F122" s="14"/>
      <c r="G122" s="878" t="s">
        <v>268</v>
      </c>
      <c r="H122" s="878" t="s">
        <v>703</v>
      </c>
    </row>
    <row r="123" spans="1:8" ht="14.25" customHeight="1" x14ac:dyDescent="0.4">
      <c r="A123" s="210"/>
      <c r="B123" s="198">
        <f>$J$56</f>
        <v>0</v>
      </c>
      <c r="C123" s="198">
        <f>E123+G123</f>
        <v>0</v>
      </c>
      <c r="D123" s="915"/>
      <c r="E123" s="198">
        <f>$D$56*$S$44</f>
        <v>0</v>
      </c>
      <c r="F123" s="919"/>
      <c r="G123" s="198">
        <f>$D$56*$T$44</f>
        <v>0</v>
      </c>
      <c r="H123" s="198">
        <f>B123+E123</f>
        <v>0</v>
      </c>
    </row>
    <row r="124" spans="1:8" ht="14.25" customHeight="1" x14ac:dyDescent="0.3"/>
    <row r="125" spans="1:8" ht="14.25" customHeight="1" x14ac:dyDescent="0.3"/>
    <row r="126" spans="1:8" ht="14.25" customHeight="1" x14ac:dyDescent="0.3">
      <c r="A126" s="264"/>
      <c r="B126" s="1438" t="str">
        <f>"بخاري لحم  5 / " &amp; COUNTIF($H$53:$H$58, "&gt;0")</f>
        <v>بخاري لحم  5 / 3</v>
      </c>
      <c r="C126" s="1444"/>
      <c r="D126" s="1444"/>
      <c r="E126" s="1444"/>
      <c r="F126" s="1444"/>
      <c r="G126" s="1444"/>
      <c r="H126" s="1444"/>
    </row>
    <row r="127" spans="1:8" ht="20.25" customHeight="1" x14ac:dyDescent="0.3">
      <c r="A127" s="264"/>
      <c r="B127" s="1436" t="str">
        <f>"Beef Boukhary  5 / " &amp; COUNTIF($H$53:$H$58, "&gt;0")</f>
        <v>Beef Boukhary  5 / 3</v>
      </c>
      <c r="C127" s="1446"/>
      <c r="D127" s="1446"/>
      <c r="E127" s="1446"/>
      <c r="F127" s="1446"/>
      <c r="G127" s="1446"/>
      <c r="H127" s="1446"/>
    </row>
    <row r="128" spans="1:8" ht="45.5" customHeight="1" x14ac:dyDescent="0.3">
      <c r="A128" s="90"/>
      <c r="B128" s="90" t="s">
        <v>245</v>
      </c>
      <c r="C128" s="106" t="s">
        <v>246</v>
      </c>
      <c r="D128" s="90" t="s">
        <v>235</v>
      </c>
      <c r="E128" s="217" t="s">
        <v>238</v>
      </c>
      <c r="F128" s="107" t="s">
        <v>334</v>
      </c>
      <c r="G128" s="90" t="s">
        <v>248</v>
      </c>
      <c r="H128" s="217" t="s">
        <v>249</v>
      </c>
    </row>
    <row r="129" spans="1:8" x14ac:dyDescent="0.3">
      <c r="A129" s="218" t="s">
        <v>225</v>
      </c>
      <c r="B129" s="218" t="str">
        <f t="shared" ref="B129:D137" si="28">B5</f>
        <v>Indian Meat Alana  - لحم هندى ألانا</v>
      </c>
      <c r="C129" s="218" t="str">
        <f t="shared" si="28"/>
        <v>gm</v>
      </c>
      <c r="D129" s="218">
        <f t="shared" si="28"/>
        <v>1562.5</v>
      </c>
      <c r="E129" s="196">
        <f t="shared" ref="E129:E137" si="29">$H$57</f>
        <v>0</v>
      </c>
      <c r="F129" s="324">
        <f t="shared" ref="F129:F137" si="30">F5</f>
        <v>1</v>
      </c>
      <c r="G129" s="118">
        <f t="shared" ref="G129:G137" si="31">D129*E129</f>
        <v>0</v>
      </c>
      <c r="H129" s="119">
        <f t="shared" ref="H129:H137" si="32">G129*F129</f>
        <v>0</v>
      </c>
    </row>
    <row r="130" spans="1:8" x14ac:dyDescent="0.3">
      <c r="A130" s="218" t="s">
        <v>95</v>
      </c>
      <c r="B130" s="218" t="str">
        <f t="shared" si="28"/>
        <v>Cumin Powder - كمون مطحون</v>
      </c>
      <c r="C130" s="218" t="str">
        <f t="shared" si="28"/>
        <v>gm</v>
      </c>
      <c r="D130" s="218">
        <f t="shared" si="28"/>
        <v>18</v>
      </c>
      <c r="E130" s="196">
        <f t="shared" si="29"/>
        <v>0</v>
      </c>
      <c r="F130" s="324">
        <f t="shared" si="30"/>
        <v>0.7</v>
      </c>
      <c r="G130" s="118">
        <f t="shared" si="31"/>
        <v>0</v>
      </c>
      <c r="H130" s="119">
        <f t="shared" si="32"/>
        <v>0</v>
      </c>
    </row>
    <row r="131" spans="1:8" ht="17.75" customHeight="1" x14ac:dyDescent="0.3">
      <c r="A131" s="218" t="s">
        <v>206</v>
      </c>
      <c r="B131" s="218" t="str">
        <f t="shared" si="28"/>
        <v>Water - ماء</v>
      </c>
      <c r="C131" s="218" t="str">
        <f t="shared" si="28"/>
        <v>ml</v>
      </c>
      <c r="D131" s="218">
        <f t="shared" si="28"/>
        <v>720</v>
      </c>
      <c r="E131" s="196">
        <f t="shared" si="29"/>
        <v>0</v>
      </c>
      <c r="F131" s="324">
        <f t="shared" si="30"/>
        <v>1</v>
      </c>
      <c r="G131" s="118">
        <f t="shared" si="31"/>
        <v>0</v>
      </c>
      <c r="H131" s="119">
        <f t="shared" si="32"/>
        <v>0</v>
      </c>
    </row>
    <row r="132" spans="1:8" ht="17.75" customHeight="1" x14ac:dyDescent="0.3">
      <c r="A132" s="218" t="s">
        <v>95</v>
      </c>
      <c r="B132" s="218" t="str">
        <f t="shared" si="28"/>
        <v>Cardamom Whole - هيل حب</v>
      </c>
      <c r="C132" s="218" t="str">
        <f t="shared" si="28"/>
        <v>gm</v>
      </c>
      <c r="D132" s="218">
        <f t="shared" si="28"/>
        <v>12</v>
      </c>
      <c r="E132" s="196">
        <f t="shared" si="29"/>
        <v>0</v>
      </c>
      <c r="F132" s="324">
        <f t="shared" si="30"/>
        <v>0.25</v>
      </c>
      <c r="G132" s="118">
        <f t="shared" si="31"/>
        <v>0</v>
      </c>
      <c r="H132" s="119">
        <f t="shared" si="32"/>
        <v>0</v>
      </c>
    </row>
    <row r="133" spans="1:8" x14ac:dyDescent="0.3">
      <c r="A133" s="218" t="s">
        <v>192</v>
      </c>
      <c r="B133" s="218" t="str">
        <f t="shared" si="28"/>
        <v>Tomato Paste - صلصة طماطم</v>
      </c>
      <c r="C133" s="218" t="str">
        <f t="shared" si="28"/>
        <v>gm</v>
      </c>
      <c r="D133" s="218">
        <f t="shared" si="28"/>
        <v>60</v>
      </c>
      <c r="E133" s="196">
        <f t="shared" si="29"/>
        <v>0</v>
      </c>
      <c r="F133" s="324">
        <f t="shared" si="30"/>
        <v>0.75</v>
      </c>
      <c r="G133" s="118">
        <f t="shared" si="31"/>
        <v>0</v>
      </c>
      <c r="H133" s="119">
        <f t="shared" si="32"/>
        <v>0</v>
      </c>
    </row>
    <row r="134" spans="1:8" ht="14.25" customHeight="1" x14ac:dyDescent="0.3">
      <c r="A134" s="218" t="s">
        <v>13</v>
      </c>
      <c r="B134" s="218" t="str">
        <f t="shared" si="28"/>
        <v>Green Bell Pepper - فلفل أخضر رومى</v>
      </c>
      <c r="C134" s="218" t="str">
        <f t="shared" si="28"/>
        <v>gm</v>
      </c>
      <c r="D134" s="218">
        <f t="shared" si="28"/>
        <v>20.399999999999999</v>
      </c>
      <c r="E134" s="196">
        <f t="shared" si="29"/>
        <v>0</v>
      </c>
      <c r="F134" s="324">
        <f t="shared" si="30"/>
        <v>0.75</v>
      </c>
      <c r="G134" s="118">
        <f t="shared" si="31"/>
        <v>0</v>
      </c>
      <c r="H134" s="119">
        <f t="shared" si="32"/>
        <v>0</v>
      </c>
    </row>
    <row r="135" spans="1:8" ht="14.25" customHeight="1" x14ac:dyDescent="0.3">
      <c r="A135" s="218" t="s">
        <v>95</v>
      </c>
      <c r="B135" s="218" t="str">
        <f t="shared" si="28"/>
        <v>Kabsa Spices Powder - توابل كبسة بودر</v>
      </c>
      <c r="C135" s="218" t="str">
        <f t="shared" si="28"/>
        <v>gm</v>
      </c>
      <c r="D135" s="218">
        <f t="shared" si="28"/>
        <v>24</v>
      </c>
      <c r="E135" s="196">
        <f t="shared" si="29"/>
        <v>0</v>
      </c>
      <c r="F135" s="324">
        <f t="shared" si="30"/>
        <v>0.5</v>
      </c>
      <c r="G135" s="118">
        <f t="shared" si="31"/>
        <v>0</v>
      </c>
      <c r="H135" s="119">
        <f t="shared" si="32"/>
        <v>0</v>
      </c>
    </row>
    <row r="136" spans="1:8" ht="14.25" customHeight="1" x14ac:dyDescent="0.3">
      <c r="A136" s="218" t="s">
        <v>95</v>
      </c>
      <c r="B136" s="218" t="str">
        <f t="shared" si="28"/>
        <v>Coriander Powder - كزبرة مطحونة</v>
      </c>
      <c r="C136" s="218" t="str">
        <f t="shared" si="28"/>
        <v>gm</v>
      </c>
      <c r="D136" s="218">
        <f t="shared" si="28"/>
        <v>18</v>
      </c>
      <c r="E136" s="196">
        <f t="shared" si="29"/>
        <v>0</v>
      </c>
      <c r="F136" s="324">
        <f t="shared" si="30"/>
        <v>0.7</v>
      </c>
      <c r="G136" s="118">
        <f t="shared" si="31"/>
        <v>0</v>
      </c>
      <c r="H136" s="119">
        <f t="shared" si="32"/>
        <v>0</v>
      </c>
    </row>
    <row r="137" spans="1:8" ht="14.25" customHeight="1" x14ac:dyDescent="0.3">
      <c r="A137" s="218" t="s">
        <v>95</v>
      </c>
      <c r="B137" s="218" t="str">
        <f t="shared" si="28"/>
        <v>Salt - ملح</v>
      </c>
      <c r="C137" s="218" t="str">
        <f t="shared" si="28"/>
        <v>gm</v>
      </c>
      <c r="D137" s="218">
        <f t="shared" si="28"/>
        <v>18</v>
      </c>
      <c r="E137" s="196">
        <f t="shared" si="29"/>
        <v>0</v>
      </c>
      <c r="F137" s="324">
        <f t="shared" si="30"/>
        <v>0.75</v>
      </c>
      <c r="G137" s="118">
        <f t="shared" si="31"/>
        <v>0</v>
      </c>
      <c r="H137" s="119">
        <f t="shared" si="32"/>
        <v>0</v>
      </c>
    </row>
    <row r="138" spans="1:8" ht="14.25" customHeight="1" x14ac:dyDescent="0.3">
      <c r="A138" s="210"/>
      <c r="B138" s="197" t="s">
        <v>291</v>
      </c>
      <c r="C138" s="199" t="s">
        <v>277</v>
      </c>
      <c r="D138" s="14"/>
      <c r="E138" s="199" t="s">
        <v>292</v>
      </c>
      <c r="F138" s="14"/>
      <c r="G138" s="878" t="s">
        <v>268</v>
      </c>
      <c r="H138" s="878" t="s">
        <v>703</v>
      </c>
    </row>
    <row r="139" spans="1:8" ht="14.25" customHeight="1" x14ac:dyDescent="0.4">
      <c r="A139" s="210"/>
      <c r="B139" s="198">
        <f>$J$57</f>
        <v>0</v>
      </c>
      <c r="C139" s="198">
        <f>E139+G139</f>
        <v>0</v>
      </c>
      <c r="D139" s="915"/>
      <c r="E139" s="198">
        <f>$D$57*$S$44</f>
        <v>0</v>
      </c>
      <c r="F139" s="919"/>
      <c r="G139" s="198">
        <f>$D$57*$T$44</f>
        <v>0</v>
      </c>
      <c r="H139" s="198">
        <f>B139+E139</f>
        <v>0</v>
      </c>
    </row>
    <row r="140" spans="1:8" ht="14.25" customHeight="1" x14ac:dyDescent="0.3">
      <c r="B140" s="915"/>
      <c r="C140" s="915"/>
      <c r="D140" s="915"/>
      <c r="E140" s="915"/>
      <c r="F140" s="915"/>
      <c r="G140" s="915"/>
      <c r="H140" s="915"/>
    </row>
    <row r="141" spans="1:8" ht="14.25" customHeight="1" x14ac:dyDescent="0.3"/>
    <row r="142" spans="1:8" ht="14.25" customHeight="1" x14ac:dyDescent="0.3">
      <c r="A142" s="264"/>
      <c r="B142" s="1438" t="str">
        <f>"بخاري لحم  3 / " &amp; COUNTIF($H$53:$H$58, "&gt;0")</f>
        <v>بخاري لحم  3 / 3</v>
      </c>
      <c r="C142" s="1444"/>
      <c r="D142" s="1444"/>
      <c r="E142" s="1444"/>
      <c r="F142" s="1444"/>
      <c r="G142" s="1444"/>
      <c r="H142" s="1444"/>
    </row>
    <row r="143" spans="1:8" ht="20.25" customHeight="1" x14ac:dyDescent="0.3">
      <c r="A143" s="264"/>
      <c r="B143" s="1436" t="str">
        <f>"Beef Boukhary  3 / " &amp; COUNTIF($H$53:$H$58, "&gt;0")</f>
        <v>Beef Boukhary  3 / 3</v>
      </c>
      <c r="C143" s="1446"/>
      <c r="D143" s="1446"/>
      <c r="E143" s="1446"/>
      <c r="F143" s="1446"/>
      <c r="G143" s="1446"/>
      <c r="H143" s="1446"/>
    </row>
    <row r="144" spans="1:8" ht="47" customHeight="1" x14ac:dyDescent="0.3">
      <c r="A144" s="90"/>
      <c r="B144" s="90" t="s">
        <v>245</v>
      </c>
      <c r="C144" s="106" t="s">
        <v>246</v>
      </c>
      <c r="D144" s="90" t="s">
        <v>235</v>
      </c>
      <c r="E144" s="217" t="s">
        <v>238</v>
      </c>
      <c r="F144" s="107" t="s">
        <v>334</v>
      </c>
      <c r="G144" s="90" t="s">
        <v>248</v>
      </c>
      <c r="H144" s="217" t="s">
        <v>249</v>
      </c>
    </row>
    <row r="145" spans="1:8" x14ac:dyDescent="0.3">
      <c r="A145" s="218" t="s">
        <v>225</v>
      </c>
      <c r="B145" s="218" t="str">
        <f t="shared" ref="B145:D153" si="33">B5</f>
        <v>Indian Meat Alana  - لحم هندى ألانا</v>
      </c>
      <c r="C145" s="218" t="str">
        <f t="shared" si="33"/>
        <v>gm</v>
      </c>
      <c r="D145" s="564">
        <f t="shared" si="33"/>
        <v>1562.5</v>
      </c>
      <c r="E145" s="565">
        <f t="shared" ref="E145:E153" si="34">$H$58</f>
        <v>0</v>
      </c>
      <c r="F145" s="324">
        <f t="shared" ref="F145:F153" si="35">F5</f>
        <v>1</v>
      </c>
      <c r="G145" s="118">
        <f t="shared" ref="G145:G153" si="36">D145*E145</f>
        <v>0</v>
      </c>
      <c r="H145" s="119">
        <f t="shared" ref="H145:H153" si="37">G145*F145</f>
        <v>0</v>
      </c>
    </row>
    <row r="146" spans="1:8" ht="14.25" customHeight="1" x14ac:dyDescent="0.3">
      <c r="A146" s="218" t="s">
        <v>95</v>
      </c>
      <c r="B146" s="218" t="str">
        <f t="shared" si="33"/>
        <v>Cumin Powder - كمون مطحون</v>
      </c>
      <c r="C146" s="218" t="str">
        <f t="shared" si="33"/>
        <v>gm</v>
      </c>
      <c r="D146" s="218">
        <f t="shared" si="33"/>
        <v>18</v>
      </c>
      <c r="E146" s="565">
        <f t="shared" si="34"/>
        <v>0</v>
      </c>
      <c r="F146" s="324">
        <f t="shared" si="35"/>
        <v>0.7</v>
      </c>
      <c r="G146" s="118">
        <f t="shared" si="36"/>
        <v>0</v>
      </c>
      <c r="H146" s="119">
        <f t="shared" si="37"/>
        <v>0</v>
      </c>
    </row>
    <row r="147" spans="1:8" ht="17.75" customHeight="1" x14ac:dyDescent="0.3">
      <c r="A147" s="218" t="s">
        <v>206</v>
      </c>
      <c r="B147" s="218" t="str">
        <f t="shared" si="33"/>
        <v>Water - ماء</v>
      </c>
      <c r="C147" s="218" t="str">
        <f t="shared" si="33"/>
        <v>ml</v>
      </c>
      <c r="D147" s="218">
        <f t="shared" si="33"/>
        <v>720</v>
      </c>
      <c r="E147" s="565">
        <f t="shared" si="34"/>
        <v>0</v>
      </c>
      <c r="F147" s="324">
        <f t="shared" si="35"/>
        <v>1</v>
      </c>
      <c r="G147" s="118">
        <f t="shared" si="36"/>
        <v>0</v>
      </c>
      <c r="H147" s="119">
        <f t="shared" si="37"/>
        <v>0</v>
      </c>
    </row>
    <row r="148" spans="1:8" ht="17.75" customHeight="1" x14ac:dyDescent="0.3">
      <c r="A148" s="218" t="s">
        <v>95</v>
      </c>
      <c r="B148" s="218" t="str">
        <f t="shared" si="33"/>
        <v>Cardamom Whole - هيل حب</v>
      </c>
      <c r="C148" s="218" t="str">
        <f t="shared" si="33"/>
        <v>gm</v>
      </c>
      <c r="D148" s="218">
        <f t="shared" si="33"/>
        <v>12</v>
      </c>
      <c r="E148" s="565">
        <f t="shared" si="34"/>
        <v>0</v>
      </c>
      <c r="F148" s="324">
        <f t="shared" si="35"/>
        <v>0.25</v>
      </c>
      <c r="G148" s="118">
        <f t="shared" si="36"/>
        <v>0</v>
      </c>
      <c r="H148" s="119">
        <f t="shared" si="37"/>
        <v>0</v>
      </c>
    </row>
    <row r="149" spans="1:8" x14ac:dyDescent="0.3">
      <c r="A149" s="218" t="s">
        <v>192</v>
      </c>
      <c r="B149" s="218" t="str">
        <f t="shared" si="33"/>
        <v>Tomato Paste - صلصة طماطم</v>
      </c>
      <c r="C149" s="218" t="str">
        <f t="shared" si="33"/>
        <v>gm</v>
      </c>
      <c r="D149" s="218">
        <f t="shared" si="33"/>
        <v>60</v>
      </c>
      <c r="E149" s="565">
        <f t="shared" si="34"/>
        <v>0</v>
      </c>
      <c r="F149" s="324">
        <f t="shared" si="35"/>
        <v>0.75</v>
      </c>
      <c r="G149" s="118">
        <f t="shared" si="36"/>
        <v>0</v>
      </c>
      <c r="H149" s="119">
        <f t="shared" si="37"/>
        <v>0</v>
      </c>
    </row>
    <row r="150" spans="1:8" ht="14.25" customHeight="1" x14ac:dyDescent="0.3">
      <c r="A150" s="218" t="s">
        <v>13</v>
      </c>
      <c r="B150" s="218" t="str">
        <f t="shared" si="33"/>
        <v>Green Bell Pepper - فلفل أخضر رومى</v>
      </c>
      <c r="C150" s="218" t="str">
        <f t="shared" si="33"/>
        <v>gm</v>
      </c>
      <c r="D150" s="218">
        <f t="shared" si="33"/>
        <v>20.399999999999999</v>
      </c>
      <c r="E150" s="565">
        <f t="shared" si="34"/>
        <v>0</v>
      </c>
      <c r="F150" s="324">
        <f t="shared" si="35"/>
        <v>0.75</v>
      </c>
      <c r="G150" s="118">
        <f t="shared" si="36"/>
        <v>0</v>
      </c>
      <c r="H150" s="119">
        <f t="shared" si="37"/>
        <v>0</v>
      </c>
    </row>
    <row r="151" spans="1:8" ht="14.25" customHeight="1" x14ac:dyDescent="0.3">
      <c r="A151" s="218" t="s">
        <v>95</v>
      </c>
      <c r="B151" s="218" t="str">
        <f t="shared" si="33"/>
        <v>Kabsa Spices Powder - توابل كبسة بودر</v>
      </c>
      <c r="C151" s="218" t="str">
        <f t="shared" si="33"/>
        <v>gm</v>
      </c>
      <c r="D151" s="218">
        <f t="shared" si="33"/>
        <v>24</v>
      </c>
      <c r="E151" s="565">
        <f t="shared" si="34"/>
        <v>0</v>
      </c>
      <c r="F151" s="324">
        <f t="shared" si="35"/>
        <v>0.5</v>
      </c>
      <c r="G151" s="118">
        <f t="shared" si="36"/>
        <v>0</v>
      </c>
      <c r="H151" s="119">
        <f t="shared" si="37"/>
        <v>0</v>
      </c>
    </row>
    <row r="152" spans="1:8" ht="14.25" customHeight="1" x14ac:dyDescent="0.3">
      <c r="A152" s="218" t="s">
        <v>95</v>
      </c>
      <c r="B152" s="218" t="str">
        <f t="shared" si="33"/>
        <v>Coriander Powder - كزبرة مطحونة</v>
      </c>
      <c r="C152" s="218" t="str">
        <f t="shared" si="33"/>
        <v>gm</v>
      </c>
      <c r="D152" s="218">
        <f t="shared" si="33"/>
        <v>18</v>
      </c>
      <c r="E152" s="565">
        <f t="shared" si="34"/>
        <v>0</v>
      </c>
      <c r="F152" s="324">
        <f t="shared" si="35"/>
        <v>0.7</v>
      </c>
      <c r="G152" s="118">
        <f t="shared" si="36"/>
        <v>0</v>
      </c>
      <c r="H152" s="119">
        <f t="shared" si="37"/>
        <v>0</v>
      </c>
    </row>
    <row r="153" spans="1:8" ht="14.25" customHeight="1" x14ac:dyDescent="0.3">
      <c r="A153" s="218" t="s">
        <v>95</v>
      </c>
      <c r="B153" s="218" t="str">
        <f t="shared" si="33"/>
        <v>Salt - ملح</v>
      </c>
      <c r="C153" s="218" t="str">
        <f t="shared" si="33"/>
        <v>gm</v>
      </c>
      <c r="D153" s="218">
        <f t="shared" si="33"/>
        <v>18</v>
      </c>
      <c r="E153" s="565">
        <f t="shared" si="34"/>
        <v>0</v>
      </c>
      <c r="F153" s="324">
        <f t="shared" si="35"/>
        <v>0.75</v>
      </c>
      <c r="G153" s="118">
        <f t="shared" si="36"/>
        <v>0</v>
      </c>
      <c r="H153" s="119">
        <f t="shared" si="37"/>
        <v>0</v>
      </c>
    </row>
    <row r="154" spans="1:8" ht="14.25" customHeight="1" x14ac:dyDescent="0.3">
      <c r="A154" s="210"/>
      <c r="B154" s="197" t="s">
        <v>291</v>
      </c>
      <c r="C154" s="199" t="s">
        <v>277</v>
      </c>
      <c r="D154" s="14"/>
      <c r="E154" s="199" t="s">
        <v>292</v>
      </c>
      <c r="F154" s="14"/>
      <c r="G154" s="878" t="s">
        <v>268</v>
      </c>
      <c r="H154" s="878" t="s">
        <v>703</v>
      </c>
    </row>
    <row r="155" spans="1:8" ht="14.25" customHeight="1" x14ac:dyDescent="0.4">
      <c r="A155" s="210"/>
      <c r="B155" s="198">
        <f>$J$58</f>
        <v>0</v>
      </c>
      <c r="C155" s="198">
        <f>E155+G155</f>
        <v>0</v>
      </c>
      <c r="D155" s="915"/>
      <c r="E155" s="198">
        <f>$D$58*$S$44</f>
        <v>0</v>
      </c>
      <c r="F155" s="919"/>
      <c r="G155" s="198">
        <f>$D$58*$T$44</f>
        <v>0</v>
      </c>
      <c r="H155" s="198">
        <f>B155+E155</f>
        <v>0</v>
      </c>
    </row>
    <row r="156" spans="1:8" ht="14.25" customHeight="1" x14ac:dyDescent="0.3"/>
    <row r="157" spans="1:8" ht="14.25" customHeight="1" x14ac:dyDescent="0.3"/>
    <row r="158" spans="1:8" ht="14.25" customHeight="1" x14ac:dyDescent="0.3"/>
    <row r="159" spans="1:8" ht="20.25" customHeight="1" x14ac:dyDescent="0.3"/>
  </sheetData>
  <mergeCells count="17">
    <mergeCell ref="B143:H143"/>
    <mergeCell ref="B63:H63"/>
    <mergeCell ref="B77:H77"/>
    <mergeCell ref="B78:H78"/>
    <mergeCell ref="B95:H95"/>
    <mergeCell ref="B111:H111"/>
    <mergeCell ref="B142:H142"/>
    <mergeCell ref="B94:H94"/>
    <mergeCell ref="B110:H110"/>
    <mergeCell ref="AE2:AG3"/>
    <mergeCell ref="B126:H126"/>
    <mergeCell ref="B127:H127"/>
    <mergeCell ref="R26:T26"/>
    <mergeCell ref="B2:K3"/>
    <mergeCell ref="B62:H62"/>
    <mergeCell ref="R25:T25"/>
    <mergeCell ref="B35:F35"/>
  </mergeCells>
  <printOptions horizontalCentered="1"/>
  <pageMargins left="0.5" right="0.5" top="1" bottom="0.5" header="0.3" footer="0.511811023622047"/>
  <pageSetup paperSize="9" scale="33" orientation="portrait" r:id="rId1"/>
  <legacyDrawing r:id="rId2"/>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67">
    <tabColor rgb="FFFF0000"/>
    <pageSetUpPr fitToPage="1"/>
  </sheetPr>
  <dimension ref="A1:AF973"/>
  <sheetViews>
    <sheetView topLeftCell="L14" zoomScale="70" zoomScaleNormal="70" workbookViewId="0">
      <selection activeCell="Q43" sqref="Q43:T44"/>
    </sheetView>
  </sheetViews>
  <sheetFormatPr defaultColWidth="12.5" defaultRowHeight="12.5" x14ac:dyDescent="0.25"/>
  <cols>
    <col min="1" max="1" width="12.5" style="14" customWidth="1"/>
    <col min="2" max="2" width="38.33203125" style="14" customWidth="1"/>
    <col min="3" max="3" width="24"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6.08203125" style="14" customWidth="1"/>
    <col min="15" max="15" width="16.75" style="14" customWidth="1"/>
    <col min="16" max="18" width="12.5" style="14" customWidth="1"/>
    <col min="19" max="19" width="15.9140625" style="14" customWidth="1"/>
    <col min="20" max="28" width="12.5" style="14" customWidth="1"/>
    <col min="29" max="29" width="19.75" style="14" customWidth="1"/>
    <col min="30" max="31" width="12.5" style="869" customWidth="1"/>
    <col min="32" max="35" width="12.5" style="14" customWidth="1"/>
    <col min="36" max="36" width="34.58203125" style="14" customWidth="1"/>
    <col min="37" max="37" width="12.5" style="14" customWidth="1"/>
    <col min="38" max="16384" width="12.5" style="14"/>
  </cols>
  <sheetData>
    <row r="1" spans="1:32" ht="28.5" customHeight="1" x14ac:dyDescent="0.3">
      <c r="B1" s="79" t="s">
        <v>235</v>
      </c>
      <c r="C1" s="80">
        <v>1000</v>
      </c>
      <c r="D1" s="81" t="s">
        <v>236</v>
      </c>
      <c r="E1" s="116">
        <f>U32</f>
        <v>17500</v>
      </c>
      <c r="F1" s="79" t="s">
        <v>237</v>
      </c>
      <c r="G1" s="116">
        <f>E1/C1</f>
        <v>17.5</v>
      </c>
      <c r="H1" s="79" t="s">
        <v>238</v>
      </c>
      <c r="I1" s="116">
        <f>G1/K1</f>
        <v>19.25</v>
      </c>
      <c r="J1" s="325" t="s">
        <v>239</v>
      </c>
      <c r="K1" s="326">
        <f>1000/1100</f>
        <v>0.90909090909090906</v>
      </c>
      <c r="L1" s="99"/>
      <c r="M1" s="99"/>
      <c r="N1" s="99"/>
      <c r="O1" s="90" t="s">
        <v>240</v>
      </c>
      <c r="P1" s="91" t="s">
        <v>293</v>
      </c>
      <c r="Q1" s="92" t="s">
        <v>242</v>
      </c>
      <c r="R1" s="91">
        <v>0.7</v>
      </c>
      <c r="S1" s="92" t="s">
        <v>337</v>
      </c>
      <c r="T1" s="327">
        <v>100</v>
      </c>
      <c r="U1" s="99"/>
      <c r="V1" s="99"/>
      <c r="Y1" s="90" t="s">
        <v>463</v>
      </c>
      <c r="Z1" s="835">
        <v>170</v>
      </c>
      <c r="AA1" s="90" t="s">
        <v>578</v>
      </c>
      <c r="AB1" s="835">
        <v>5</v>
      </c>
      <c r="AC1" s="90" t="s">
        <v>567</v>
      </c>
      <c r="AD1" s="835">
        <v>170</v>
      </c>
      <c r="AE1" s="90" t="s">
        <v>558</v>
      </c>
      <c r="AF1" s="835">
        <f>Z1+AB1</f>
        <v>175</v>
      </c>
    </row>
    <row r="2" spans="1:32" ht="12.75" customHeight="1" x14ac:dyDescent="0.25">
      <c r="A2" s="329"/>
      <c r="B2" s="1449" t="s">
        <v>146</v>
      </c>
      <c r="C2" s="1449"/>
      <c r="D2" s="1449"/>
      <c r="E2" s="1449"/>
      <c r="F2" s="1449"/>
      <c r="G2" s="1449"/>
      <c r="H2" s="1449"/>
      <c r="I2" s="643"/>
      <c r="J2" s="643"/>
      <c r="K2" s="643"/>
      <c r="L2" s="292"/>
      <c r="M2" s="99"/>
      <c r="N2" s="99"/>
      <c r="O2" s="99"/>
      <c r="P2" s="99"/>
      <c r="Q2" s="99"/>
      <c r="R2" s="99"/>
      <c r="S2" s="99"/>
      <c r="T2" s="99"/>
      <c r="U2" s="99"/>
    </row>
    <row r="3" spans="1:32" ht="12.75" customHeight="1" x14ac:dyDescent="0.3">
      <c r="A3" s="329"/>
      <c r="B3" s="1450"/>
      <c r="C3" s="1450"/>
      <c r="D3" s="1450"/>
      <c r="E3" s="1450"/>
      <c r="F3" s="1450"/>
      <c r="G3" s="1450"/>
      <c r="H3" s="1450"/>
      <c r="I3" s="644"/>
      <c r="J3" s="644"/>
      <c r="K3" s="644"/>
      <c r="L3" s="292"/>
      <c r="M3" s="99"/>
      <c r="N3" s="99"/>
      <c r="O3" s="99"/>
      <c r="P3" s="99"/>
      <c r="Q3" s="99"/>
      <c r="R3" s="99"/>
      <c r="S3" s="99"/>
      <c r="T3" s="99"/>
      <c r="U3" s="99"/>
    </row>
    <row r="4" spans="1:32" ht="68.75" customHeight="1" x14ac:dyDescent="0.25">
      <c r="A4" s="90" t="s">
        <v>1</v>
      </c>
      <c r="B4" s="90" t="s">
        <v>245</v>
      </c>
      <c r="C4" s="106" t="s">
        <v>246</v>
      </c>
      <c r="D4" s="90" t="s">
        <v>235</v>
      </c>
      <c r="E4" s="107" t="s">
        <v>238</v>
      </c>
      <c r="F4" s="107" t="s">
        <v>247</v>
      </c>
      <c r="G4" s="90" t="s">
        <v>248</v>
      </c>
      <c r="H4" s="330" t="s">
        <v>339</v>
      </c>
      <c r="I4" s="90" t="s">
        <v>250</v>
      </c>
      <c r="J4" s="90" t="s">
        <v>251</v>
      </c>
      <c r="K4" s="90" t="s">
        <v>252</v>
      </c>
      <c r="L4" s="90" t="s">
        <v>253</v>
      </c>
      <c r="M4" s="370"/>
      <c r="N4" s="99"/>
      <c r="O4" s="99"/>
      <c r="P4" s="99"/>
      <c r="Q4" s="99"/>
      <c r="R4" s="99"/>
      <c r="S4" s="99"/>
      <c r="Z4" s="835">
        <v>164</v>
      </c>
    </row>
    <row r="5" spans="1:32" ht="14.25" customHeight="1" x14ac:dyDescent="0.25">
      <c r="A5" s="294" t="s">
        <v>225</v>
      </c>
      <c r="B5" s="322" t="s">
        <v>230</v>
      </c>
      <c r="C5" s="123" t="s">
        <v>14</v>
      </c>
      <c r="D5" s="120">
        <f>I51/10</f>
        <v>4762</v>
      </c>
      <c r="E5" s="196">
        <f>H52</f>
        <v>4.0383807708461203</v>
      </c>
      <c r="F5" s="126">
        <v>1</v>
      </c>
      <c r="G5" s="120">
        <f t="shared" ref="G5:G15" si="0">D5*E5</f>
        <v>19230.769230769227</v>
      </c>
      <c r="H5" s="640">
        <f t="shared" ref="H5:H15" si="1">G5*F5</f>
        <v>19230.769230769227</v>
      </c>
      <c r="I5" s="80">
        <f>VLOOKUP(B5,All_Ingredients!$A$1:$F$149,6,FALSE())</f>
        <v>0.99</v>
      </c>
      <c r="J5" s="118">
        <f>VLOOKUP(B5,All_Ingredients!$A$1:$J$149,10,FALSE())</f>
        <v>11.75</v>
      </c>
      <c r="K5" s="121">
        <f t="shared" ref="K5" si="2">(H5/I5)/1000</f>
        <v>19.425019425019421</v>
      </c>
      <c r="L5" s="121">
        <f t="shared" ref="L5" si="3">K5*J5</f>
        <v>228.24397824397821</v>
      </c>
      <c r="M5" s="130"/>
    </row>
    <row r="6" spans="1:32" ht="14.25" customHeight="1" x14ac:dyDescent="0.25">
      <c r="A6" s="294" t="s">
        <v>13</v>
      </c>
      <c r="B6" s="322" t="s">
        <v>762</v>
      </c>
      <c r="C6" s="123" t="s">
        <v>14</v>
      </c>
      <c r="D6" s="115">
        <v>53</v>
      </c>
      <c r="E6" s="115">
        <f t="shared" ref="E6:E15" si="4">$I$1</f>
        <v>19.25</v>
      </c>
      <c r="F6" s="126">
        <v>1</v>
      </c>
      <c r="G6" s="118">
        <f t="shared" si="0"/>
        <v>1020.25</v>
      </c>
      <c r="H6" s="119">
        <f t="shared" si="1"/>
        <v>1020.25</v>
      </c>
      <c r="I6" s="80">
        <f>VLOOKUP(B6,All_Ingredients!$A$1:$F$149,6,FALSE())</f>
        <v>1</v>
      </c>
      <c r="J6" s="118">
        <f>VLOOKUP(B6,All_Ingredients!$A$1:$J$149,10,FALSE())</f>
        <v>10.5</v>
      </c>
      <c r="K6" s="121">
        <f t="shared" ref="K6:K15" si="5">(H6/I6)/1000</f>
        <v>1.0202500000000001</v>
      </c>
      <c r="L6" s="121">
        <f t="shared" ref="L6:L15" si="6">K6*J6</f>
        <v>10.712625000000001</v>
      </c>
      <c r="M6" s="130"/>
    </row>
    <row r="7" spans="1:32" ht="14.25" customHeight="1" x14ac:dyDescent="0.25">
      <c r="A7" s="294" t="s">
        <v>13</v>
      </c>
      <c r="B7" s="322" t="s">
        <v>28</v>
      </c>
      <c r="C7" s="123" t="s">
        <v>14</v>
      </c>
      <c r="D7" s="115">
        <v>40</v>
      </c>
      <c r="E7" s="115">
        <f t="shared" si="4"/>
        <v>19.25</v>
      </c>
      <c r="F7" s="126">
        <v>1</v>
      </c>
      <c r="G7" s="118">
        <f t="shared" si="0"/>
        <v>770</v>
      </c>
      <c r="H7" s="119">
        <f t="shared" si="1"/>
        <v>770</v>
      </c>
      <c r="I7" s="80">
        <f>VLOOKUP(B7,All_Ingredients!$A$1:$F$149,6,FALSE())</f>
        <v>0.73</v>
      </c>
      <c r="J7" s="118">
        <f>VLOOKUP(B7,All_Ingredients!$A$1:$J$149,10,FALSE())</f>
        <v>8.5</v>
      </c>
      <c r="K7" s="121">
        <f t="shared" si="5"/>
        <v>1.0547945205479452</v>
      </c>
      <c r="L7" s="121">
        <f t="shared" si="6"/>
        <v>8.9657534246575334</v>
      </c>
      <c r="M7" s="130"/>
    </row>
    <row r="8" spans="1:32" ht="14.25" customHeight="1" x14ac:dyDescent="0.25">
      <c r="A8" s="294" t="s">
        <v>13</v>
      </c>
      <c r="B8" s="322" t="s">
        <v>30</v>
      </c>
      <c r="C8" s="123" t="s">
        <v>14</v>
      </c>
      <c r="D8" s="115">
        <v>40</v>
      </c>
      <c r="E8" s="115">
        <f t="shared" si="4"/>
        <v>19.25</v>
      </c>
      <c r="F8" s="126">
        <v>1</v>
      </c>
      <c r="G8" s="118">
        <f t="shared" si="0"/>
        <v>770</v>
      </c>
      <c r="H8" s="119">
        <f t="shared" si="1"/>
        <v>770</v>
      </c>
      <c r="I8" s="80">
        <f>VLOOKUP(B8,All_Ingredients!$A$1:$F$149,6,FALSE())</f>
        <v>0.71</v>
      </c>
      <c r="J8" s="118">
        <f>VLOOKUP(B8,All_Ingredients!$A$1:$J$149,10,FALSE())</f>
        <v>8.5</v>
      </c>
      <c r="K8" s="121">
        <f t="shared" si="5"/>
        <v>1.0845070422535212</v>
      </c>
      <c r="L8" s="121">
        <f t="shared" si="6"/>
        <v>9.21830985915493</v>
      </c>
      <c r="M8" s="130"/>
    </row>
    <row r="9" spans="1:32" ht="14.25" customHeight="1" x14ac:dyDescent="0.25">
      <c r="A9" s="294" t="s">
        <v>13</v>
      </c>
      <c r="B9" s="322" t="s">
        <v>32</v>
      </c>
      <c r="C9" s="123" t="s">
        <v>14</v>
      </c>
      <c r="D9" s="115">
        <v>40</v>
      </c>
      <c r="E9" s="115">
        <f t="shared" si="4"/>
        <v>19.25</v>
      </c>
      <c r="F9" s="126">
        <v>1</v>
      </c>
      <c r="G9" s="118">
        <f t="shared" si="0"/>
        <v>770</v>
      </c>
      <c r="H9" s="119">
        <f t="shared" si="1"/>
        <v>770</v>
      </c>
      <c r="I9" s="80">
        <f>VLOOKUP(B9,All_Ingredients!$A$1:$F$149,6,FALSE())</f>
        <v>0.69</v>
      </c>
      <c r="J9" s="118">
        <f>VLOOKUP(B9,All_Ingredients!$A$1:$J$149,10,FALSE())</f>
        <v>4</v>
      </c>
      <c r="K9" s="121">
        <f t="shared" si="5"/>
        <v>1.1159420289855073</v>
      </c>
      <c r="L9" s="121">
        <f t="shared" si="6"/>
        <v>4.4637681159420293</v>
      </c>
      <c r="M9" s="130"/>
    </row>
    <row r="10" spans="1:32" ht="14.25" customHeight="1" x14ac:dyDescent="0.25">
      <c r="A10" s="294" t="s">
        <v>13</v>
      </c>
      <c r="B10" s="322" t="s">
        <v>12</v>
      </c>
      <c r="C10" s="123" t="s">
        <v>14</v>
      </c>
      <c r="D10" s="115">
        <v>80</v>
      </c>
      <c r="E10" s="115">
        <f t="shared" si="4"/>
        <v>19.25</v>
      </c>
      <c r="F10" s="126">
        <v>1</v>
      </c>
      <c r="G10" s="118">
        <f t="shared" si="0"/>
        <v>1540</v>
      </c>
      <c r="H10" s="119">
        <f t="shared" si="1"/>
        <v>1540</v>
      </c>
      <c r="I10" s="80">
        <f>VLOOKUP(B10,All_Ingredients!$A$1:$F$149,6,FALSE())</f>
        <v>0.9</v>
      </c>
      <c r="J10" s="118">
        <f>VLOOKUP(B10,All_Ingredients!$A$1:$J$149,10,FALSE())</f>
        <v>3</v>
      </c>
      <c r="K10" s="121">
        <f t="shared" si="5"/>
        <v>1.711111111111111</v>
      </c>
      <c r="L10" s="121">
        <f t="shared" si="6"/>
        <v>5.1333333333333329</v>
      </c>
      <c r="M10" s="130"/>
    </row>
    <row r="11" spans="1:32" ht="14.25" customHeight="1" x14ac:dyDescent="0.25">
      <c r="A11" s="294" t="s">
        <v>154</v>
      </c>
      <c r="B11" s="322" t="s">
        <v>174</v>
      </c>
      <c r="C11" s="123" t="s">
        <v>14</v>
      </c>
      <c r="D11" s="115">
        <v>200</v>
      </c>
      <c r="E11" s="115">
        <f t="shared" si="4"/>
        <v>19.25</v>
      </c>
      <c r="F11" s="126">
        <v>0.75</v>
      </c>
      <c r="G11" s="118">
        <f t="shared" si="0"/>
        <v>3850</v>
      </c>
      <c r="H11" s="119">
        <f t="shared" si="1"/>
        <v>2887.5</v>
      </c>
      <c r="I11" s="80">
        <f>VLOOKUP(B11,All_Ingredients!$A$1:$F$149,6,FALSE())</f>
        <v>1</v>
      </c>
      <c r="J11" s="118">
        <f>VLOOKUP(B11,All_Ingredients!$A$1:$J$149,10,FALSE())</f>
        <v>17.934782608695652</v>
      </c>
      <c r="K11" s="121">
        <f t="shared" si="5"/>
        <v>2.8875000000000002</v>
      </c>
      <c r="L11" s="121">
        <f t="shared" si="6"/>
        <v>51.786684782608702</v>
      </c>
      <c r="M11" s="130"/>
    </row>
    <row r="12" spans="1:32" ht="14.25" customHeight="1" x14ac:dyDescent="0.25">
      <c r="A12" s="294" t="s">
        <v>95</v>
      </c>
      <c r="B12" s="322" t="s">
        <v>94</v>
      </c>
      <c r="C12" s="123" t="s">
        <v>14</v>
      </c>
      <c r="D12" s="115">
        <v>2</v>
      </c>
      <c r="E12" s="115">
        <f t="shared" si="4"/>
        <v>19.25</v>
      </c>
      <c r="F12" s="126">
        <v>1</v>
      </c>
      <c r="G12" s="118">
        <f t="shared" si="0"/>
        <v>38.5</v>
      </c>
      <c r="H12" s="119">
        <f t="shared" si="1"/>
        <v>38.5</v>
      </c>
      <c r="I12" s="80">
        <f>VLOOKUP(B12,All_Ingredients!$A$1:$F$149,6,FALSE())</f>
        <v>1</v>
      </c>
      <c r="J12" s="118">
        <f>VLOOKUP(B12,All_Ingredients!$A$1:$J$149,10,FALSE())</f>
        <v>0.74</v>
      </c>
      <c r="K12" s="121">
        <f t="shared" si="5"/>
        <v>3.85E-2</v>
      </c>
      <c r="L12" s="121">
        <f t="shared" si="6"/>
        <v>2.8489999999999998E-2</v>
      </c>
      <c r="M12" s="130"/>
    </row>
    <row r="13" spans="1:32" ht="14.25" customHeight="1" x14ac:dyDescent="0.25">
      <c r="A13" s="294" t="s">
        <v>95</v>
      </c>
      <c r="B13" s="322" t="s">
        <v>100</v>
      </c>
      <c r="C13" s="123" t="s">
        <v>14</v>
      </c>
      <c r="D13" s="115">
        <v>4</v>
      </c>
      <c r="E13" s="115">
        <f t="shared" si="4"/>
        <v>19.25</v>
      </c>
      <c r="F13" s="126">
        <v>1</v>
      </c>
      <c r="G13" s="118">
        <f t="shared" si="0"/>
        <v>77</v>
      </c>
      <c r="H13" s="119">
        <f t="shared" si="1"/>
        <v>77</v>
      </c>
      <c r="I13" s="80">
        <f>VLOOKUP(B13,All_Ingredients!$A$1:$F$149,6,FALSE())</f>
        <v>1</v>
      </c>
      <c r="J13" s="118">
        <f>VLOOKUP(B13,All_Ingredients!$A$1:$J$149,10,FALSE())</f>
        <v>31</v>
      </c>
      <c r="K13" s="121">
        <f t="shared" si="5"/>
        <v>7.6999999999999999E-2</v>
      </c>
      <c r="L13" s="121">
        <f t="shared" si="6"/>
        <v>2.387</v>
      </c>
      <c r="M13" s="130"/>
    </row>
    <row r="14" spans="1:32" ht="14.25" customHeight="1" x14ac:dyDescent="0.25">
      <c r="A14" s="294" t="s">
        <v>95</v>
      </c>
      <c r="B14" s="322" t="s">
        <v>106</v>
      </c>
      <c r="C14" s="123" t="s">
        <v>14</v>
      </c>
      <c r="D14" s="115">
        <v>6</v>
      </c>
      <c r="E14" s="115">
        <f t="shared" si="4"/>
        <v>19.25</v>
      </c>
      <c r="F14" s="126">
        <v>1</v>
      </c>
      <c r="G14" s="118">
        <f t="shared" si="0"/>
        <v>115.5</v>
      </c>
      <c r="H14" s="119">
        <f t="shared" si="1"/>
        <v>115.5</v>
      </c>
      <c r="I14" s="80">
        <f>VLOOKUP(B14,All_Ingredients!$A$1:$F$149,6,FALSE())</f>
        <v>1</v>
      </c>
      <c r="J14" s="118">
        <f>VLOOKUP(B14,All_Ingredients!$A$1:$J$149,10,FALSE())</f>
        <v>15</v>
      </c>
      <c r="K14" s="121">
        <f t="shared" si="5"/>
        <v>0.11550000000000001</v>
      </c>
      <c r="L14" s="121">
        <f t="shared" si="6"/>
        <v>1.7325000000000002</v>
      </c>
      <c r="M14" s="130"/>
    </row>
    <row r="15" spans="1:32" ht="14.25" customHeight="1" x14ac:dyDescent="0.25">
      <c r="A15" s="294" t="s">
        <v>154</v>
      </c>
      <c r="B15" s="322" t="s">
        <v>153</v>
      </c>
      <c r="C15" s="123" t="s">
        <v>14</v>
      </c>
      <c r="D15" s="115">
        <v>84</v>
      </c>
      <c r="E15" s="115">
        <f t="shared" si="4"/>
        <v>19.25</v>
      </c>
      <c r="F15" s="126">
        <v>1</v>
      </c>
      <c r="G15" s="118">
        <f t="shared" si="0"/>
        <v>1617</v>
      </c>
      <c r="H15" s="119">
        <f t="shared" si="1"/>
        <v>1617</v>
      </c>
      <c r="I15" s="80">
        <f>VLOOKUP(B15,All_Ingredients!$A$1:$F$149,6,FALSE())</f>
        <v>1</v>
      </c>
      <c r="J15" s="118">
        <f>VLOOKUP(B15,All_Ingredients!$A$1:$J$149,10,FALSE())</f>
        <v>30</v>
      </c>
      <c r="K15" s="121">
        <f t="shared" si="5"/>
        <v>1.617</v>
      </c>
      <c r="L15" s="121">
        <f t="shared" si="6"/>
        <v>48.51</v>
      </c>
      <c r="M15" s="130"/>
    </row>
    <row r="16" spans="1:32" ht="14" customHeight="1" x14ac:dyDescent="0.25">
      <c r="B16" s="322" t="s">
        <v>878</v>
      </c>
      <c r="C16" s="123" t="s">
        <v>234</v>
      </c>
      <c r="D16" s="115">
        <v>1</v>
      </c>
      <c r="E16" s="115">
        <f>$Z$1+$AB$1</f>
        <v>175</v>
      </c>
      <c r="F16" s="126">
        <v>1</v>
      </c>
      <c r="G16" s="120">
        <f>D16*($Z$1+$AB$1)</f>
        <v>175</v>
      </c>
      <c r="H16" s="119">
        <f>G16*F16</f>
        <v>175</v>
      </c>
      <c r="I16" s="80">
        <f>VLOOKUP(B16,All_Ingredients!$A$1:$F$149,6,FALSE())</f>
        <v>1</v>
      </c>
      <c r="J16" s="118">
        <f>VLOOKUP(B16,All_Ingredients!$A$1:$J$149,10,FALSE())</f>
        <v>0.5</v>
      </c>
      <c r="K16" s="174">
        <f>H16*I16</f>
        <v>175</v>
      </c>
      <c r="L16" s="121">
        <f>K16*J16</f>
        <v>87.5</v>
      </c>
      <c r="M16" s="136"/>
      <c r="N16" s="130"/>
      <c r="O16" s="130"/>
    </row>
    <row r="17" spans="2:31" ht="14" customHeight="1" x14ac:dyDescent="0.3">
      <c r="B17" s="11"/>
      <c r="C17" s="478"/>
      <c r="D17" s="478"/>
      <c r="E17" s="99"/>
      <c r="F17" s="99"/>
      <c r="K17" s="138"/>
      <c r="L17" s="91"/>
      <c r="M17" s="136"/>
      <c r="N17" s="130"/>
      <c r="O17" s="130"/>
    </row>
    <row r="18" spans="2:31" ht="14" customHeight="1" x14ac:dyDescent="0.25">
      <c r="C18" s="335"/>
      <c r="D18" s="336"/>
      <c r="E18" s="99"/>
      <c r="F18" s="99"/>
      <c r="K18" s="138"/>
      <c r="L18" s="91"/>
      <c r="M18" s="136"/>
      <c r="N18" s="130"/>
      <c r="O18" s="130"/>
    </row>
    <row r="19" spans="2:31" ht="14" customHeight="1" x14ac:dyDescent="0.25">
      <c r="C19" s="335"/>
      <c r="D19" s="336"/>
      <c r="E19" s="99"/>
      <c r="F19" s="99"/>
      <c r="K19" s="138"/>
      <c r="L19" s="91"/>
      <c r="M19" s="136"/>
      <c r="N19" s="130"/>
      <c r="O19" s="130"/>
    </row>
    <row r="20" spans="2:31" ht="14" customHeight="1" x14ac:dyDescent="0.3">
      <c r="B20" s="11"/>
      <c r="C20" s="335"/>
      <c r="D20" s="336"/>
      <c r="E20" s="99"/>
      <c r="F20" s="99"/>
      <c r="K20" s="138"/>
      <c r="L20" s="91"/>
      <c r="M20" s="136"/>
      <c r="N20" s="130"/>
      <c r="O20" s="130"/>
    </row>
    <row r="21" spans="2:31" ht="14" customHeight="1" x14ac:dyDescent="0.25">
      <c r="K21" s="138"/>
      <c r="L21" s="91"/>
      <c r="M21" s="136"/>
      <c r="N21" s="130"/>
      <c r="O21" s="130"/>
    </row>
    <row r="22" spans="2:31" ht="14" customHeight="1" x14ac:dyDescent="0.25">
      <c r="K22" s="138"/>
      <c r="L22" s="91"/>
      <c r="M22" s="136"/>
      <c r="N22" s="130"/>
      <c r="O22" s="130"/>
    </row>
    <row r="23" spans="2:31" ht="14" customHeight="1" x14ac:dyDescent="0.25">
      <c r="B23" s="99"/>
      <c r="E23" s="99"/>
      <c r="F23" s="99"/>
    </row>
    <row r="24" spans="2:31" ht="21.5" customHeight="1" x14ac:dyDescent="0.25">
      <c r="B24" s="99"/>
      <c r="C24" s="99"/>
      <c r="D24" s="345"/>
      <c r="E24" s="99"/>
      <c r="F24" s="99"/>
      <c r="G24" s="99"/>
      <c r="H24" s="99"/>
      <c r="I24" s="99"/>
      <c r="J24" s="99"/>
      <c r="Z24" s="1208"/>
    </row>
    <row r="25" spans="2:31" ht="14" customHeight="1" x14ac:dyDescent="0.3">
      <c r="B25" s="99"/>
      <c r="C25" s="99"/>
      <c r="D25" s="99"/>
      <c r="E25" s="99"/>
      <c r="F25" s="99"/>
      <c r="G25" s="99"/>
      <c r="H25" s="99"/>
      <c r="I25" s="99"/>
      <c r="J25" s="99"/>
      <c r="R25" s="1467" t="s">
        <v>470</v>
      </c>
      <c r="S25" s="1467"/>
      <c r="T25" s="1467"/>
      <c r="U25" s="1467"/>
      <c r="V25" s="1187"/>
      <c r="W25" s="1187"/>
      <c r="Z25" s="140" t="s">
        <v>256</v>
      </c>
      <c r="AA25" s="141">
        <v>1</v>
      </c>
      <c r="AB25" s="140" t="s">
        <v>253</v>
      </c>
      <c r="AC25" s="1207">
        <f>AE30*AA25</f>
        <v>2.6210425300552842</v>
      </c>
      <c r="AD25" s="14"/>
    </row>
    <row r="26" spans="2:31" ht="14" customHeight="1" x14ac:dyDescent="0.25">
      <c r="R26" s="1477" t="s">
        <v>301</v>
      </c>
      <c r="S26" s="1477"/>
      <c r="T26" s="1477"/>
      <c r="U26" s="1477"/>
      <c r="V26" s="1187"/>
      <c r="W26" s="1187"/>
      <c r="AD26" s="14"/>
    </row>
    <row r="27" spans="2:31" ht="14" customHeight="1" thickBot="1" x14ac:dyDescent="0.35">
      <c r="R27" s="144" t="s">
        <v>258</v>
      </c>
      <c r="S27" s="144" t="s">
        <v>302</v>
      </c>
      <c r="T27" s="144" t="s">
        <v>340</v>
      </c>
      <c r="U27" s="144" t="s">
        <v>261</v>
      </c>
      <c r="V27" s="145" t="s">
        <v>823</v>
      </c>
      <c r="W27" s="145" t="s">
        <v>818</v>
      </c>
      <c r="Z27" s="140" t="s">
        <v>262</v>
      </c>
      <c r="AA27" s="146" t="s">
        <v>263</v>
      </c>
      <c r="AB27" s="146" t="s">
        <v>264</v>
      </c>
      <c r="AC27" s="146" t="s">
        <v>821</v>
      </c>
      <c r="AD27" s="146" t="s">
        <v>818</v>
      </c>
      <c r="AE27" s="146" t="s">
        <v>266</v>
      </c>
    </row>
    <row r="28" spans="2:31" ht="14" customHeight="1" thickBot="1" x14ac:dyDescent="0.35">
      <c r="B28" s="99"/>
      <c r="E28" s="99"/>
      <c r="F28" s="99"/>
      <c r="M28" s="337"/>
      <c r="R28" s="144" t="s">
        <v>267</v>
      </c>
      <c r="S28" s="786">
        <f>U28*S40</f>
        <v>13076.923076923074</v>
      </c>
      <c r="T28" s="785">
        <f>U28*U40</f>
        <v>3923.076923076927</v>
      </c>
      <c r="U28" s="784">
        <f>$Z$1*$T$1</f>
        <v>17000</v>
      </c>
      <c r="V28" s="148"/>
      <c r="W28" s="148">
        <f>H16</f>
        <v>175</v>
      </c>
      <c r="Z28" s="150"/>
      <c r="AA28" s="151">
        <f>AA25*$S$40</f>
        <v>0.76923076923076905</v>
      </c>
      <c r="AB28" s="151">
        <f>AA25-AA28</f>
        <v>0.23076923076923095</v>
      </c>
      <c r="AC28" s="1186"/>
      <c r="AD28" s="1186"/>
      <c r="AE28" s="153">
        <f>SUM(AA28:AB28)</f>
        <v>1</v>
      </c>
    </row>
    <row r="29" spans="2:31" ht="14" customHeight="1" thickBot="1" x14ac:dyDescent="0.35">
      <c r="B29" s="99"/>
      <c r="C29" s="99"/>
      <c r="D29" s="345"/>
      <c r="E29" s="99"/>
      <c r="F29" s="99"/>
      <c r="G29" s="99"/>
      <c r="H29" s="99"/>
      <c r="I29" s="99"/>
      <c r="J29" s="99"/>
      <c r="R29" s="144" t="s">
        <v>268</v>
      </c>
      <c r="S29" s="787"/>
      <c r="T29" s="786"/>
      <c r="U29" s="338">
        <f>T29</f>
        <v>0</v>
      </c>
      <c r="V29" s="148"/>
      <c r="W29" s="148"/>
      <c r="Z29" s="150"/>
      <c r="AA29" s="155">
        <f>AA28/$AE$28</f>
        <v>0.76923076923076905</v>
      </c>
      <c r="AB29" s="155">
        <f>AB28/$AE$28</f>
        <v>0.23076923076923095</v>
      </c>
      <c r="AC29" s="1186"/>
      <c r="AD29" s="1186"/>
      <c r="AE29" s="155">
        <f>AE28/$AE$28</f>
        <v>1</v>
      </c>
    </row>
    <row r="30" spans="2:31" ht="14" customHeight="1" thickBot="1" x14ac:dyDescent="0.35">
      <c r="R30" s="144" t="s">
        <v>269</v>
      </c>
      <c r="S30" s="1335">
        <f>U30*S40</f>
        <v>384.61538461538453</v>
      </c>
      <c r="T30" s="1335">
        <f>U30*(1/3)</f>
        <v>166.66666666666666</v>
      </c>
      <c r="U30" s="784">
        <f>$AB$1*$T$1</f>
        <v>500</v>
      </c>
      <c r="V30" s="1124"/>
      <c r="W30" s="1124"/>
      <c r="Z30" s="140" t="s">
        <v>270</v>
      </c>
      <c r="AA30" s="156">
        <f>S35/(AF1)</f>
        <v>1.304251304251304</v>
      </c>
      <c r="AB30" s="1185">
        <f>T35/AF1</f>
        <v>0.81679122580398034</v>
      </c>
      <c r="AC30" s="297">
        <f>V35/AF1</f>
        <v>0</v>
      </c>
      <c r="AD30" s="1126">
        <f>W35/$AF$1</f>
        <v>0.5</v>
      </c>
      <c r="AE30" s="1129">
        <f>AA30+AB30+AC30+AD30</f>
        <v>2.6210425300552842</v>
      </c>
    </row>
    <row r="31" spans="2:31" ht="14" customHeight="1" thickBot="1" x14ac:dyDescent="0.35">
      <c r="R31" s="144" t="s">
        <v>271</v>
      </c>
      <c r="S31" s="293"/>
      <c r="T31" s="293"/>
      <c r="U31" s="338">
        <f>T31</f>
        <v>0</v>
      </c>
      <c r="V31" s="148"/>
      <c r="W31" s="148"/>
    </row>
    <row r="32" spans="2:31" ht="14" customHeight="1" thickBot="1" x14ac:dyDescent="0.35">
      <c r="B32" s="99"/>
      <c r="E32" s="99"/>
      <c r="F32" s="99"/>
      <c r="R32" s="145" t="s">
        <v>261</v>
      </c>
      <c r="S32" s="339">
        <f>SUM(S28:S30)</f>
        <v>13461.538461538459</v>
      </c>
      <c r="T32" s="339">
        <f>SUM(T28:T30)</f>
        <v>4089.7435897435935</v>
      </c>
      <c r="U32" s="339">
        <f>SUM(U28:U30)</f>
        <v>17500</v>
      </c>
      <c r="V32" s="148"/>
      <c r="W32" s="148"/>
    </row>
    <row r="33" spans="2:23" ht="14" customHeight="1" thickBot="1" x14ac:dyDescent="0.35">
      <c r="B33" s="99"/>
      <c r="C33" s="99"/>
      <c r="D33" s="345"/>
      <c r="E33" s="99"/>
      <c r="F33" s="99"/>
      <c r="G33" s="99"/>
      <c r="H33" s="99"/>
      <c r="I33" s="99"/>
      <c r="J33" s="99"/>
      <c r="R33" s="340" t="s">
        <v>258</v>
      </c>
      <c r="S33" s="341"/>
      <c r="T33" s="341"/>
      <c r="U33" s="342"/>
      <c r="V33" s="154"/>
      <c r="W33" s="154"/>
    </row>
    <row r="34" spans="2:23" ht="14" customHeight="1" thickBot="1" x14ac:dyDescent="0.35">
      <c r="B34" s="99"/>
      <c r="C34" s="99"/>
      <c r="D34" s="99"/>
      <c r="E34" s="99"/>
      <c r="F34" s="99"/>
      <c r="G34" s="99"/>
      <c r="H34" s="99"/>
      <c r="I34" s="99"/>
      <c r="J34" s="99"/>
      <c r="R34" s="177" t="s">
        <v>273</v>
      </c>
      <c r="S34" s="343"/>
      <c r="T34" s="344"/>
      <c r="U34" s="343"/>
      <c r="V34" s="154"/>
      <c r="W34" s="154"/>
    </row>
    <row r="35" spans="2:23" ht="12.75" customHeight="1" thickBot="1" x14ac:dyDescent="0.35">
      <c r="B35" s="1493"/>
      <c r="C35" s="1460"/>
      <c r="D35" s="1460"/>
      <c r="E35" s="1460"/>
      <c r="F35" s="1460"/>
      <c r="G35" s="1460"/>
      <c r="H35" s="1460"/>
      <c r="I35" s="1460"/>
      <c r="J35" s="1460"/>
      <c r="R35" s="162" t="s">
        <v>253</v>
      </c>
      <c r="S35" s="1125">
        <f>$L$5</f>
        <v>228.24397824397821</v>
      </c>
      <c r="T35" s="1125">
        <f>SUM(L6:L15)</f>
        <v>142.93846451569655</v>
      </c>
      <c r="U35" s="1125">
        <f>S35+T35+V35+W35</f>
        <v>458.68244275967476</v>
      </c>
      <c r="V35" s="1125"/>
      <c r="W35" s="1125">
        <f>L16</f>
        <v>87.5</v>
      </c>
    </row>
    <row r="36" spans="2:23" ht="12.75" customHeight="1" x14ac:dyDescent="0.25">
      <c r="B36" s="1465"/>
      <c r="C36" s="1460"/>
      <c r="D36" s="1460"/>
      <c r="E36" s="1460"/>
      <c r="F36" s="1460"/>
      <c r="G36" s="1460"/>
      <c r="H36" s="1460"/>
      <c r="I36" s="1460"/>
      <c r="J36" s="1460"/>
    </row>
    <row r="37" spans="2:23" ht="12.75" customHeight="1" x14ac:dyDescent="0.25"/>
    <row r="38" spans="2:23" ht="12.75" customHeight="1" x14ac:dyDescent="0.25">
      <c r="B38" s="99"/>
      <c r="E38" s="99"/>
      <c r="F38" s="99"/>
    </row>
    <row r="39" spans="2:23" ht="12.75" customHeight="1" x14ac:dyDescent="0.25">
      <c r="B39" s="99"/>
      <c r="C39" s="99"/>
      <c r="D39" s="345"/>
      <c r="E39" s="99"/>
      <c r="F39" s="99"/>
      <c r="G39" s="99"/>
      <c r="H39" s="99"/>
      <c r="I39" s="99"/>
      <c r="J39" s="99"/>
    </row>
    <row r="40" spans="2:23" ht="24" customHeight="1" x14ac:dyDescent="0.3">
      <c r="B40" s="99"/>
      <c r="C40" s="99"/>
      <c r="D40" s="99"/>
      <c r="E40" s="99"/>
      <c r="F40" s="99"/>
      <c r="G40" s="99"/>
      <c r="H40" s="99"/>
      <c r="I40" s="99"/>
      <c r="J40" s="99"/>
      <c r="R40" s="164" t="s">
        <v>274</v>
      </c>
      <c r="S40" s="165">
        <v>0.76923076923076905</v>
      </c>
      <c r="T40" s="164" t="s">
        <v>275</v>
      </c>
      <c r="U40" s="166">
        <v>0.230769230769231</v>
      </c>
      <c r="V40" s="167">
        <f>S40+U40</f>
        <v>1</v>
      </c>
    </row>
    <row r="41" spans="2:23" ht="17.75" customHeight="1" x14ac:dyDescent="0.25">
      <c r="B41" s="1493"/>
      <c r="C41" s="1460"/>
      <c r="D41" s="1460"/>
      <c r="E41" s="1460"/>
      <c r="F41" s="1460"/>
      <c r="G41" s="1460"/>
      <c r="H41" s="1460"/>
      <c r="I41" s="1460"/>
      <c r="J41" s="1460"/>
      <c r="U41" s="168"/>
    </row>
    <row r="42" spans="2:23" ht="17.75" customHeight="1" x14ac:dyDescent="0.25">
      <c r="B42" s="1465"/>
      <c r="C42" s="1460"/>
      <c r="D42" s="1460"/>
      <c r="E42" s="1460"/>
      <c r="F42" s="1460"/>
      <c r="G42" s="1460"/>
      <c r="H42" s="1460"/>
      <c r="I42" s="1460"/>
      <c r="J42" s="1460"/>
    </row>
    <row r="43" spans="2:23" ht="12.75" customHeight="1" x14ac:dyDescent="0.3">
      <c r="B43" s="346"/>
      <c r="C43" s="347"/>
      <c r="D43" s="346"/>
      <c r="E43" s="346"/>
      <c r="F43" s="346"/>
      <c r="G43" s="346"/>
      <c r="H43" s="346"/>
      <c r="I43" s="346"/>
      <c r="J43" s="346"/>
      <c r="Q43" s="169" t="s">
        <v>276</v>
      </c>
      <c r="R43" s="169" t="s">
        <v>277</v>
      </c>
      <c r="S43" s="169" t="s">
        <v>278</v>
      </c>
      <c r="T43" s="169" t="s">
        <v>279</v>
      </c>
      <c r="U43" s="169" t="s">
        <v>280</v>
      </c>
      <c r="V43" s="169" t="s">
        <v>281</v>
      </c>
      <c r="W43" s="257" t="s">
        <v>282</v>
      </c>
    </row>
    <row r="44" spans="2:23" ht="14" customHeight="1" x14ac:dyDescent="0.3">
      <c r="B44" s="348"/>
      <c r="C44" s="348"/>
      <c r="D44" s="332"/>
      <c r="E44" s="332"/>
      <c r="F44" s="135"/>
      <c r="G44" s="136"/>
      <c r="H44" s="137"/>
      <c r="I44" s="91"/>
      <c r="J44" s="138"/>
      <c r="Q44" s="171">
        <v>43334</v>
      </c>
      <c r="R44" s="172">
        <f>D51</f>
        <v>10000</v>
      </c>
      <c r="S44" s="173">
        <v>1</v>
      </c>
      <c r="T44" s="173">
        <v>0</v>
      </c>
      <c r="U44" s="241">
        <f>R44*S44</f>
        <v>10000</v>
      </c>
      <c r="V44" s="175">
        <f>R44*T44</f>
        <v>0</v>
      </c>
      <c r="W44" s="259">
        <f>Q44-U44</f>
        <v>33334</v>
      </c>
    </row>
    <row r="45" spans="2:23" ht="14" customHeight="1" x14ac:dyDescent="0.25">
      <c r="B45" s="348"/>
      <c r="C45" s="348"/>
      <c r="D45" s="332"/>
      <c r="E45" s="332"/>
      <c r="F45" s="135"/>
      <c r="G45" s="136"/>
      <c r="H45" s="137"/>
      <c r="I45" s="91"/>
      <c r="J45" s="138"/>
    </row>
    <row r="46" spans="2:23" ht="14.25" customHeight="1" x14ac:dyDescent="0.25">
      <c r="B46" s="348"/>
      <c r="C46" s="348"/>
      <c r="D46" s="332"/>
      <c r="E46" s="332"/>
      <c r="F46" s="135"/>
      <c r="G46" s="136"/>
      <c r="H46" s="137"/>
      <c r="I46" s="91"/>
      <c r="J46" s="138"/>
    </row>
    <row r="47" spans="2:23" ht="14.25" customHeight="1" x14ac:dyDescent="0.25">
      <c r="B47" s="348"/>
      <c r="C47" s="348"/>
      <c r="D47" s="332"/>
      <c r="E47" s="332"/>
      <c r="F47" s="135"/>
      <c r="G47" s="136"/>
      <c r="H47" s="137"/>
      <c r="I47" s="91"/>
      <c r="J47" s="138"/>
    </row>
    <row r="48" spans="2:23" ht="14.25" customHeight="1" x14ac:dyDescent="0.25">
      <c r="B48" s="348"/>
      <c r="C48" s="348"/>
      <c r="D48" s="332"/>
      <c r="E48" s="332"/>
      <c r="F48" s="135"/>
      <c r="G48" s="136"/>
      <c r="H48" s="137"/>
      <c r="I48" s="91"/>
      <c r="J48" s="138"/>
    </row>
    <row r="49" spans="1:10" ht="14.25" customHeight="1" x14ac:dyDescent="0.25">
      <c r="B49" s="348"/>
      <c r="C49" s="348"/>
      <c r="D49" s="332"/>
      <c r="E49" s="332"/>
      <c r="F49" s="135"/>
      <c r="G49" s="136"/>
      <c r="H49" s="137"/>
      <c r="I49" s="91"/>
      <c r="J49" s="138"/>
    </row>
    <row r="50" spans="1:10" ht="14.25" customHeight="1" x14ac:dyDescent="0.3">
      <c r="B50" s="349"/>
      <c r="C50" s="177" t="s">
        <v>237</v>
      </c>
      <c r="D50" s="177" t="s">
        <v>283</v>
      </c>
      <c r="E50" s="99"/>
      <c r="F50" s="99"/>
      <c r="G50" s="144" t="s">
        <v>284</v>
      </c>
      <c r="H50" s="144" t="s">
        <v>237</v>
      </c>
      <c r="I50" s="177" t="s">
        <v>285</v>
      </c>
      <c r="J50" s="177" t="s">
        <v>286</v>
      </c>
    </row>
    <row r="51" spans="1:10" ht="14.25" customHeight="1" x14ac:dyDescent="0.3">
      <c r="B51" s="179" t="s">
        <v>287</v>
      </c>
      <c r="C51" s="180">
        <f>10/$K$1</f>
        <v>11</v>
      </c>
      <c r="D51" s="181">
        <f>$C$1*10</f>
        <v>10000</v>
      </c>
      <c r="E51" s="182"/>
      <c r="F51" s="99"/>
      <c r="G51" s="179" t="s">
        <v>287</v>
      </c>
      <c r="H51" s="276">
        <f>I51/$D$5</f>
        <v>10</v>
      </c>
      <c r="I51" s="180">
        <f>J51/$R$1</f>
        <v>47620</v>
      </c>
      <c r="J51" s="180">
        <f>$W$44</f>
        <v>33334</v>
      </c>
    </row>
    <row r="52" spans="1:10" ht="14.25" customHeight="1" x14ac:dyDescent="0.3">
      <c r="B52" s="230" t="s">
        <v>266</v>
      </c>
      <c r="C52" s="231">
        <f>$I$1</f>
        <v>19.25</v>
      </c>
      <c r="D52" s="232">
        <f>$E$1</f>
        <v>17500</v>
      </c>
      <c r="E52" s="99"/>
      <c r="F52" s="99"/>
      <c r="G52" s="147" t="s">
        <v>266</v>
      </c>
      <c r="H52" s="566">
        <f>I52/$D$5</f>
        <v>4.0383807708461203</v>
      </c>
      <c r="I52" s="175">
        <f>J52/$R$1</f>
        <v>19230.769230769227</v>
      </c>
      <c r="J52" s="183">
        <f>S32</f>
        <v>13461.538461538459</v>
      </c>
    </row>
    <row r="53" spans="1:10" ht="14.25" customHeight="1" x14ac:dyDescent="0.3">
      <c r="B53" s="230" t="s">
        <v>288</v>
      </c>
      <c r="C53" s="233">
        <f>MIN(C52, C51)</f>
        <v>11</v>
      </c>
      <c r="D53" s="232">
        <f>(C53*$K$1)*$C$1</f>
        <v>10000</v>
      </c>
      <c r="E53" s="99"/>
      <c r="F53" s="99"/>
      <c r="G53" s="147" t="s">
        <v>288</v>
      </c>
      <c r="H53" s="186">
        <f>MIN(H52,H51)</f>
        <v>4.0383807708461203</v>
      </c>
      <c r="I53" s="175">
        <f>J53/$R$1</f>
        <v>19230.769230769227</v>
      </c>
      <c r="J53" s="175">
        <f>MIN(J52,J51)</f>
        <v>13461.538461538459</v>
      </c>
    </row>
    <row r="54" spans="1:10" ht="14.25" customHeight="1" x14ac:dyDescent="0.3">
      <c r="B54" s="230" t="s">
        <v>289</v>
      </c>
      <c r="C54" s="233">
        <f>MIN(MAX(C52-C53,0),C51)</f>
        <v>8.25</v>
      </c>
      <c r="D54" s="232">
        <f>(C54*$K$1)*$C$1</f>
        <v>7500</v>
      </c>
      <c r="E54" s="99"/>
      <c r="F54" s="99"/>
      <c r="G54" s="147" t="s">
        <v>289</v>
      </c>
      <c r="H54" s="186">
        <f>MIN(MAX(H52-H53),H51)</f>
        <v>0</v>
      </c>
      <c r="I54" s="175">
        <f>J54/$R$1</f>
        <v>0</v>
      </c>
      <c r="J54" s="175">
        <f>MIN(MAX(J52-J53),J51)</f>
        <v>0</v>
      </c>
    </row>
    <row r="55" spans="1:10" ht="14.25" customHeight="1" x14ac:dyDescent="0.3">
      <c r="B55" s="230" t="s">
        <v>290</v>
      </c>
      <c r="C55" s="233">
        <f>MIN(MAX(C52-C53-C54,0),C51)</f>
        <v>0</v>
      </c>
      <c r="D55" s="232">
        <f>(C55*$K$1)*$C$1</f>
        <v>0</v>
      </c>
      <c r="E55" s="99"/>
      <c r="F55" s="99"/>
      <c r="G55" s="144" t="s">
        <v>290</v>
      </c>
      <c r="H55" s="186">
        <f>MIN(MAX(H52-H53-H54),H51)</f>
        <v>0</v>
      </c>
      <c r="I55" s="175">
        <f>J55/$R$1</f>
        <v>0</v>
      </c>
      <c r="J55" s="175">
        <f>MIN(MAX(J52-J53-J54),J51)</f>
        <v>0</v>
      </c>
    </row>
    <row r="56" spans="1:10" ht="14.25" customHeight="1" x14ac:dyDescent="0.25">
      <c r="B56" s="1465"/>
      <c r="C56" s="1460"/>
      <c r="D56" s="1460"/>
      <c r="E56" s="1460"/>
      <c r="F56" s="1460"/>
      <c r="G56" s="1460"/>
      <c r="H56" s="1460"/>
      <c r="I56" s="1460"/>
      <c r="J56" s="1460"/>
    </row>
    <row r="57" spans="1:10" ht="17.75" customHeight="1" x14ac:dyDescent="0.25">
      <c r="B57" s="346"/>
      <c r="C57" s="347"/>
      <c r="D57" s="346"/>
      <c r="E57" s="346"/>
      <c r="F57" s="346"/>
      <c r="G57" s="346"/>
      <c r="H57" s="346"/>
      <c r="I57" s="346"/>
      <c r="J57" s="346"/>
    </row>
    <row r="58" spans="1:10" ht="12.75" customHeight="1" x14ac:dyDescent="0.3">
      <c r="B58" s="11"/>
      <c r="C58" s="348"/>
      <c r="D58" s="348"/>
      <c r="E58" s="332"/>
      <c r="F58" s="135"/>
      <c r="G58" s="136"/>
      <c r="H58" s="137"/>
      <c r="I58" s="91"/>
      <c r="J58" s="138"/>
    </row>
    <row r="59" spans="1:10" ht="14.25" customHeight="1" x14ac:dyDescent="0.3">
      <c r="B59" s="11"/>
      <c r="C59" s="348"/>
      <c r="D59" s="348"/>
      <c r="E59" s="332"/>
      <c r="F59" s="135"/>
      <c r="G59" s="136"/>
      <c r="H59" s="137"/>
      <c r="I59" s="91"/>
      <c r="J59" s="138"/>
    </row>
    <row r="60" spans="1:10" ht="14.25" customHeight="1" x14ac:dyDescent="0.25">
      <c r="B60" s="348"/>
      <c r="C60" s="348"/>
      <c r="D60" s="348"/>
      <c r="E60" s="332"/>
      <c r="F60" s="135"/>
      <c r="G60" s="136"/>
      <c r="H60" s="137"/>
      <c r="I60" s="91"/>
      <c r="J60" s="138"/>
    </row>
    <row r="61" spans="1:10" ht="14.25" customHeight="1" x14ac:dyDescent="0.3">
      <c r="B61" s="1465"/>
      <c r="C61" s="1458"/>
      <c r="D61" s="1458"/>
      <c r="E61" s="1458"/>
      <c r="F61" s="1458"/>
      <c r="G61" s="1458"/>
      <c r="H61" s="1458"/>
    </row>
    <row r="62" spans="1:10" ht="17.75" customHeight="1" x14ac:dyDescent="0.3">
      <c r="B62" s="1465"/>
      <c r="C62" s="1458"/>
      <c r="D62" s="1458"/>
      <c r="E62" s="1458"/>
      <c r="F62" s="1458"/>
      <c r="G62" s="1458"/>
      <c r="H62" s="1458"/>
    </row>
    <row r="63" spans="1:10" ht="18" customHeight="1" x14ac:dyDescent="0.25">
      <c r="A63" s="370"/>
      <c r="B63" s="346"/>
      <c r="C63" s="347"/>
      <c r="D63" s="346"/>
      <c r="E63" s="346"/>
      <c r="F63" s="346"/>
      <c r="G63" s="346"/>
      <c r="H63" s="346"/>
    </row>
    <row r="64" spans="1:10" ht="36" customHeight="1" x14ac:dyDescent="0.25">
      <c r="B64" s="348"/>
      <c r="C64" s="348"/>
      <c r="D64" s="898"/>
      <c r="E64" s="295"/>
      <c r="F64" s="135"/>
      <c r="G64" s="139"/>
      <c r="H64" s="137"/>
    </row>
    <row r="65" spans="2:14" ht="14" customHeight="1" x14ac:dyDescent="0.25">
      <c r="B65" s="348"/>
      <c r="C65" s="348"/>
      <c r="D65" s="348"/>
      <c r="E65" s="480"/>
      <c r="F65" s="135"/>
      <c r="G65" s="136"/>
      <c r="H65" s="137"/>
      <c r="I65" s="91"/>
      <c r="J65" s="136"/>
      <c r="L65" s="136"/>
      <c r="M65" s="130"/>
      <c r="N65" s="130"/>
    </row>
    <row r="66" spans="2:14" ht="14.25" customHeight="1" x14ac:dyDescent="0.25">
      <c r="B66" s="348"/>
      <c r="C66" s="348"/>
      <c r="D66" s="348"/>
      <c r="E66" s="480"/>
      <c r="F66" s="135"/>
      <c r="G66" s="136"/>
      <c r="H66" s="137"/>
      <c r="K66" s="130"/>
    </row>
    <row r="67" spans="2:14" ht="14.25" customHeight="1" x14ac:dyDescent="0.25">
      <c r="B67" s="348"/>
      <c r="C67" s="348"/>
      <c r="D67" s="348"/>
      <c r="E67" s="480"/>
      <c r="F67" s="135"/>
      <c r="G67" s="136"/>
      <c r="H67" s="137"/>
    </row>
    <row r="68" spans="2:14" ht="14.25" customHeight="1" x14ac:dyDescent="0.25">
      <c r="B68" s="348"/>
      <c r="C68" s="348"/>
      <c r="D68" s="348"/>
      <c r="E68" s="480"/>
      <c r="F68" s="135"/>
      <c r="G68" s="136"/>
      <c r="H68" s="137"/>
    </row>
    <row r="69" spans="2:14" ht="14.25" customHeight="1" x14ac:dyDescent="0.25">
      <c r="B69" s="348"/>
      <c r="C69" s="348"/>
      <c r="D69" s="348"/>
      <c r="E69" s="480"/>
      <c r="F69" s="135"/>
      <c r="G69" s="136"/>
      <c r="H69" s="137"/>
    </row>
    <row r="70" spans="2:14" ht="14.25" customHeight="1" x14ac:dyDescent="0.25">
      <c r="B70" s="348"/>
      <c r="C70" s="348"/>
      <c r="D70" s="348"/>
      <c r="E70" s="480"/>
      <c r="F70" s="135"/>
      <c r="G70" s="136"/>
      <c r="H70" s="137"/>
    </row>
    <row r="71" spans="2:14" ht="14.25" customHeight="1" x14ac:dyDescent="0.25">
      <c r="B71" s="348"/>
      <c r="C71" s="348"/>
      <c r="D71" s="348"/>
      <c r="E71" s="480"/>
      <c r="F71" s="135"/>
      <c r="G71" s="136"/>
      <c r="H71" s="137"/>
    </row>
    <row r="72" spans="2:14" ht="14.25" customHeight="1" x14ac:dyDescent="0.25">
      <c r="B72" s="348"/>
      <c r="C72" s="348"/>
      <c r="D72" s="348"/>
      <c r="E72" s="480"/>
      <c r="F72" s="135"/>
      <c r="G72" s="136"/>
      <c r="H72" s="137"/>
    </row>
    <row r="73" spans="2:14" ht="14.25" customHeight="1" x14ac:dyDescent="0.25">
      <c r="B73" s="348"/>
      <c r="C73" s="348"/>
      <c r="D73" s="348"/>
      <c r="E73" s="480"/>
      <c r="F73" s="135"/>
      <c r="G73" s="136"/>
      <c r="H73" s="137"/>
    </row>
    <row r="74" spans="2:14" ht="14.25" customHeight="1" x14ac:dyDescent="0.25">
      <c r="B74" s="348"/>
      <c r="C74" s="348"/>
      <c r="D74" s="348"/>
      <c r="E74" s="480"/>
      <c r="F74" s="135"/>
      <c r="G74" s="136"/>
      <c r="H74" s="137"/>
    </row>
    <row r="75" spans="2:14" ht="14.25" customHeight="1" x14ac:dyDescent="0.25">
      <c r="B75" s="99"/>
    </row>
    <row r="76" spans="2:14" ht="12.75" customHeight="1" x14ac:dyDescent="0.25"/>
    <row r="77" spans="2:14" x14ac:dyDescent="0.25">
      <c r="E77" s="99"/>
      <c r="F77" s="99"/>
    </row>
    <row r="78" spans="2:14" ht="12.75" customHeight="1" x14ac:dyDescent="0.25">
      <c r="E78" s="99"/>
      <c r="F78" s="99"/>
    </row>
    <row r="79" spans="2:14" ht="12.75" customHeight="1" x14ac:dyDescent="0.3">
      <c r="B79" s="1465"/>
      <c r="C79" s="1458"/>
      <c r="D79" s="1458"/>
      <c r="E79" s="1458"/>
      <c r="F79" s="1458"/>
      <c r="G79" s="1458"/>
      <c r="H79" s="1458"/>
    </row>
    <row r="80" spans="2:14" ht="17.75" customHeight="1" x14ac:dyDescent="0.3">
      <c r="B80" s="1465"/>
      <c r="C80" s="1458"/>
      <c r="D80" s="1458"/>
      <c r="E80" s="1458"/>
      <c r="F80" s="1458"/>
      <c r="G80" s="1458"/>
      <c r="H80" s="1458"/>
    </row>
    <row r="81" spans="1:8" ht="17.75" customHeight="1" x14ac:dyDescent="0.25">
      <c r="A81" s="370"/>
      <c r="B81" s="346"/>
      <c r="C81" s="347"/>
      <c r="D81" s="346"/>
      <c r="E81" s="346"/>
      <c r="F81" s="346"/>
      <c r="G81" s="346"/>
      <c r="H81" s="346"/>
    </row>
    <row r="82" spans="1:8" ht="25.5" customHeight="1" x14ac:dyDescent="0.25">
      <c r="B82" s="348"/>
      <c r="C82" s="348"/>
      <c r="D82" s="898"/>
      <c r="E82" s="295"/>
      <c r="F82" s="135"/>
      <c r="G82" s="139"/>
      <c r="H82" s="137"/>
    </row>
    <row r="83" spans="1:8" ht="14.25" customHeight="1" x14ac:dyDescent="0.25">
      <c r="B83" s="348"/>
      <c r="C83" s="348"/>
      <c r="D83" s="348"/>
      <c r="E83" s="480"/>
      <c r="F83" s="135"/>
      <c r="G83" s="136"/>
      <c r="H83" s="137"/>
    </row>
    <row r="84" spans="1:8" ht="14.25" customHeight="1" x14ac:dyDescent="0.25">
      <c r="B84" s="348"/>
      <c r="C84" s="348"/>
      <c r="D84" s="348"/>
      <c r="E84" s="480"/>
      <c r="F84" s="135"/>
      <c r="G84" s="136"/>
      <c r="H84" s="137"/>
    </row>
    <row r="85" spans="1:8" ht="14.25" customHeight="1" x14ac:dyDescent="0.25">
      <c r="B85" s="348"/>
      <c r="C85" s="348"/>
      <c r="D85" s="348"/>
      <c r="E85" s="480"/>
      <c r="F85" s="135"/>
      <c r="G85" s="136"/>
      <c r="H85" s="137"/>
    </row>
    <row r="86" spans="1:8" ht="14.25" customHeight="1" x14ac:dyDescent="0.25">
      <c r="B86" s="348"/>
      <c r="C86" s="348"/>
      <c r="D86" s="348"/>
      <c r="E86" s="480"/>
      <c r="F86" s="135"/>
      <c r="G86" s="136"/>
      <c r="H86" s="137"/>
    </row>
    <row r="87" spans="1:8" ht="14.25" customHeight="1" x14ac:dyDescent="0.25">
      <c r="B87" s="348"/>
      <c r="C87" s="348"/>
      <c r="D87" s="348"/>
      <c r="E87" s="480"/>
      <c r="F87" s="135"/>
      <c r="G87" s="136"/>
      <c r="H87" s="137"/>
    </row>
    <row r="88" spans="1:8" ht="14.25" customHeight="1" x14ac:dyDescent="0.25">
      <c r="B88" s="348"/>
      <c r="C88" s="348"/>
      <c r="D88" s="348"/>
      <c r="E88" s="480"/>
      <c r="F88" s="135"/>
      <c r="G88" s="136"/>
      <c r="H88" s="137"/>
    </row>
    <row r="89" spans="1:8" ht="14.25" customHeight="1" x14ac:dyDescent="0.25">
      <c r="B89" s="348"/>
      <c r="C89" s="348"/>
      <c r="D89" s="348"/>
      <c r="E89" s="480"/>
      <c r="F89" s="135"/>
      <c r="G89" s="136"/>
      <c r="H89" s="137"/>
    </row>
    <row r="90" spans="1:8" ht="14.25" customHeight="1" x14ac:dyDescent="0.25">
      <c r="B90" s="348"/>
      <c r="C90" s="348"/>
      <c r="D90" s="348"/>
      <c r="E90" s="480"/>
      <c r="F90" s="135"/>
      <c r="G90" s="136"/>
      <c r="H90" s="137"/>
    </row>
    <row r="91" spans="1:8" ht="14.25" customHeight="1" x14ac:dyDescent="0.25">
      <c r="B91" s="348"/>
      <c r="C91" s="348"/>
      <c r="D91" s="348"/>
      <c r="E91" s="480"/>
      <c r="F91" s="135"/>
      <c r="G91" s="136"/>
      <c r="H91" s="137"/>
    </row>
    <row r="92" spans="1:8" ht="14.25" customHeight="1" x14ac:dyDescent="0.25">
      <c r="B92" s="348"/>
      <c r="C92" s="348"/>
      <c r="D92" s="348"/>
      <c r="E92" s="480"/>
      <c r="F92" s="135"/>
      <c r="G92" s="136"/>
      <c r="H92" s="137"/>
    </row>
    <row r="93" spans="1:8" ht="14.25" customHeight="1" x14ac:dyDescent="0.25">
      <c r="B93" s="99"/>
      <c r="E93" s="99"/>
      <c r="F93" s="99"/>
    </row>
    <row r="94" spans="1:8" ht="12.75" customHeight="1" x14ac:dyDescent="0.25">
      <c r="B94" s="99"/>
      <c r="E94" s="99"/>
      <c r="F94" s="99"/>
    </row>
    <row r="95" spans="1:8" ht="12.75" customHeight="1" x14ac:dyDescent="0.25">
      <c r="B95" s="99"/>
      <c r="E95" s="99"/>
      <c r="F95" s="99"/>
    </row>
    <row r="96" spans="1:8" ht="12.75" customHeight="1" x14ac:dyDescent="0.25">
      <c r="B96" s="99"/>
      <c r="E96" s="99"/>
      <c r="F96" s="99"/>
    </row>
    <row r="97" spans="2:6" ht="12.75" customHeight="1" x14ac:dyDescent="0.25">
      <c r="B97" s="99"/>
      <c r="E97" s="99"/>
      <c r="F97" s="99"/>
    </row>
    <row r="98" spans="2:6" ht="12.75" customHeight="1" x14ac:dyDescent="0.25">
      <c r="B98" s="99"/>
      <c r="E98" s="99"/>
      <c r="F98" s="99"/>
    </row>
    <row r="99" spans="2:6" ht="12.75" customHeight="1" x14ac:dyDescent="0.25">
      <c r="B99" s="99"/>
      <c r="E99" s="99"/>
      <c r="F99" s="99"/>
    </row>
    <row r="100" spans="2:6" ht="12.75" customHeight="1" x14ac:dyDescent="0.25">
      <c r="B100" s="99"/>
      <c r="E100" s="99"/>
      <c r="F100" s="99"/>
    </row>
    <row r="101" spans="2:6" ht="12.75" customHeight="1" x14ac:dyDescent="0.25">
      <c r="B101" s="99"/>
      <c r="E101" s="99"/>
      <c r="F101" s="99"/>
    </row>
    <row r="102" spans="2:6" ht="12.75" customHeight="1" x14ac:dyDescent="0.25">
      <c r="B102" s="99"/>
      <c r="E102" s="99"/>
      <c r="F102" s="99"/>
    </row>
    <row r="103" spans="2:6" ht="12.75" customHeight="1" x14ac:dyDescent="0.25">
      <c r="B103" s="99"/>
      <c r="E103" s="99"/>
      <c r="F103" s="99"/>
    </row>
    <row r="104" spans="2:6" ht="12.75" customHeight="1" x14ac:dyDescent="0.25">
      <c r="B104" s="99"/>
      <c r="E104" s="99"/>
      <c r="F104" s="99"/>
    </row>
    <row r="105" spans="2:6" ht="12.75" customHeight="1" x14ac:dyDescent="0.25">
      <c r="B105" s="99"/>
      <c r="E105" s="99"/>
      <c r="F105" s="99"/>
    </row>
    <row r="106" spans="2:6" ht="12.75" customHeight="1" x14ac:dyDescent="0.25">
      <c r="B106" s="99"/>
      <c r="E106" s="99"/>
      <c r="F106" s="99"/>
    </row>
    <row r="107" spans="2:6" ht="12.75" customHeight="1" x14ac:dyDescent="0.25">
      <c r="B107" s="99"/>
      <c r="E107" s="99"/>
      <c r="F107" s="99"/>
    </row>
    <row r="108" spans="2:6" ht="12.75" customHeight="1" x14ac:dyDescent="0.25">
      <c r="B108" s="99"/>
      <c r="E108" s="99"/>
      <c r="F108" s="99"/>
    </row>
    <row r="109" spans="2:6" ht="12.75" customHeight="1" x14ac:dyDescent="0.25">
      <c r="B109" s="99"/>
      <c r="E109" s="99"/>
      <c r="F109" s="99"/>
    </row>
    <row r="110" spans="2:6" ht="12.75" customHeight="1" x14ac:dyDescent="0.25">
      <c r="B110" s="99"/>
      <c r="E110" s="99"/>
      <c r="F110" s="99"/>
    </row>
    <row r="111" spans="2:6" ht="12.75" customHeight="1" x14ac:dyDescent="0.25">
      <c r="B111" s="99"/>
      <c r="E111" s="99"/>
      <c r="F111" s="99"/>
    </row>
    <row r="112" spans="2:6" ht="12.75" customHeight="1" x14ac:dyDescent="0.25">
      <c r="B112" s="99"/>
      <c r="E112" s="99"/>
      <c r="F112" s="99"/>
    </row>
    <row r="113" spans="2:6" ht="12.75" customHeight="1" x14ac:dyDescent="0.25">
      <c r="B113" s="99"/>
      <c r="E113" s="99"/>
      <c r="F113" s="99"/>
    </row>
    <row r="114" spans="2:6" ht="12.75" customHeight="1" x14ac:dyDescent="0.25">
      <c r="B114" s="99"/>
      <c r="E114" s="99"/>
      <c r="F114" s="99"/>
    </row>
    <row r="115" spans="2:6" ht="12.75" customHeight="1" x14ac:dyDescent="0.25">
      <c r="B115" s="99"/>
      <c r="E115" s="99"/>
      <c r="F115" s="99"/>
    </row>
    <row r="116" spans="2:6" ht="12.75" customHeight="1" x14ac:dyDescent="0.25">
      <c r="B116" s="99"/>
      <c r="E116" s="99"/>
      <c r="F116" s="99"/>
    </row>
    <row r="117" spans="2:6" ht="12.75" customHeight="1" x14ac:dyDescent="0.25">
      <c r="B117" s="99"/>
      <c r="E117" s="99"/>
      <c r="F117" s="99"/>
    </row>
    <row r="118" spans="2:6" ht="12.75" customHeight="1" x14ac:dyDescent="0.25">
      <c r="B118" s="99"/>
      <c r="E118" s="99"/>
      <c r="F118" s="99"/>
    </row>
    <row r="119" spans="2:6" ht="12.75" customHeight="1" x14ac:dyDescent="0.25">
      <c r="B119" s="99"/>
      <c r="E119" s="99"/>
      <c r="F119" s="99"/>
    </row>
    <row r="120" spans="2:6" ht="12.75" customHeight="1" x14ac:dyDescent="0.25">
      <c r="B120" s="99"/>
      <c r="E120" s="99"/>
      <c r="F120" s="99"/>
    </row>
    <row r="121" spans="2:6" ht="12.75" customHeight="1" x14ac:dyDescent="0.25">
      <c r="B121" s="99"/>
      <c r="E121" s="99"/>
      <c r="F121" s="99"/>
    </row>
    <row r="122" spans="2:6" ht="12.75" customHeight="1" x14ac:dyDescent="0.25">
      <c r="B122" s="99"/>
      <c r="E122" s="99"/>
      <c r="F122" s="99"/>
    </row>
    <row r="123" spans="2:6" ht="12.75" customHeight="1" x14ac:dyDescent="0.25">
      <c r="B123" s="99"/>
      <c r="E123" s="99"/>
      <c r="F123" s="99"/>
    </row>
    <row r="124" spans="2:6" ht="12.75" customHeight="1" x14ac:dyDescent="0.25">
      <c r="B124" s="99"/>
      <c r="E124" s="99"/>
      <c r="F124" s="99"/>
    </row>
    <row r="125" spans="2:6" ht="12.75" customHeight="1" x14ac:dyDescent="0.25">
      <c r="B125" s="99"/>
      <c r="E125" s="99"/>
      <c r="F125" s="99"/>
    </row>
    <row r="126" spans="2:6" ht="12.75" customHeight="1" x14ac:dyDescent="0.25">
      <c r="B126" s="99"/>
      <c r="E126" s="99"/>
      <c r="F126" s="99"/>
    </row>
    <row r="127" spans="2:6" ht="12.75" customHeight="1" x14ac:dyDescent="0.25">
      <c r="B127" s="99"/>
      <c r="E127" s="99"/>
      <c r="F127" s="99"/>
    </row>
    <row r="128" spans="2:6" ht="12.75" customHeight="1" x14ac:dyDescent="0.25">
      <c r="B128" s="99"/>
      <c r="E128" s="99"/>
      <c r="F128" s="99"/>
    </row>
    <row r="129" spans="2:6" ht="12.75" customHeight="1" x14ac:dyDescent="0.25">
      <c r="B129" s="99"/>
      <c r="E129" s="99"/>
      <c r="F129" s="99"/>
    </row>
    <row r="130" spans="2:6" ht="12.75" customHeight="1" x14ac:dyDescent="0.25">
      <c r="B130" s="99"/>
      <c r="E130" s="99"/>
      <c r="F130" s="99"/>
    </row>
    <row r="131" spans="2:6" ht="12.75" customHeight="1" x14ac:dyDescent="0.25">
      <c r="B131" s="99"/>
      <c r="E131" s="99"/>
      <c r="F131" s="99"/>
    </row>
    <row r="132" spans="2:6" ht="12.75" customHeight="1" x14ac:dyDescent="0.25">
      <c r="B132" s="99"/>
      <c r="E132" s="99"/>
      <c r="F132" s="99"/>
    </row>
    <row r="133" spans="2:6" ht="12.75" customHeight="1" x14ac:dyDescent="0.25">
      <c r="B133" s="99"/>
      <c r="E133" s="99"/>
      <c r="F133" s="99"/>
    </row>
    <row r="134" spans="2:6" ht="12.75" customHeight="1" x14ac:dyDescent="0.25">
      <c r="B134" s="99"/>
      <c r="E134" s="99"/>
      <c r="F134" s="99"/>
    </row>
    <row r="135" spans="2:6" ht="12.75" customHeight="1" x14ac:dyDescent="0.25">
      <c r="B135" s="99"/>
      <c r="E135" s="99"/>
      <c r="F135" s="99"/>
    </row>
    <row r="136" spans="2:6" ht="12.75" customHeight="1" x14ac:dyDescent="0.25">
      <c r="B136" s="99"/>
      <c r="E136" s="99"/>
      <c r="F136" s="99"/>
    </row>
    <row r="137" spans="2:6" ht="12.75" customHeight="1" x14ac:dyDescent="0.25">
      <c r="B137" s="99"/>
      <c r="E137" s="99"/>
      <c r="F137" s="99"/>
    </row>
    <row r="138" spans="2:6" ht="12.75" customHeight="1" x14ac:dyDescent="0.25">
      <c r="B138" s="99"/>
      <c r="E138" s="99"/>
      <c r="F138" s="99"/>
    </row>
    <row r="139" spans="2:6" ht="12.75" customHeight="1" x14ac:dyDescent="0.25">
      <c r="B139" s="99"/>
      <c r="E139" s="99"/>
      <c r="F139" s="99"/>
    </row>
    <row r="140" spans="2:6" ht="12.75" customHeight="1" x14ac:dyDescent="0.25">
      <c r="B140" s="99"/>
      <c r="E140" s="99"/>
      <c r="F140" s="99"/>
    </row>
    <row r="141" spans="2:6" ht="12.75" customHeight="1" x14ac:dyDescent="0.25">
      <c r="B141" s="99"/>
      <c r="E141" s="99"/>
      <c r="F141" s="99"/>
    </row>
    <row r="142" spans="2:6" ht="12.75" customHeight="1" x14ac:dyDescent="0.25">
      <c r="B142" s="99"/>
      <c r="E142" s="99"/>
      <c r="F142" s="99"/>
    </row>
    <row r="143" spans="2:6" ht="12.75" customHeight="1" x14ac:dyDescent="0.25">
      <c r="B143" s="99"/>
      <c r="E143" s="99"/>
      <c r="F143" s="99"/>
    </row>
    <row r="144" spans="2:6" ht="12.75" customHeight="1" x14ac:dyDescent="0.25">
      <c r="B144" s="99"/>
      <c r="E144" s="99"/>
      <c r="F144" s="99"/>
    </row>
    <row r="145" spans="2:6" ht="12.75" customHeight="1" x14ac:dyDescent="0.25">
      <c r="B145" s="99"/>
      <c r="E145" s="99"/>
      <c r="F145" s="99"/>
    </row>
    <row r="146" spans="2:6" ht="12.75" customHeight="1" x14ac:dyDescent="0.25">
      <c r="B146" s="99"/>
      <c r="E146" s="99"/>
      <c r="F146" s="99"/>
    </row>
    <row r="147" spans="2:6" ht="12.75" customHeight="1" x14ac:dyDescent="0.25">
      <c r="B147" s="99"/>
      <c r="E147" s="99"/>
      <c r="F147" s="99"/>
    </row>
    <row r="148" spans="2:6" ht="12.75" customHeight="1" x14ac:dyDescent="0.25">
      <c r="B148" s="99"/>
      <c r="E148" s="99"/>
      <c r="F148" s="99"/>
    </row>
    <row r="149" spans="2:6" ht="12.75" customHeight="1" x14ac:dyDescent="0.25">
      <c r="B149" s="99"/>
      <c r="E149" s="99"/>
      <c r="F149" s="99"/>
    </row>
    <row r="150" spans="2:6" ht="12.75" customHeight="1" x14ac:dyDescent="0.25">
      <c r="B150" s="99"/>
      <c r="E150" s="99"/>
      <c r="F150" s="99"/>
    </row>
    <row r="151" spans="2:6" ht="12.75" customHeight="1" x14ac:dyDescent="0.25">
      <c r="B151" s="99"/>
      <c r="E151" s="99"/>
      <c r="F151" s="99"/>
    </row>
    <row r="152" spans="2:6" ht="12.75" customHeight="1" x14ac:dyDescent="0.25">
      <c r="B152" s="99"/>
      <c r="E152" s="99"/>
      <c r="F152" s="99"/>
    </row>
    <row r="153" spans="2:6" ht="12.75" customHeight="1" x14ac:dyDescent="0.25">
      <c r="B153" s="99"/>
      <c r="E153" s="99"/>
      <c r="F153" s="99"/>
    </row>
    <row r="154" spans="2:6" ht="12.75" customHeight="1" x14ac:dyDescent="0.25">
      <c r="B154" s="99"/>
      <c r="E154" s="99"/>
      <c r="F154" s="99"/>
    </row>
    <row r="155" spans="2:6" ht="12.75" customHeight="1" x14ac:dyDescent="0.25">
      <c r="B155" s="99"/>
      <c r="E155" s="99"/>
      <c r="F155" s="99"/>
    </row>
    <row r="156" spans="2:6" ht="12.75" customHeight="1" x14ac:dyDescent="0.25">
      <c r="B156" s="99"/>
      <c r="E156" s="99"/>
      <c r="F156" s="99"/>
    </row>
    <row r="157" spans="2:6" ht="12.75" customHeight="1" x14ac:dyDescent="0.25">
      <c r="B157" s="99"/>
      <c r="E157" s="99"/>
      <c r="F157" s="99"/>
    </row>
    <row r="158" spans="2:6" ht="12.75" customHeight="1" x14ac:dyDescent="0.25">
      <c r="B158" s="99"/>
      <c r="E158" s="99"/>
      <c r="F158" s="99"/>
    </row>
    <row r="159" spans="2:6" ht="12.75" customHeight="1" x14ac:dyDescent="0.25">
      <c r="B159" s="99"/>
      <c r="E159" s="99"/>
      <c r="F159" s="99"/>
    </row>
    <row r="160" spans="2:6" ht="12.75" customHeight="1" x14ac:dyDescent="0.25">
      <c r="B160" s="99"/>
      <c r="E160" s="99"/>
      <c r="F160" s="99"/>
    </row>
    <row r="161" spans="2:6" ht="12.75" customHeight="1" x14ac:dyDescent="0.25">
      <c r="B161" s="99"/>
      <c r="E161" s="99"/>
      <c r="F161" s="99"/>
    </row>
    <row r="162" spans="2:6" ht="12.75" customHeight="1" x14ac:dyDescent="0.25">
      <c r="B162" s="99"/>
      <c r="E162" s="99"/>
      <c r="F162" s="99"/>
    </row>
    <row r="163" spans="2:6" ht="12.75" customHeight="1" x14ac:dyDescent="0.25">
      <c r="B163" s="99"/>
      <c r="E163" s="99"/>
      <c r="F163" s="99"/>
    </row>
    <row r="164" spans="2:6" ht="12.75" customHeight="1" x14ac:dyDescent="0.25">
      <c r="B164" s="99"/>
      <c r="E164" s="99"/>
      <c r="F164" s="99"/>
    </row>
    <row r="165" spans="2:6" ht="12.75" customHeight="1" x14ac:dyDescent="0.25">
      <c r="B165" s="99"/>
      <c r="E165" s="99"/>
      <c r="F165" s="99"/>
    </row>
    <row r="166" spans="2:6" ht="12.75" customHeight="1" x14ac:dyDescent="0.25">
      <c r="B166" s="99"/>
      <c r="E166" s="99"/>
      <c r="F166" s="99"/>
    </row>
    <row r="167" spans="2:6" ht="12.75" customHeight="1" x14ac:dyDescent="0.25">
      <c r="B167" s="99"/>
      <c r="E167" s="99"/>
      <c r="F167" s="99"/>
    </row>
    <row r="168" spans="2:6" ht="12.75" customHeight="1" x14ac:dyDescent="0.25">
      <c r="B168" s="99"/>
      <c r="E168" s="99"/>
      <c r="F168" s="99"/>
    </row>
    <row r="169" spans="2:6" ht="12.75" customHeight="1" x14ac:dyDescent="0.25">
      <c r="B169" s="99"/>
      <c r="E169" s="99"/>
      <c r="F169" s="99"/>
    </row>
    <row r="170" spans="2:6" ht="12.75" customHeight="1" x14ac:dyDescent="0.25">
      <c r="B170" s="99"/>
      <c r="E170" s="99"/>
      <c r="F170" s="99"/>
    </row>
    <row r="171" spans="2:6" ht="12.75" customHeight="1" x14ac:dyDescent="0.25">
      <c r="B171" s="99"/>
      <c r="E171" s="99"/>
      <c r="F171" s="99"/>
    </row>
    <row r="172" spans="2:6" ht="12.75" customHeight="1" x14ac:dyDescent="0.25">
      <c r="B172" s="99"/>
      <c r="E172" s="99"/>
      <c r="F172" s="99"/>
    </row>
    <row r="173" spans="2:6" ht="12.75" customHeight="1" x14ac:dyDescent="0.25">
      <c r="B173" s="99"/>
      <c r="E173" s="99"/>
      <c r="F173" s="99"/>
    </row>
    <row r="174" spans="2:6" ht="12.75" customHeight="1" x14ac:dyDescent="0.25">
      <c r="B174" s="99"/>
      <c r="E174" s="99"/>
      <c r="F174" s="99"/>
    </row>
    <row r="175" spans="2:6" ht="12.75" customHeight="1" x14ac:dyDescent="0.25">
      <c r="B175" s="99"/>
      <c r="E175" s="99"/>
      <c r="F175" s="99"/>
    </row>
    <row r="176" spans="2:6" ht="12.75" customHeight="1" x14ac:dyDescent="0.25">
      <c r="B176" s="99"/>
      <c r="E176" s="99"/>
      <c r="F176" s="99"/>
    </row>
    <row r="177" spans="2:6" ht="12.75" customHeight="1" x14ac:dyDescent="0.25">
      <c r="B177" s="99"/>
      <c r="E177" s="99"/>
      <c r="F177" s="99"/>
    </row>
    <row r="178" spans="2:6" ht="12.75" customHeight="1" x14ac:dyDescent="0.25">
      <c r="B178" s="99"/>
      <c r="E178" s="99"/>
      <c r="F178" s="99"/>
    </row>
    <row r="179" spans="2:6" ht="12.75" customHeight="1" x14ac:dyDescent="0.25">
      <c r="B179" s="99"/>
      <c r="E179" s="99"/>
      <c r="F179" s="99"/>
    </row>
    <row r="180" spans="2:6" ht="12.75" customHeight="1" x14ac:dyDescent="0.25">
      <c r="B180" s="99"/>
      <c r="E180" s="99"/>
      <c r="F180" s="99"/>
    </row>
    <row r="181" spans="2:6" ht="12.75" customHeight="1" x14ac:dyDescent="0.25">
      <c r="B181" s="99"/>
      <c r="E181" s="99"/>
      <c r="F181" s="99"/>
    </row>
    <row r="182" spans="2:6" ht="12.75" customHeight="1" x14ac:dyDescent="0.25">
      <c r="B182" s="99"/>
      <c r="E182" s="99"/>
      <c r="F182" s="99"/>
    </row>
    <row r="183" spans="2:6" ht="12.75" customHeight="1" x14ac:dyDescent="0.25">
      <c r="B183" s="99"/>
      <c r="E183" s="99"/>
      <c r="F183" s="99"/>
    </row>
    <row r="184" spans="2:6" ht="12.75" customHeight="1" x14ac:dyDescent="0.25">
      <c r="B184" s="99"/>
      <c r="E184" s="99"/>
      <c r="F184" s="99"/>
    </row>
    <row r="185" spans="2:6" ht="12.75" customHeight="1" x14ac:dyDescent="0.25">
      <c r="B185" s="99"/>
      <c r="E185" s="99"/>
      <c r="F185" s="99"/>
    </row>
    <row r="186" spans="2:6" ht="12.75" customHeight="1" x14ac:dyDescent="0.25">
      <c r="B186" s="99"/>
      <c r="E186" s="99"/>
      <c r="F186" s="99"/>
    </row>
    <row r="187" spans="2:6" ht="12.75" customHeight="1" x14ac:dyDescent="0.25">
      <c r="B187" s="99"/>
      <c r="E187" s="99"/>
      <c r="F187" s="99"/>
    </row>
    <row r="188" spans="2:6" ht="12.75" customHeight="1" x14ac:dyDescent="0.25">
      <c r="B188" s="99"/>
      <c r="E188" s="99"/>
      <c r="F188" s="99"/>
    </row>
    <row r="189" spans="2:6" ht="12.75" customHeight="1" x14ac:dyDescent="0.25">
      <c r="B189" s="99"/>
      <c r="E189" s="99"/>
      <c r="F189" s="99"/>
    </row>
    <row r="190" spans="2:6" ht="12.75" customHeight="1" x14ac:dyDescent="0.25">
      <c r="B190" s="99"/>
      <c r="E190" s="99"/>
      <c r="F190" s="99"/>
    </row>
    <row r="191" spans="2:6" ht="12.75" customHeight="1" x14ac:dyDescent="0.25">
      <c r="B191" s="99"/>
      <c r="E191" s="99"/>
      <c r="F191" s="99"/>
    </row>
    <row r="192" spans="2:6" ht="12.75" customHeight="1" x14ac:dyDescent="0.25">
      <c r="B192" s="99"/>
      <c r="E192" s="99"/>
      <c r="F192" s="99"/>
    </row>
    <row r="193" spans="2:6" ht="12.75" customHeight="1" x14ac:dyDescent="0.25">
      <c r="B193" s="99"/>
      <c r="E193" s="99"/>
      <c r="F193" s="99"/>
    </row>
    <row r="194" spans="2:6" ht="12.75" customHeight="1" x14ac:dyDescent="0.25">
      <c r="B194" s="99"/>
      <c r="E194" s="99"/>
      <c r="F194" s="99"/>
    </row>
    <row r="195" spans="2:6" ht="12.75" customHeight="1" x14ac:dyDescent="0.25">
      <c r="B195" s="99"/>
      <c r="E195" s="99"/>
      <c r="F195" s="99"/>
    </row>
    <row r="196" spans="2:6" ht="12.75" customHeight="1" x14ac:dyDescent="0.25">
      <c r="B196" s="99"/>
      <c r="E196" s="99"/>
      <c r="F196" s="99"/>
    </row>
    <row r="197" spans="2:6" ht="12.75" customHeight="1" x14ac:dyDescent="0.25">
      <c r="B197" s="99"/>
      <c r="E197" s="99"/>
      <c r="F197" s="99"/>
    </row>
    <row r="198" spans="2:6" ht="12.75" customHeight="1" x14ac:dyDescent="0.25">
      <c r="B198" s="99"/>
      <c r="E198" s="99"/>
      <c r="F198" s="99"/>
    </row>
    <row r="199" spans="2:6" ht="12.75" customHeight="1" x14ac:dyDescent="0.25">
      <c r="B199" s="99"/>
      <c r="E199" s="99"/>
      <c r="F199" s="99"/>
    </row>
    <row r="200" spans="2:6" ht="12.75" customHeight="1" x14ac:dyDescent="0.25">
      <c r="B200" s="99"/>
      <c r="E200" s="99"/>
      <c r="F200" s="99"/>
    </row>
    <row r="201" spans="2:6" ht="12.75" customHeight="1" x14ac:dyDescent="0.25">
      <c r="B201" s="99"/>
      <c r="E201" s="99"/>
      <c r="F201" s="99"/>
    </row>
    <row r="202" spans="2:6" ht="12.75" customHeight="1" x14ac:dyDescent="0.25">
      <c r="B202" s="99"/>
      <c r="E202" s="99"/>
      <c r="F202" s="99"/>
    </row>
    <row r="203" spans="2:6" ht="12.75" customHeight="1" x14ac:dyDescent="0.25">
      <c r="B203" s="99"/>
      <c r="E203" s="99"/>
      <c r="F203" s="99"/>
    </row>
    <row r="204" spans="2:6" ht="12.75" customHeight="1" x14ac:dyDescent="0.25">
      <c r="B204" s="99"/>
      <c r="E204" s="99"/>
      <c r="F204" s="99"/>
    </row>
    <row r="205" spans="2:6" ht="12.75" customHeight="1" x14ac:dyDescent="0.25">
      <c r="B205" s="99"/>
      <c r="E205" s="99"/>
      <c r="F205" s="99"/>
    </row>
    <row r="206" spans="2:6" ht="12.75" customHeight="1" x14ac:dyDescent="0.25">
      <c r="B206" s="99"/>
      <c r="E206" s="99"/>
      <c r="F206" s="99"/>
    </row>
    <row r="207" spans="2:6" ht="12.75" customHeight="1" x14ac:dyDescent="0.25">
      <c r="B207" s="99"/>
      <c r="E207" s="99"/>
      <c r="F207" s="99"/>
    </row>
    <row r="208" spans="2:6" ht="12.75" customHeight="1" x14ac:dyDescent="0.25">
      <c r="B208" s="99"/>
      <c r="E208" s="99"/>
      <c r="F208" s="99"/>
    </row>
    <row r="209" spans="2:6" ht="12.75" customHeight="1" x14ac:dyDescent="0.25">
      <c r="B209" s="99"/>
      <c r="E209" s="99"/>
      <c r="F209" s="99"/>
    </row>
    <row r="210" spans="2:6" ht="12.75" customHeight="1" x14ac:dyDescent="0.25">
      <c r="B210" s="99"/>
      <c r="E210" s="99"/>
      <c r="F210" s="99"/>
    </row>
    <row r="211" spans="2:6" ht="12.75" customHeight="1" x14ac:dyDescent="0.25">
      <c r="B211" s="99"/>
      <c r="E211" s="99"/>
      <c r="F211" s="99"/>
    </row>
    <row r="212" spans="2:6" ht="12.75" customHeight="1" x14ac:dyDescent="0.25">
      <c r="B212" s="99"/>
      <c r="E212" s="99"/>
      <c r="F212" s="99"/>
    </row>
    <row r="213" spans="2:6" ht="12.75" customHeight="1" x14ac:dyDescent="0.25">
      <c r="B213" s="99"/>
      <c r="E213" s="99"/>
      <c r="F213" s="99"/>
    </row>
    <row r="214" spans="2:6" ht="12.75" customHeight="1" x14ac:dyDescent="0.25">
      <c r="B214" s="99"/>
      <c r="E214" s="99"/>
      <c r="F214" s="99"/>
    </row>
    <row r="215" spans="2:6" ht="12.75" customHeight="1" x14ac:dyDescent="0.25">
      <c r="B215" s="99"/>
      <c r="E215" s="99"/>
      <c r="F215" s="99"/>
    </row>
    <row r="216" spans="2:6" ht="12.75" customHeight="1" x14ac:dyDescent="0.25">
      <c r="B216" s="99"/>
      <c r="E216" s="99"/>
      <c r="F216" s="99"/>
    </row>
    <row r="217" spans="2:6" ht="12.75" customHeight="1" x14ac:dyDescent="0.25">
      <c r="B217" s="99"/>
      <c r="E217" s="99"/>
      <c r="F217" s="99"/>
    </row>
    <row r="218" spans="2:6" ht="12.75" customHeight="1" x14ac:dyDescent="0.25">
      <c r="B218" s="99"/>
      <c r="E218" s="99"/>
      <c r="F218" s="99"/>
    </row>
    <row r="219" spans="2:6" ht="12.75" customHeight="1" x14ac:dyDescent="0.25">
      <c r="B219" s="99"/>
      <c r="E219" s="99"/>
      <c r="F219" s="99"/>
    </row>
    <row r="220" spans="2:6" ht="12.75" customHeight="1" x14ac:dyDescent="0.25">
      <c r="B220" s="99"/>
      <c r="E220" s="99"/>
      <c r="F220" s="99"/>
    </row>
    <row r="221" spans="2:6" ht="12.75" customHeight="1" x14ac:dyDescent="0.25">
      <c r="B221" s="99"/>
      <c r="E221" s="99"/>
      <c r="F221" s="99"/>
    </row>
    <row r="222" spans="2:6" ht="12.75" customHeight="1" x14ac:dyDescent="0.25">
      <c r="B222" s="99"/>
      <c r="E222" s="99"/>
      <c r="F222" s="99"/>
    </row>
    <row r="223" spans="2:6" ht="12.75" customHeight="1" x14ac:dyDescent="0.25">
      <c r="B223" s="99"/>
      <c r="E223" s="99"/>
      <c r="F223" s="99"/>
    </row>
    <row r="224" spans="2:6" ht="12.75" customHeight="1" x14ac:dyDescent="0.25">
      <c r="B224" s="99"/>
      <c r="E224" s="99"/>
      <c r="F224" s="99"/>
    </row>
    <row r="225" spans="2:6" ht="12.75" customHeight="1" x14ac:dyDescent="0.25">
      <c r="B225" s="99"/>
      <c r="E225" s="99"/>
      <c r="F225" s="99"/>
    </row>
    <row r="226" spans="2:6" ht="12.75" customHeight="1" x14ac:dyDescent="0.25">
      <c r="B226" s="99"/>
      <c r="E226" s="99"/>
      <c r="F226" s="99"/>
    </row>
    <row r="227" spans="2:6" ht="12.75" customHeight="1" x14ac:dyDescent="0.25">
      <c r="B227" s="99"/>
      <c r="E227" s="99"/>
      <c r="F227" s="99"/>
    </row>
    <row r="228" spans="2:6" ht="12.75" customHeight="1" x14ac:dyDescent="0.25">
      <c r="B228" s="99"/>
      <c r="E228" s="99"/>
      <c r="F228" s="99"/>
    </row>
    <row r="229" spans="2:6" ht="12.75" customHeight="1" x14ac:dyDescent="0.25">
      <c r="B229" s="99"/>
      <c r="E229" s="99"/>
      <c r="F229" s="99"/>
    </row>
    <row r="230" spans="2:6" ht="12.75" customHeight="1" x14ac:dyDescent="0.25">
      <c r="B230" s="99"/>
      <c r="E230" s="99"/>
      <c r="F230" s="99"/>
    </row>
    <row r="231" spans="2:6" ht="12.75" customHeight="1" x14ac:dyDescent="0.25">
      <c r="B231" s="99"/>
      <c r="E231" s="99"/>
      <c r="F231" s="99"/>
    </row>
    <row r="232" spans="2:6" ht="12.75" customHeight="1" x14ac:dyDescent="0.25">
      <c r="B232" s="99"/>
      <c r="E232" s="99"/>
      <c r="F232" s="99"/>
    </row>
    <row r="233" spans="2:6" ht="12.75" customHeight="1" x14ac:dyDescent="0.25">
      <c r="B233" s="99"/>
      <c r="E233" s="99"/>
      <c r="F233" s="99"/>
    </row>
    <row r="234" spans="2:6" ht="12.75" customHeight="1" x14ac:dyDescent="0.25">
      <c r="B234" s="99"/>
      <c r="E234" s="99"/>
      <c r="F234" s="99"/>
    </row>
    <row r="235" spans="2:6" ht="12.75" customHeight="1" x14ac:dyDescent="0.25">
      <c r="B235" s="99"/>
      <c r="E235" s="99"/>
      <c r="F235" s="99"/>
    </row>
    <row r="236" spans="2:6" ht="12.75" customHeight="1" x14ac:dyDescent="0.25">
      <c r="B236" s="99"/>
      <c r="E236" s="99"/>
      <c r="F236" s="99"/>
    </row>
    <row r="237" spans="2:6" ht="12.75" customHeight="1" x14ac:dyDescent="0.25">
      <c r="B237" s="99"/>
      <c r="E237" s="99"/>
      <c r="F237" s="99"/>
    </row>
    <row r="238" spans="2:6" ht="12.75" customHeight="1" x14ac:dyDescent="0.25">
      <c r="B238" s="99"/>
      <c r="E238" s="99"/>
      <c r="F238" s="99"/>
    </row>
    <row r="239" spans="2:6" ht="12.75" customHeight="1" x14ac:dyDescent="0.25">
      <c r="B239" s="99"/>
      <c r="E239" s="99"/>
      <c r="F239" s="99"/>
    </row>
    <row r="240" spans="2:6" ht="12.75" customHeight="1" x14ac:dyDescent="0.25">
      <c r="B240" s="99"/>
      <c r="E240" s="99"/>
      <c r="F240" s="99"/>
    </row>
    <row r="241" spans="2:6" ht="12.75" customHeight="1" x14ac:dyDescent="0.25">
      <c r="B241" s="99"/>
      <c r="E241" s="99"/>
      <c r="F241" s="99"/>
    </row>
    <row r="242" spans="2:6" ht="12.75" customHeight="1" x14ac:dyDescent="0.25">
      <c r="B242" s="99"/>
      <c r="E242" s="99"/>
      <c r="F242" s="99"/>
    </row>
    <row r="243" spans="2:6" ht="12.75" customHeight="1" x14ac:dyDescent="0.25">
      <c r="B243" s="99"/>
      <c r="E243" s="99"/>
      <c r="F243" s="99"/>
    </row>
    <row r="244" spans="2:6" ht="12.75" customHeight="1" x14ac:dyDescent="0.25">
      <c r="B244" s="99"/>
      <c r="E244" s="99"/>
      <c r="F244" s="99"/>
    </row>
    <row r="245" spans="2:6" ht="12.75" customHeight="1" x14ac:dyDescent="0.25">
      <c r="B245" s="99"/>
      <c r="E245" s="99"/>
      <c r="F245" s="99"/>
    </row>
    <row r="246" spans="2:6" ht="12.75" customHeight="1" x14ac:dyDescent="0.25">
      <c r="B246" s="99"/>
      <c r="E246" s="99"/>
      <c r="F246" s="99"/>
    </row>
    <row r="247" spans="2:6" ht="12.75" customHeight="1" x14ac:dyDescent="0.25">
      <c r="B247" s="99"/>
      <c r="E247" s="99"/>
      <c r="F247" s="99"/>
    </row>
    <row r="248" spans="2:6" ht="12.75" customHeight="1" x14ac:dyDescent="0.25">
      <c r="B248" s="99"/>
      <c r="E248" s="99"/>
      <c r="F248" s="99"/>
    </row>
    <row r="249" spans="2:6" ht="12.75" customHeight="1" x14ac:dyDescent="0.25">
      <c r="B249" s="99"/>
      <c r="E249" s="99"/>
      <c r="F249" s="99"/>
    </row>
    <row r="250" spans="2:6" ht="12.75" customHeight="1" x14ac:dyDescent="0.25">
      <c r="B250" s="99"/>
      <c r="E250" s="99"/>
      <c r="F250" s="99"/>
    </row>
    <row r="251" spans="2:6" ht="12.75" customHeight="1" x14ac:dyDescent="0.25">
      <c r="B251" s="99"/>
      <c r="E251" s="99"/>
      <c r="F251" s="99"/>
    </row>
    <row r="252" spans="2:6" ht="12.75" customHeight="1" x14ac:dyDescent="0.25">
      <c r="B252" s="99"/>
      <c r="E252" s="99"/>
      <c r="F252" s="99"/>
    </row>
    <row r="253" spans="2:6" ht="12.75" customHeight="1" x14ac:dyDescent="0.25">
      <c r="B253" s="99"/>
      <c r="E253" s="99"/>
      <c r="F253" s="99"/>
    </row>
    <row r="254" spans="2:6" ht="12.75" customHeight="1" x14ac:dyDescent="0.25">
      <c r="B254" s="99"/>
      <c r="E254" s="99"/>
      <c r="F254" s="99"/>
    </row>
    <row r="255" spans="2:6" ht="12.75" customHeight="1" x14ac:dyDescent="0.25">
      <c r="B255" s="99"/>
      <c r="E255" s="99"/>
      <c r="F255" s="99"/>
    </row>
    <row r="256" spans="2:6" ht="12.75" customHeight="1" x14ac:dyDescent="0.25">
      <c r="B256" s="99"/>
      <c r="E256" s="99"/>
      <c r="F256" s="99"/>
    </row>
    <row r="257" spans="2:6" ht="12.75" customHeight="1" x14ac:dyDescent="0.25">
      <c r="B257" s="99"/>
      <c r="E257" s="99"/>
      <c r="F257" s="99"/>
    </row>
    <row r="258" spans="2:6" ht="12.75" customHeight="1" x14ac:dyDescent="0.25">
      <c r="B258" s="99"/>
      <c r="E258" s="99"/>
      <c r="F258" s="99"/>
    </row>
    <row r="259" spans="2:6" ht="12.75" customHeight="1" x14ac:dyDescent="0.25">
      <c r="B259" s="99"/>
      <c r="E259" s="99"/>
      <c r="F259" s="99"/>
    </row>
    <row r="260" spans="2:6" ht="12.75" customHeight="1" x14ac:dyDescent="0.25">
      <c r="B260" s="99"/>
      <c r="E260" s="99"/>
      <c r="F260" s="99"/>
    </row>
    <row r="261" spans="2:6" ht="12.75" customHeight="1" x14ac:dyDescent="0.25">
      <c r="B261" s="99"/>
      <c r="E261" s="99"/>
      <c r="F261" s="99"/>
    </row>
    <row r="262" spans="2:6" ht="12.75" customHeight="1" x14ac:dyDescent="0.25">
      <c r="B262" s="99"/>
      <c r="E262" s="99"/>
      <c r="F262" s="99"/>
    </row>
    <row r="263" spans="2:6" ht="12.75" customHeight="1" x14ac:dyDescent="0.25">
      <c r="B263" s="99"/>
      <c r="E263" s="99"/>
      <c r="F263" s="99"/>
    </row>
    <row r="264" spans="2:6" ht="12.75" customHeight="1" x14ac:dyDescent="0.25">
      <c r="B264" s="99"/>
      <c r="E264" s="99"/>
      <c r="F264" s="99"/>
    </row>
    <row r="265" spans="2:6" ht="12.75" customHeight="1" x14ac:dyDescent="0.25">
      <c r="B265" s="99"/>
      <c r="E265" s="99"/>
      <c r="F265" s="99"/>
    </row>
    <row r="266" spans="2:6" ht="12.75" customHeight="1" x14ac:dyDescent="0.25">
      <c r="B266" s="99"/>
      <c r="E266" s="99"/>
      <c r="F266" s="99"/>
    </row>
    <row r="267" spans="2:6" ht="12.75" customHeight="1" x14ac:dyDescent="0.25">
      <c r="B267" s="99"/>
      <c r="E267" s="99"/>
      <c r="F267" s="99"/>
    </row>
    <row r="268" spans="2:6" ht="12.75" customHeight="1" x14ac:dyDescent="0.25">
      <c r="B268" s="99"/>
      <c r="E268" s="99"/>
      <c r="F268" s="99"/>
    </row>
    <row r="269" spans="2:6" ht="12.75" customHeight="1" x14ac:dyDescent="0.25">
      <c r="B269" s="99"/>
      <c r="E269" s="99"/>
      <c r="F269" s="99"/>
    </row>
    <row r="270" spans="2:6" ht="12.75" customHeight="1" x14ac:dyDescent="0.25">
      <c r="B270" s="99"/>
      <c r="E270" s="99"/>
      <c r="F270" s="99"/>
    </row>
    <row r="271" spans="2:6" ht="12.75" customHeight="1" x14ac:dyDescent="0.25">
      <c r="B271" s="99"/>
      <c r="E271" s="99"/>
      <c r="F271" s="99"/>
    </row>
    <row r="272" spans="2:6" ht="12.75" customHeight="1" x14ac:dyDescent="0.25">
      <c r="B272" s="99"/>
      <c r="E272" s="99"/>
      <c r="F272" s="99"/>
    </row>
    <row r="273" spans="2:6" ht="12.75" customHeight="1" x14ac:dyDescent="0.25">
      <c r="B273" s="99"/>
      <c r="E273" s="99"/>
      <c r="F273" s="99"/>
    </row>
    <row r="274" spans="2:6" ht="12.75" customHeight="1" x14ac:dyDescent="0.25">
      <c r="B274" s="99"/>
      <c r="E274" s="99"/>
      <c r="F274" s="99"/>
    </row>
    <row r="275" spans="2:6" ht="12.75" customHeight="1" x14ac:dyDescent="0.25">
      <c r="B275" s="99"/>
      <c r="E275" s="99"/>
      <c r="F275" s="99"/>
    </row>
    <row r="276" spans="2:6" ht="12.75" customHeight="1" x14ac:dyDescent="0.25">
      <c r="B276" s="99"/>
      <c r="E276" s="99"/>
      <c r="F276" s="99"/>
    </row>
    <row r="277" spans="2:6" ht="12.75" customHeight="1" x14ac:dyDescent="0.25">
      <c r="B277" s="99"/>
      <c r="E277" s="99"/>
      <c r="F277" s="99"/>
    </row>
    <row r="278" spans="2:6" ht="12.75" customHeight="1" x14ac:dyDescent="0.25">
      <c r="B278" s="99"/>
      <c r="E278" s="99"/>
      <c r="F278" s="99"/>
    </row>
    <row r="279" spans="2:6" ht="12.75" customHeight="1" x14ac:dyDescent="0.25">
      <c r="B279" s="99"/>
      <c r="E279" s="99"/>
      <c r="F279" s="99"/>
    </row>
    <row r="280" spans="2:6" ht="12.75" customHeight="1" x14ac:dyDescent="0.25">
      <c r="B280" s="99"/>
      <c r="E280" s="99"/>
      <c r="F280" s="99"/>
    </row>
    <row r="281" spans="2:6" ht="12.75" customHeight="1" x14ac:dyDescent="0.25">
      <c r="B281" s="99"/>
      <c r="E281" s="99"/>
      <c r="F281" s="99"/>
    </row>
    <row r="282" spans="2:6" ht="12.75" customHeight="1" x14ac:dyDescent="0.25">
      <c r="B282" s="99"/>
      <c r="E282" s="99"/>
      <c r="F282" s="99"/>
    </row>
    <row r="283" spans="2:6" ht="12.75" customHeight="1" x14ac:dyDescent="0.25">
      <c r="B283" s="99"/>
      <c r="E283" s="99"/>
      <c r="F283" s="99"/>
    </row>
    <row r="284" spans="2:6" ht="12.75" customHeight="1" x14ac:dyDescent="0.25">
      <c r="B284" s="99"/>
      <c r="E284" s="99"/>
      <c r="F284" s="99"/>
    </row>
    <row r="285" spans="2:6" ht="12.75" customHeight="1" x14ac:dyDescent="0.25">
      <c r="B285" s="99"/>
      <c r="E285" s="99"/>
      <c r="F285" s="99"/>
    </row>
    <row r="286" spans="2:6" ht="12.75" customHeight="1" x14ac:dyDescent="0.25">
      <c r="B286" s="99"/>
      <c r="E286" s="99"/>
      <c r="F286" s="99"/>
    </row>
    <row r="287" spans="2:6" ht="12.75" customHeight="1" x14ac:dyDescent="0.25">
      <c r="B287" s="99"/>
      <c r="E287" s="99"/>
      <c r="F287" s="99"/>
    </row>
    <row r="288" spans="2:6" ht="12.75" customHeight="1" x14ac:dyDescent="0.25">
      <c r="B288" s="99"/>
      <c r="E288" s="99"/>
      <c r="F288" s="99"/>
    </row>
    <row r="289" spans="2:6" ht="12.75" customHeight="1" x14ac:dyDescent="0.25">
      <c r="B289" s="99"/>
      <c r="E289" s="99"/>
      <c r="F289" s="99"/>
    </row>
    <row r="290" spans="2:6" ht="12.75" customHeight="1" x14ac:dyDescent="0.25">
      <c r="B290" s="99"/>
      <c r="E290" s="99"/>
      <c r="F290" s="99"/>
    </row>
    <row r="291" spans="2:6" ht="12.75" customHeight="1" x14ac:dyDescent="0.25">
      <c r="B291" s="99"/>
      <c r="E291" s="99"/>
      <c r="F291" s="99"/>
    </row>
    <row r="292" spans="2:6" ht="12.75" customHeight="1" x14ac:dyDescent="0.25">
      <c r="B292" s="99"/>
      <c r="E292" s="99"/>
      <c r="F292" s="99"/>
    </row>
    <row r="293" spans="2:6" ht="12.75" customHeight="1" x14ac:dyDescent="0.25">
      <c r="B293" s="99"/>
      <c r="E293" s="99"/>
      <c r="F293" s="99"/>
    </row>
    <row r="294" spans="2:6" ht="12.75" customHeight="1" x14ac:dyDescent="0.25">
      <c r="B294" s="99"/>
      <c r="E294" s="99"/>
      <c r="F294" s="99"/>
    </row>
    <row r="295" spans="2:6" ht="12.75" customHeight="1" x14ac:dyDescent="0.25">
      <c r="B295" s="99"/>
      <c r="E295" s="99"/>
      <c r="F295" s="99"/>
    </row>
    <row r="296" spans="2:6" ht="12.75" customHeight="1" x14ac:dyDescent="0.25">
      <c r="B296" s="99"/>
      <c r="E296" s="99"/>
      <c r="F296" s="99"/>
    </row>
    <row r="297" spans="2:6" ht="12.75" customHeight="1" x14ac:dyDescent="0.25">
      <c r="B297" s="99"/>
      <c r="E297" s="99"/>
      <c r="F297" s="99"/>
    </row>
    <row r="298" spans="2:6" ht="12.75" customHeight="1" x14ac:dyDescent="0.25">
      <c r="B298" s="99"/>
      <c r="E298" s="99"/>
      <c r="F298" s="99"/>
    </row>
    <row r="299" spans="2:6" ht="12.75" customHeight="1" x14ac:dyDescent="0.25">
      <c r="B299" s="99"/>
      <c r="E299" s="99"/>
      <c r="F299" s="99"/>
    </row>
    <row r="300" spans="2:6" ht="12.75" customHeight="1" x14ac:dyDescent="0.25">
      <c r="B300" s="99"/>
      <c r="E300" s="99"/>
      <c r="F300" s="99"/>
    </row>
    <row r="301" spans="2:6" ht="12.75" customHeight="1" x14ac:dyDescent="0.25">
      <c r="B301" s="99"/>
      <c r="E301" s="99"/>
      <c r="F301" s="99"/>
    </row>
    <row r="302" spans="2:6" ht="12.75" customHeight="1" x14ac:dyDescent="0.25">
      <c r="B302" s="99"/>
      <c r="E302" s="99"/>
      <c r="F302" s="99"/>
    </row>
    <row r="303" spans="2:6" ht="12.75" customHeight="1" x14ac:dyDescent="0.25">
      <c r="B303" s="99"/>
      <c r="E303" s="99"/>
      <c r="F303" s="99"/>
    </row>
    <row r="304" spans="2:6" ht="12.75" customHeight="1" x14ac:dyDescent="0.25">
      <c r="B304" s="99"/>
      <c r="E304" s="99"/>
      <c r="F304" s="99"/>
    </row>
    <row r="305" spans="2:6" ht="12.75" customHeight="1" x14ac:dyDescent="0.25">
      <c r="B305" s="99"/>
      <c r="E305" s="99"/>
      <c r="F305" s="99"/>
    </row>
    <row r="306" spans="2:6" ht="12.75" customHeight="1" x14ac:dyDescent="0.25">
      <c r="B306" s="99"/>
      <c r="E306" s="99"/>
      <c r="F306" s="99"/>
    </row>
    <row r="307" spans="2:6" ht="12.75" customHeight="1" x14ac:dyDescent="0.25">
      <c r="B307" s="99"/>
      <c r="E307" s="99"/>
      <c r="F307" s="99"/>
    </row>
    <row r="308" spans="2:6" ht="12.75" customHeight="1" x14ac:dyDescent="0.25">
      <c r="B308" s="99"/>
      <c r="E308" s="99"/>
      <c r="F308" s="99"/>
    </row>
    <row r="309" spans="2:6" ht="12.75" customHeight="1" x14ac:dyDescent="0.25">
      <c r="B309" s="99"/>
      <c r="E309" s="99"/>
      <c r="F309" s="99"/>
    </row>
    <row r="310" spans="2:6" ht="12.75" customHeight="1" x14ac:dyDescent="0.25">
      <c r="B310" s="99"/>
      <c r="E310" s="99"/>
      <c r="F310" s="99"/>
    </row>
    <row r="311" spans="2:6" ht="12.75" customHeight="1" x14ac:dyDescent="0.25">
      <c r="B311" s="99"/>
      <c r="E311" s="99"/>
      <c r="F311" s="99"/>
    </row>
    <row r="312" spans="2:6" ht="12.75" customHeight="1" x14ac:dyDescent="0.25">
      <c r="B312" s="99"/>
      <c r="E312" s="99"/>
      <c r="F312" s="99"/>
    </row>
    <row r="313" spans="2:6" ht="12.75" customHeight="1" x14ac:dyDescent="0.25">
      <c r="B313" s="99"/>
      <c r="E313" s="99"/>
      <c r="F313" s="99"/>
    </row>
    <row r="314" spans="2:6" ht="12.75" customHeight="1" x14ac:dyDescent="0.25">
      <c r="B314" s="99"/>
      <c r="E314" s="99"/>
      <c r="F314" s="99"/>
    </row>
    <row r="315" spans="2:6" ht="12.75" customHeight="1" x14ac:dyDescent="0.25">
      <c r="B315" s="99"/>
      <c r="E315" s="99"/>
      <c r="F315" s="99"/>
    </row>
    <row r="316" spans="2:6" ht="12.75" customHeight="1" x14ac:dyDescent="0.25">
      <c r="B316" s="99"/>
      <c r="E316" s="99"/>
      <c r="F316" s="99"/>
    </row>
    <row r="317" spans="2:6" ht="12.75" customHeight="1" x14ac:dyDescent="0.25">
      <c r="B317" s="99"/>
      <c r="E317" s="99"/>
      <c r="F317" s="99"/>
    </row>
    <row r="318" spans="2:6" ht="12.75" customHeight="1" x14ac:dyDescent="0.25">
      <c r="B318" s="99"/>
      <c r="E318" s="99"/>
      <c r="F318" s="99"/>
    </row>
    <row r="319" spans="2:6" ht="12.75" customHeight="1" x14ac:dyDescent="0.25">
      <c r="B319" s="99"/>
      <c r="E319" s="99"/>
      <c r="F319" s="99"/>
    </row>
    <row r="320" spans="2:6" ht="12.75" customHeight="1" x14ac:dyDescent="0.25">
      <c r="B320" s="99"/>
      <c r="E320" s="99"/>
      <c r="F320" s="99"/>
    </row>
    <row r="321" spans="2:6" ht="12.75" customHeight="1" x14ac:dyDescent="0.25">
      <c r="B321" s="99"/>
      <c r="E321" s="99"/>
      <c r="F321" s="99"/>
    </row>
    <row r="322" spans="2:6" ht="12.75" customHeight="1" x14ac:dyDescent="0.25">
      <c r="B322" s="99"/>
      <c r="E322" s="99"/>
      <c r="F322" s="99"/>
    </row>
    <row r="323" spans="2:6" ht="12.75" customHeight="1" x14ac:dyDescent="0.25">
      <c r="B323" s="99"/>
      <c r="E323" s="99"/>
      <c r="F323" s="99"/>
    </row>
    <row r="324" spans="2:6" ht="12.75" customHeight="1" x14ac:dyDescent="0.25">
      <c r="B324" s="99"/>
      <c r="E324" s="99"/>
      <c r="F324" s="99"/>
    </row>
    <row r="325" spans="2:6" ht="12.75" customHeight="1" x14ac:dyDescent="0.25">
      <c r="B325" s="99"/>
      <c r="E325" s="99"/>
      <c r="F325" s="99"/>
    </row>
    <row r="326" spans="2:6" ht="12.75" customHeight="1" x14ac:dyDescent="0.25">
      <c r="B326" s="99"/>
      <c r="E326" s="99"/>
      <c r="F326" s="99"/>
    </row>
    <row r="327" spans="2:6" ht="12.75" customHeight="1" x14ac:dyDescent="0.25">
      <c r="B327" s="99"/>
      <c r="E327" s="99"/>
      <c r="F327" s="99"/>
    </row>
    <row r="328" spans="2:6" ht="12.75" customHeight="1" x14ac:dyDescent="0.25">
      <c r="B328" s="99"/>
      <c r="E328" s="99"/>
      <c r="F328" s="99"/>
    </row>
    <row r="329" spans="2:6" ht="12.75" customHeight="1" x14ac:dyDescent="0.25">
      <c r="B329" s="99"/>
      <c r="E329" s="99"/>
      <c r="F329" s="99"/>
    </row>
    <row r="330" spans="2:6" ht="12.75" customHeight="1" x14ac:dyDescent="0.25">
      <c r="B330" s="99"/>
      <c r="E330" s="99"/>
      <c r="F330" s="99"/>
    </row>
    <row r="331" spans="2:6" ht="12.75" customHeight="1" x14ac:dyDescent="0.25">
      <c r="B331" s="99"/>
      <c r="E331" s="99"/>
      <c r="F331" s="99"/>
    </row>
    <row r="332" spans="2:6" ht="12.75" customHeight="1" x14ac:dyDescent="0.25">
      <c r="B332" s="99"/>
      <c r="E332" s="99"/>
      <c r="F332" s="99"/>
    </row>
    <row r="333" spans="2:6" ht="12.75" customHeight="1" x14ac:dyDescent="0.25">
      <c r="B333" s="99"/>
      <c r="E333" s="99"/>
      <c r="F333" s="99"/>
    </row>
    <row r="334" spans="2:6" ht="12.75" customHeight="1" x14ac:dyDescent="0.25">
      <c r="B334" s="99"/>
      <c r="E334" s="99"/>
      <c r="F334" s="99"/>
    </row>
    <row r="335" spans="2:6" ht="12.75" customHeight="1" x14ac:dyDescent="0.25">
      <c r="B335" s="99"/>
      <c r="E335" s="99"/>
      <c r="F335" s="99"/>
    </row>
    <row r="336" spans="2:6" ht="12.75" customHeight="1" x14ac:dyDescent="0.25">
      <c r="B336" s="99"/>
      <c r="E336" s="99"/>
      <c r="F336" s="99"/>
    </row>
    <row r="337" spans="2:6" ht="12.75" customHeight="1" x14ac:dyDescent="0.25">
      <c r="B337" s="99"/>
      <c r="E337" s="99"/>
      <c r="F337" s="99"/>
    </row>
    <row r="338" spans="2:6" ht="12.75" customHeight="1" x14ac:dyDescent="0.25">
      <c r="B338" s="99"/>
      <c r="E338" s="99"/>
      <c r="F338" s="99"/>
    </row>
    <row r="339" spans="2:6" ht="12.75" customHeight="1" x14ac:dyDescent="0.25">
      <c r="B339" s="99"/>
      <c r="E339" s="99"/>
      <c r="F339" s="99"/>
    </row>
    <row r="340" spans="2:6" ht="12.75" customHeight="1" x14ac:dyDescent="0.25">
      <c r="B340" s="99"/>
      <c r="E340" s="99"/>
      <c r="F340" s="99"/>
    </row>
    <row r="341" spans="2:6" ht="12.75" customHeight="1" x14ac:dyDescent="0.25">
      <c r="B341" s="99"/>
      <c r="E341" s="99"/>
      <c r="F341" s="99"/>
    </row>
    <row r="342" spans="2:6" ht="12.75" customHeight="1" x14ac:dyDescent="0.25">
      <c r="B342" s="99"/>
      <c r="E342" s="99"/>
      <c r="F342" s="99"/>
    </row>
    <row r="343" spans="2:6" ht="12.75" customHeight="1" x14ac:dyDescent="0.25">
      <c r="B343" s="99"/>
      <c r="E343" s="99"/>
      <c r="F343" s="99"/>
    </row>
    <row r="344" spans="2:6" ht="12.75" customHeight="1" x14ac:dyDescent="0.25">
      <c r="B344" s="99"/>
      <c r="E344" s="99"/>
      <c r="F344" s="99"/>
    </row>
    <row r="345" spans="2:6" ht="12.75" customHeight="1" x14ac:dyDescent="0.25">
      <c r="B345" s="99"/>
      <c r="E345" s="99"/>
      <c r="F345" s="99"/>
    </row>
    <row r="346" spans="2:6" ht="12.75" customHeight="1" x14ac:dyDescent="0.25">
      <c r="B346" s="99"/>
      <c r="E346" s="99"/>
      <c r="F346" s="99"/>
    </row>
    <row r="347" spans="2:6" ht="12.75" customHeight="1" x14ac:dyDescent="0.25">
      <c r="B347" s="99"/>
      <c r="E347" s="99"/>
      <c r="F347" s="99"/>
    </row>
    <row r="348" spans="2:6" ht="12.75" customHeight="1" x14ac:dyDescent="0.25">
      <c r="B348" s="99"/>
      <c r="E348" s="99"/>
      <c r="F348" s="99"/>
    </row>
    <row r="349" spans="2:6" ht="12.75" customHeight="1" x14ac:dyDescent="0.25">
      <c r="B349" s="99"/>
      <c r="E349" s="99"/>
      <c r="F349" s="99"/>
    </row>
    <row r="350" spans="2:6" ht="12.75" customHeight="1" x14ac:dyDescent="0.25">
      <c r="B350" s="99"/>
      <c r="E350" s="99"/>
      <c r="F350" s="99"/>
    </row>
    <row r="351" spans="2:6" ht="12.75" customHeight="1" x14ac:dyDescent="0.25">
      <c r="B351" s="99"/>
      <c r="E351" s="99"/>
      <c r="F351" s="99"/>
    </row>
    <row r="352" spans="2:6" ht="12.75" customHeight="1" x14ac:dyDescent="0.25">
      <c r="B352" s="99"/>
      <c r="E352" s="99"/>
      <c r="F352" s="99"/>
    </row>
    <row r="353" spans="2:6" ht="12.75" customHeight="1" x14ac:dyDescent="0.25">
      <c r="B353" s="99"/>
      <c r="E353" s="99"/>
      <c r="F353" s="99"/>
    </row>
    <row r="354" spans="2:6" ht="12.75" customHeight="1" x14ac:dyDescent="0.25">
      <c r="B354" s="99"/>
      <c r="E354" s="99"/>
      <c r="F354" s="99"/>
    </row>
    <row r="355" spans="2:6" ht="12.75" customHeight="1" x14ac:dyDescent="0.25">
      <c r="B355" s="99"/>
      <c r="E355" s="99"/>
      <c r="F355" s="99"/>
    </row>
    <row r="356" spans="2:6" ht="12.75" customHeight="1" x14ac:dyDescent="0.25">
      <c r="B356" s="99"/>
      <c r="E356" s="99"/>
      <c r="F356" s="99"/>
    </row>
    <row r="357" spans="2:6" ht="12.75" customHeight="1" x14ac:dyDescent="0.25">
      <c r="B357" s="99"/>
      <c r="E357" s="99"/>
      <c r="F357" s="99"/>
    </row>
    <row r="358" spans="2:6" ht="12.75" customHeight="1" x14ac:dyDescent="0.25">
      <c r="B358" s="99"/>
      <c r="E358" s="99"/>
      <c r="F358" s="99"/>
    </row>
    <row r="359" spans="2:6" ht="12.75" customHeight="1" x14ac:dyDescent="0.25">
      <c r="B359" s="99"/>
      <c r="E359" s="99"/>
      <c r="F359" s="99"/>
    </row>
    <row r="360" spans="2:6" ht="12.75" customHeight="1" x14ac:dyDescent="0.25">
      <c r="B360" s="99"/>
      <c r="E360" s="99"/>
      <c r="F360" s="99"/>
    </row>
    <row r="361" spans="2:6" ht="12.75" customHeight="1" x14ac:dyDescent="0.25">
      <c r="B361" s="99"/>
      <c r="E361" s="99"/>
      <c r="F361" s="99"/>
    </row>
    <row r="362" spans="2:6" ht="12.75" customHeight="1" x14ac:dyDescent="0.25">
      <c r="B362" s="99"/>
      <c r="E362" s="99"/>
      <c r="F362" s="99"/>
    </row>
    <row r="363" spans="2:6" ht="12.75" customHeight="1" x14ac:dyDescent="0.25">
      <c r="B363" s="99"/>
      <c r="E363" s="99"/>
      <c r="F363" s="99"/>
    </row>
    <row r="364" spans="2:6" ht="12.75" customHeight="1" x14ac:dyDescent="0.25">
      <c r="B364" s="99"/>
      <c r="E364" s="99"/>
      <c r="F364" s="99"/>
    </row>
    <row r="365" spans="2:6" ht="12.75" customHeight="1" x14ac:dyDescent="0.25">
      <c r="B365" s="99"/>
      <c r="E365" s="99"/>
      <c r="F365" s="99"/>
    </row>
    <row r="366" spans="2:6" ht="12.75" customHeight="1" x14ac:dyDescent="0.25">
      <c r="B366" s="99"/>
      <c r="E366" s="99"/>
      <c r="F366" s="99"/>
    </row>
    <row r="367" spans="2:6" ht="12.75" customHeight="1" x14ac:dyDescent="0.25">
      <c r="B367" s="99"/>
      <c r="E367" s="99"/>
      <c r="F367" s="99"/>
    </row>
    <row r="368" spans="2:6" ht="12.75" customHeight="1" x14ac:dyDescent="0.25">
      <c r="B368" s="99"/>
      <c r="E368" s="99"/>
      <c r="F368" s="99"/>
    </row>
    <row r="369" spans="2:6" ht="12.75" customHeight="1" x14ac:dyDescent="0.25">
      <c r="B369" s="99"/>
      <c r="E369" s="99"/>
      <c r="F369" s="99"/>
    </row>
    <row r="370" spans="2:6" ht="12.75" customHeight="1" x14ac:dyDescent="0.25">
      <c r="B370" s="99"/>
      <c r="E370" s="99"/>
      <c r="F370" s="99"/>
    </row>
    <row r="371" spans="2:6" ht="12.75" customHeight="1" x14ac:dyDescent="0.25">
      <c r="B371" s="99"/>
      <c r="E371" s="99"/>
      <c r="F371" s="99"/>
    </row>
    <row r="372" spans="2:6" ht="12.75" customHeight="1" x14ac:dyDescent="0.25">
      <c r="B372" s="99"/>
      <c r="E372" s="99"/>
      <c r="F372" s="99"/>
    </row>
    <row r="373" spans="2:6" ht="12.75" customHeight="1" x14ac:dyDescent="0.25">
      <c r="B373" s="99"/>
      <c r="E373" s="99"/>
      <c r="F373" s="99"/>
    </row>
    <row r="374" spans="2:6" ht="12.75" customHeight="1" x14ac:dyDescent="0.25">
      <c r="B374" s="99"/>
      <c r="E374" s="99"/>
      <c r="F374" s="99"/>
    </row>
    <row r="375" spans="2:6" ht="12.75" customHeight="1" x14ac:dyDescent="0.25">
      <c r="B375" s="99"/>
      <c r="E375" s="99"/>
      <c r="F375" s="99"/>
    </row>
    <row r="376" spans="2:6" ht="12.75" customHeight="1" x14ac:dyDescent="0.25">
      <c r="B376" s="99"/>
      <c r="E376" s="99"/>
      <c r="F376" s="99"/>
    </row>
    <row r="377" spans="2:6" ht="12.75" customHeight="1" x14ac:dyDescent="0.25">
      <c r="B377" s="99"/>
      <c r="E377" s="99"/>
      <c r="F377" s="99"/>
    </row>
    <row r="378" spans="2:6" ht="12.75" customHeight="1" x14ac:dyDescent="0.25">
      <c r="B378" s="99"/>
      <c r="E378" s="99"/>
      <c r="F378" s="99"/>
    </row>
    <row r="379" spans="2:6" ht="12.75" customHeight="1" x14ac:dyDescent="0.25">
      <c r="B379" s="99"/>
      <c r="E379" s="99"/>
      <c r="F379" s="99"/>
    </row>
    <row r="380" spans="2:6" ht="12.75" customHeight="1" x14ac:dyDescent="0.25">
      <c r="B380" s="99"/>
      <c r="E380" s="99"/>
      <c r="F380" s="99"/>
    </row>
    <row r="381" spans="2:6" ht="12.75" customHeight="1" x14ac:dyDescent="0.25">
      <c r="B381" s="99"/>
      <c r="E381" s="99"/>
      <c r="F381" s="99"/>
    </row>
    <row r="382" spans="2:6" ht="12.75" customHeight="1" x14ac:dyDescent="0.25">
      <c r="B382" s="99"/>
      <c r="E382" s="99"/>
      <c r="F382" s="99"/>
    </row>
    <row r="383" spans="2:6" ht="12.75" customHeight="1" x14ac:dyDescent="0.25">
      <c r="B383" s="99"/>
      <c r="E383" s="99"/>
      <c r="F383" s="99"/>
    </row>
    <row r="384" spans="2:6" ht="12.75" customHeight="1" x14ac:dyDescent="0.25">
      <c r="B384" s="99"/>
      <c r="E384" s="99"/>
      <c r="F384" s="99"/>
    </row>
    <row r="385" spans="2:6" ht="12.75" customHeight="1" x14ac:dyDescent="0.25">
      <c r="B385" s="99"/>
      <c r="E385" s="99"/>
      <c r="F385" s="99"/>
    </row>
    <row r="386" spans="2:6" ht="12.75" customHeight="1" x14ac:dyDescent="0.25">
      <c r="B386" s="99"/>
      <c r="E386" s="99"/>
      <c r="F386" s="99"/>
    </row>
    <row r="387" spans="2:6" ht="12.75" customHeight="1" x14ac:dyDescent="0.25">
      <c r="B387" s="99"/>
      <c r="E387" s="99"/>
      <c r="F387" s="99"/>
    </row>
    <row r="388" spans="2:6" ht="12.75" customHeight="1" x14ac:dyDescent="0.25">
      <c r="B388" s="99"/>
      <c r="E388" s="99"/>
      <c r="F388" s="99"/>
    </row>
    <row r="389" spans="2:6" ht="12.75" customHeight="1" x14ac:dyDescent="0.25">
      <c r="B389" s="99"/>
      <c r="E389" s="99"/>
      <c r="F389" s="99"/>
    </row>
    <row r="390" spans="2:6" ht="12.75" customHeight="1" x14ac:dyDescent="0.25">
      <c r="B390" s="99"/>
      <c r="E390" s="99"/>
      <c r="F390" s="99"/>
    </row>
    <row r="391" spans="2:6" ht="12.75" customHeight="1" x14ac:dyDescent="0.25">
      <c r="B391" s="99"/>
      <c r="E391" s="99"/>
      <c r="F391" s="99"/>
    </row>
    <row r="392" spans="2:6" ht="12.75" customHeight="1" x14ac:dyDescent="0.25">
      <c r="B392" s="99"/>
      <c r="E392" s="99"/>
      <c r="F392" s="99"/>
    </row>
    <row r="393" spans="2:6" ht="12.75" customHeight="1" x14ac:dyDescent="0.25">
      <c r="B393" s="99"/>
      <c r="E393" s="99"/>
      <c r="F393" s="99"/>
    </row>
    <row r="394" spans="2:6" ht="12.75" customHeight="1" x14ac:dyDescent="0.25">
      <c r="B394" s="99"/>
      <c r="E394" s="99"/>
      <c r="F394" s="99"/>
    </row>
    <row r="395" spans="2:6" ht="12.75" customHeight="1" x14ac:dyDescent="0.25">
      <c r="B395" s="99"/>
      <c r="E395" s="99"/>
      <c r="F395" s="99"/>
    </row>
    <row r="396" spans="2:6" ht="12.75" customHeight="1" x14ac:dyDescent="0.25">
      <c r="B396" s="99"/>
      <c r="E396" s="99"/>
      <c r="F396" s="99"/>
    </row>
    <row r="397" spans="2:6" ht="12.75" customHeight="1" x14ac:dyDescent="0.25">
      <c r="B397" s="99"/>
      <c r="E397" s="99"/>
      <c r="F397" s="99"/>
    </row>
    <row r="398" spans="2:6" ht="12.75" customHeight="1" x14ac:dyDescent="0.25">
      <c r="B398" s="99"/>
      <c r="E398" s="99"/>
      <c r="F398" s="99"/>
    </row>
    <row r="399" spans="2:6" ht="12.75" customHeight="1" x14ac:dyDescent="0.25">
      <c r="B399" s="99"/>
      <c r="E399" s="99"/>
      <c r="F399" s="99"/>
    </row>
    <row r="400" spans="2:6" ht="12.75" customHeight="1" x14ac:dyDescent="0.25">
      <c r="B400" s="99"/>
      <c r="E400" s="99"/>
      <c r="F400" s="99"/>
    </row>
    <row r="401" spans="2:6" ht="12.75" customHeight="1" x14ac:dyDescent="0.25">
      <c r="B401" s="99"/>
      <c r="E401" s="99"/>
      <c r="F401" s="99"/>
    </row>
    <row r="402" spans="2:6" ht="12.75" customHeight="1" x14ac:dyDescent="0.25">
      <c r="B402" s="99"/>
      <c r="E402" s="99"/>
      <c r="F402" s="99"/>
    </row>
    <row r="403" spans="2:6" ht="12.75" customHeight="1" x14ac:dyDescent="0.25">
      <c r="B403" s="99"/>
      <c r="E403" s="99"/>
      <c r="F403" s="99"/>
    </row>
    <row r="404" spans="2:6" ht="12.75" customHeight="1" x14ac:dyDescent="0.25">
      <c r="B404" s="99"/>
      <c r="E404" s="99"/>
      <c r="F404" s="99"/>
    </row>
    <row r="405" spans="2:6" ht="12.75" customHeight="1" x14ac:dyDescent="0.25">
      <c r="B405" s="99"/>
      <c r="E405" s="99"/>
      <c r="F405" s="99"/>
    </row>
    <row r="406" spans="2:6" ht="12.75" customHeight="1" x14ac:dyDescent="0.25">
      <c r="B406" s="99"/>
      <c r="E406" s="99"/>
      <c r="F406" s="99"/>
    </row>
    <row r="407" spans="2:6" ht="12.75" customHeight="1" x14ac:dyDescent="0.25">
      <c r="B407" s="99"/>
      <c r="E407" s="99"/>
      <c r="F407" s="99"/>
    </row>
    <row r="408" spans="2:6" ht="12.75" customHeight="1" x14ac:dyDescent="0.25">
      <c r="B408" s="99"/>
      <c r="E408" s="99"/>
      <c r="F408" s="99"/>
    </row>
    <row r="409" spans="2:6" ht="12.75" customHeight="1" x14ac:dyDescent="0.25">
      <c r="B409" s="99"/>
      <c r="E409" s="99"/>
      <c r="F409" s="99"/>
    </row>
    <row r="410" spans="2:6" ht="12.75" customHeight="1" x14ac:dyDescent="0.25">
      <c r="B410" s="99"/>
      <c r="E410" s="99"/>
      <c r="F410" s="99"/>
    </row>
    <row r="411" spans="2:6" ht="12.75" customHeight="1" x14ac:dyDescent="0.25">
      <c r="B411" s="99"/>
      <c r="E411" s="99"/>
      <c r="F411" s="99"/>
    </row>
    <row r="412" spans="2:6" ht="12.75" customHeight="1" x14ac:dyDescent="0.25">
      <c r="B412" s="99"/>
      <c r="E412" s="99"/>
      <c r="F412" s="99"/>
    </row>
    <row r="413" spans="2:6" ht="12.75" customHeight="1" x14ac:dyDescent="0.25">
      <c r="B413" s="99"/>
      <c r="E413" s="99"/>
      <c r="F413" s="99"/>
    </row>
    <row r="414" spans="2:6" ht="12.75" customHeight="1" x14ac:dyDescent="0.25">
      <c r="B414" s="99"/>
      <c r="E414" s="99"/>
      <c r="F414" s="99"/>
    </row>
    <row r="415" spans="2:6" ht="12.75" customHeight="1" x14ac:dyDescent="0.25">
      <c r="B415" s="99"/>
      <c r="E415" s="99"/>
      <c r="F415" s="99"/>
    </row>
    <row r="416" spans="2:6" ht="12.75" customHeight="1" x14ac:dyDescent="0.25">
      <c r="B416" s="99"/>
      <c r="E416" s="99"/>
      <c r="F416" s="99"/>
    </row>
    <row r="417" spans="2:6" ht="12.75" customHeight="1" x14ac:dyDescent="0.25">
      <c r="B417" s="99"/>
      <c r="E417" s="99"/>
      <c r="F417" s="99"/>
    </row>
    <row r="418" spans="2:6" ht="12.75" customHeight="1" x14ac:dyDescent="0.25">
      <c r="B418" s="99"/>
      <c r="E418" s="99"/>
      <c r="F418" s="99"/>
    </row>
    <row r="419" spans="2:6" ht="12.75" customHeight="1" x14ac:dyDescent="0.25">
      <c r="B419" s="99"/>
      <c r="E419" s="99"/>
      <c r="F419" s="99"/>
    </row>
    <row r="420" spans="2:6" ht="12.75" customHeight="1" x14ac:dyDescent="0.25">
      <c r="B420" s="99"/>
      <c r="E420" s="99"/>
      <c r="F420" s="99"/>
    </row>
    <row r="421" spans="2:6" ht="12.75" customHeight="1" x14ac:dyDescent="0.25">
      <c r="B421" s="99"/>
      <c r="E421" s="99"/>
      <c r="F421" s="99"/>
    </row>
    <row r="422" spans="2:6" ht="12.75" customHeight="1" x14ac:dyDescent="0.25">
      <c r="B422" s="99"/>
      <c r="E422" s="99"/>
      <c r="F422" s="99"/>
    </row>
    <row r="423" spans="2:6" ht="12.75" customHeight="1" x14ac:dyDescent="0.25">
      <c r="B423" s="99"/>
      <c r="E423" s="99"/>
      <c r="F423" s="99"/>
    </row>
    <row r="424" spans="2:6" ht="12.75" customHeight="1" x14ac:dyDescent="0.25">
      <c r="B424" s="99"/>
      <c r="E424" s="99"/>
      <c r="F424" s="99"/>
    </row>
    <row r="425" spans="2:6" ht="12.75" customHeight="1" x14ac:dyDescent="0.25">
      <c r="B425" s="99"/>
      <c r="E425" s="99"/>
      <c r="F425" s="99"/>
    </row>
    <row r="426" spans="2:6" ht="12.75" customHeight="1" x14ac:dyDescent="0.25">
      <c r="B426" s="99"/>
      <c r="E426" s="99"/>
      <c r="F426" s="99"/>
    </row>
    <row r="427" spans="2:6" ht="12.75" customHeight="1" x14ac:dyDescent="0.25">
      <c r="B427" s="99"/>
      <c r="E427" s="99"/>
      <c r="F427" s="99"/>
    </row>
    <row r="428" spans="2:6" ht="12.75" customHeight="1" x14ac:dyDescent="0.25">
      <c r="B428" s="99"/>
      <c r="E428" s="99"/>
      <c r="F428" s="99"/>
    </row>
    <row r="429" spans="2:6" ht="12.75" customHeight="1" x14ac:dyDescent="0.25">
      <c r="B429" s="99"/>
      <c r="E429" s="99"/>
      <c r="F429" s="99"/>
    </row>
    <row r="430" spans="2:6" ht="12.75" customHeight="1" x14ac:dyDescent="0.25">
      <c r="B430" s="99"/>
      <c r="E430" s="99"/>
      <c r="F430" s="99"/>
    </row>
    <row r="431" spans="2:6" ht="12.75" customHeight="1" x14ac:dyDescent="0.25">
      <c r="B431" s="99"/>
      <c r="E431" s="99"/>
      <c r="F431" s="99"/>
    </row>
    <row r="432" spans="2:6" ht="12.75" customHeight="1" x14ac:dyDescent="0.25">
      <c r="B432" s="99"/>
      <c r="E432" s="99"/>
      <c r="F432" s="99"/>
    </row>
    <row r="433" spans="2:6" ht="12.75" customHeight="1" x14ac:dyDescent="0.25">
      <c r="B433" s="99"/>
      <c r="E433" s="99"/>
      <c r="F433" s="99"/>
    </row>
    <row r="434" spans="2:6" ht="12.75" customHeight="1" x14ac:dyDescent="0.25">
      <c r="B434" s="99"/>
      <c r="E434" s="99"/>
      <c r="F434" s="99"/>
    </row>
    <row r="435" spans="2:6" ht="12.75" customHeight="1" x14ac:dyDescent="0.25">
      <c r="B435" s="99"/>
      <c r="E435" s="99"/>
      <c r="F435" s="99"/>
    </row>
    <row r="436" spans="2:6" ht="12.75" customHeight="1" x14ac:dyDescent="0.25">
      <c r="B436" s="99"/>
      <c r="E436" s="99"/>
      <c r="F436" s="99"/>
    </row>
    <row r="437" spans="2:6" ht="12.75" customHeight="1" x14ac:dyDescent="0.25">
      <c r="B437" s="99"/>
      <c r="E437" s="99"/>
      <c r="F437" s="99"/>
    </row>
    <row r="438" spans="2:6" ht="12.75" customHeight="1" x14ac:dyDescent="0.25">
      <c r="B438" s="99"/>
      <c r="E438" s="99"/>
      <c r="F438" s="99"/>
    </row>
    <row r="439" spans="2:6" ht="12.75" customHeight="1" x14ac:dyDescent="0.25">
      <c r="B439" s="99"/>
      <c r="E439" s="99"/>
      <c r="F439" s="99"/>
    </row>
    <row r="440" spans="2:6" ht="12.75" customHeight="1" x14ac:dyDescent="0.25">
      <c r="B440" s="99"/>
      <c r="E440" s="99"/>
      <c r="F440" s="99"/>
    </row>
    <row r="441" spans="2:6" ht="12.75" customHeight="1" x14ac:dyDescent="0.25">
      <c r="B441" s="99"/>
      <c r="E441" s="99"/>
      <c r="F441" s="99"/>
    </row>
    <row r="442" spans="2:6" ht="12.75" customHeight="1" x14ac:dyDescent="0.25">
      <c r="B442" s="99"/>
      <c r="E442" s="99"/>
      <c r="F442" s="99"/>
    </row>
    <row r="443" spans="2:6" ht="12.75" customHeight="1" x14ac:dyDescent="0.25">
      <c r="B443" s="99"/>
      <c r="E443" s="99"/>
      <c r="F443" s="99"/>
    </row>
    <row r="444" spans="2:6" ht="12.75" customHeight="1" x14ac:dyDescent="0.25">
      <c r="B444" s="99"/>
      <c r="E444" s="99"/>
      <c r="F444" s="99"/>
    </row>
    <row r="445" spans="2:6" ht="12.75" customHeight="1" x14ac:dyDescent="0.25">
      <c r="B445" s="99"/>
      <c r="E445" s="99"/>
      <c r="F445" s="99"/>
    </row>
    <row r="446" spans="2:6" ht="12.75" customHeight="1" x14ac:dyDescent="0.25">
      <c r="B446" s="99"/>
      <c r="E446" s="99"/>
      <c r="F446" s="99"/>
    </row>
    <row r="447" spans="2:6" ht="12.75" customHeight="1" x14ac:dyDescent="0.25">
      <c r="B447" s="99"/>
      <c r="E447" s="99"/>
      <c r="F447" s="99"/>
    </row>
    <row r="448" spans="2:6" ht="12.75" customHeight="1" x14ac:dyDescent="0.25">
      <c r="B448" s="99"/>
      <c r="E448" s="99"/>
      <c r="F448" s="99"/>
    </row>
    <row r="449" spans="2:6" ht="12.75" customHeight="1" x14ac:dyDescent="0.25">
      <c r="B449" s="99"/>
      <c r="E449" s="99"/>
      <c r="F449" s="99"/>
    </row>
    <row r="450" spans="2:6" ht="12.75" customHeight="1" x14ac:dyDescent="0.25">
      <c r="B450" s="99"/>
      <c r="E450" s="99"/>
      <c r="F450" s="99"/>
    </row>
    <row r="451" spans="2:6" ht="12.75" customHeight="1" x14ac:dyDescent="0.25">
      <c r="B451" s="99"/>
      <c r="E451" s="99"/>
      <c r="F451" s="99"/>
    </row>
    <row r="452" spans="2:6" ht="12.75" customHeight="1" x14ac:dyDescent="0.25">
      <c r="B452" s="99"/>
      <c r="E452" s="99"/>
      <c r="F452" s="99"/>
    </row>
    <row r="453" spans="2:6" ht="12.75" customHeight="1" x14ac:dyDescent="0.25">
      <c r="B453" s="99"/>
      <c r="E453" s="99"/>
      <c r="F453" s="99"/>
    </row>
    <row r="454" spans="2:6" ht="12.75" customHeight="1" x14ac:dyDescent="0.25">
      <c r="B454" s="99"/>
      <c r="E454" s="99"/>
      <c r="F454" s="99"/>
    </row>
    <row r="455" spans="2:6" ht="12.75" customHeight="1" x14ac:dyDescent="0.25">
      <c r="B455" s="99"/>
      <c r="E455" s="99"/>
      <c r="F455" s="99"/>
    </row>
    <row r="456" spans="2:6" ht="12.75" customHeight="1" x14ac:dyDescent="0.25">
      <c r="B456" s="99"/>
      <c r="E456" s="99"/>
      <c r="F456" s="99"/>
    </row>
    <row r="457" spans="2:6" ht="12.75" customHeight="1" x14ac:dyDescent="0.25">
      <c r="B457" s="99"/>
      <c r="E457" s="99"/>
      <c r="F457" s="99"/>
    </row>
    <row r="458" spans="2:6" ht="12.75" customHeight="1" x14ac:dyDescent="0.25">
      <c r="B458" s="99"/>
      <c r="E458" s="99"/>
      <c r="F458" s="99"/>
    </row>
    <row r="459" spans="2:6" ht="12.75" customHeight="1" x14ac:dyDescent="0.25">
      <c r="B459" s="99"/>
      <c r="E459" s="99"/>
      <c r="F459" s="99"/>
    </row>
    <row r="460" spans="2:6" ht="12.75" customHeight="1" x14ac:dyDescent="0.25">
      <c r="B460" s="99"/>
      <c r="E460" s="99"/>
      <c r="F460" s="99"/>
    </row>
    <row r="461" spans="2:6" ht="12.75" customHeight="1" x14ac:dyDescent="0.25">
      <c r="B461" s="99"/>
      <c r="E461" s="99"/>
      <c r="F461" s="99"/>
    </row>
    <row r="462" spans="2:6" ht="12.75" customHeight="1" x14ac:dyDescent="0.25">
      <c r="B462" s="99"/>
      <c r="E462" s="99"/>
      <c r="F462" s="99"/>
    </row>
    <row r="463" spans="2:6" ht="12.75" customHeight="1" x14ac:dyDescent="0.25">
      <c r="B463" s="99"/>
      <c r="E463" s="99"/>
      <c r="F463" s="99"/>
    </row>
    <row r="464" spans="2:6" ht="12.75" customHeight="1" x14ac:dyDescent="0.25">
      <c r="B464" s="99"/>
      <c r="E464" s="99"/>
      <c r="F464" s="99"/>
    </row>
    <row r="465" spans="2:6" ht="12.75" customHeight="1" x14ac:dyDescent="0.25">
      <c r="B465" s="99"/>
      <c r="E465" s="99"/>
      <c r="F465" s="99"/>
    </row>
    <row r="466" spans="2:6" ht="12.75" customHeight="1" x14ac:dyDescent="0.25">
      <c r="B466" s="99"/>
      <c r="E466" s="99"/>
      <c r="F466" s="99"/>
    </row>
    <row r="467" spans="2:6" ht="12.75" customHeight="1" x14ac:dyDescent="0.25">
      <c r="B467" s="99"/>
      <c r="E467" s="99"/>
      <c r="F467" s="99"/>
    </row>
    <row r="468" spans="2:6" ht="12.75" customHeight="1" x14ac:dyDescent="0.25">
      <c r="B468" s="99"/>
      <c r="E468" s="99"/>
      <c r="F468" s="99"/>
    </row>
    <row r="469" spans="2:6" ht="12.75" customHeight="1" x14ac:dyDescent="0.25">
      <c r="B469" s="99"/>
      <c r="E469" s="99"/>
      <c r="F469" s="99"/>
    </row>
    <row r="470" spans="2:6" ht="12.75" customHeight="1" x14ac:dyDescent="0.25">
      <c r="B470" s="99"/>
      <c r="E470" s="99"/>
      <c r="F470" s="99"/>
    </row>
    <row r="471" spans="2:6" ht="12.75" customHeight="1" x14ac:dyDescent="0.25">
      <c r="B471" s="99"/>
      <c r="E471" s="99"/>
      <c r="F471" s="99"/>
    </row>
    <row r="472" spans="2:6" ht="12.75" customHeight="1" x14ac:dyDescent="0.25">
      <c r="B472" s="99"/>
      <c r="E472" s="99"/>
      <c r="F472" s="99"/>
    </row>
    <row r="473" spans="2:6" ht="12.75" customHeight="1" x14ac:dyDescent="0.25">
      <c r="B473" s="99"/>
      <c r="E473" s="99"/>
      <c r="F473" s="99"/>
    </row>
    <row r="474" spans="2:6" ht="12.75" customHeight="1" x14ac:dyDescent="0.25">
      <c r="B474" s="99"/>
      <c r="E474" s="99"/>
      <c r="F474" s="99"/>
    </row>
    <row r="475" spans="2:6" ht="12.75" customHeight="1" x14ac:dyDescent="0.25">
      <c r="B475" s="99"/>
      <c r="E475" s="99"/>
      <c r="F475" s="99"/>
    </row>
    <row r="476" spans="2:6" ht="12.75" customHeight="1" x14ac:dyDescent="0.25">
      <c r="B476" s="99"/>
      <c r="E476" s="99"/>
      <c r="F476" s="99"/>
    </row>
    <row r="477" spans="2:6" ht="12.75" customHeight="1" x14ac:dyDescent="0.25">
      <c r="B477" s="99"/>
      <c r="E477" s="99"/>
      <c r="F477" s="99"/>
    </row>
    <row r="478" spans="2:6" ht="12.75" customHeight="1" x14ac:dyDescent="0.25">
      <c r="B478" s="99"/>
      <c r="E478" s="99"/>
      <c r="F478" s="99"/>
    </row>
    <row r="479" spans="2:6" ht="12.75" customHeight="1" x14ac:dyDescent="0.25">
      <c r="B479" s="99"/>
      <c r="E479" s="99"/>
      <c r="F479" s="99"/>
    </row>
    <row r="480" spans="2:6" ht="12.75" customHeight="1" x14ac:dyDescent="0.25">
      <c r="B480" s="99"/>
      <c r="E480" s="99"/>
      <c r="F480" s="99"/>
    </row>
    <row r="481" spans="2:6" ht="12.75" customHeight="1" x14ac:dyDescent="0.25">
      <c r="B481" s="99"/>
      <c r="E481" s="99"/>
      <c r="F481" s="99"/>
    </row>
    <row r="482" spans="2:6" ht="12.75" customHeight="1" x14ac:dyDescent="0.25">
      <c r="B482" s="99"/>
      <c r="E482" s="99"/>
      <c r="F482" s="99"/>
    </row>
    <row r="483" spans="2:6" ht="12.75" customHeight="1" x14ac:dyDescent="0.25">
      <c r="B483" s="99"/>
      <c r="E483" s="99"/>
      <c r="F483" s="99"/>
    </row>
    <row r="484" spans="2:6" ht="12.75" customHeight="1" x14ac:dyDescent="0.25">
      <c r="B484" s="99"/>
      <c r="E484" s="99"/>
      <c r="F484" s="99"/>
    </row>
    <row r="485" spans="2:6" ht="12.75" customHeight="1" x14ac:dyDescent="0.25">
      <c r="B485" s="99"/>
      <c r="E485" s="99"/>
      <c r="F485" s="99"/>
    </row>
    <row r="486" spans="2:6" ht="12.75" customHeight="1" x14ac:dyDescent="0.25">
      <c r="B486" s="99"/>
      <c r="E486" s="99"/>
      <c r="F486" s="99"/>
    </row>
    <row r="487" spans="2:6" ht="12.75" customHeight="1" x14ac:dyDescent="0.25">
      <c r="B487" s="99"/>
      <c r="E487" s="99"/>
      <c r="F487" s="99"/>
    </row>
    <row r="488" spans="2:6" ht="12.75" customHeight="1" x14ac:dyDescent="0.25">
      <c r="B488" s="99"/>
      <c r="E488" s="99"/>
      <c r="F488" s="99"/>
    </row>
    <row r="489" spans="2:6" ht="12.75" customHeight="1" x14ac:dyDescent="0.25">
      <c r="B489" s="99"/>
      <c r="E489" s="99"/>
      <c r="F489" s="99"/>
    </row>
    <row r="490" spans="2:6" ht="12.75" customHeight="1" x14ac:dyDescent="0.25">
      <c r="B490" s="99"/>
      <c r="E490" s="99"/>
      <c r="F490" s="99"/>
    </row>
    <row r="491" spans="2:6" ht="12.75" customHeight="1" x14ac:dyDescent="0.25">
      <c r="B491" s="99"/>
      <c r="E491" s="99"/>
      <c r="F491" s="99"/>
    </row>
    <row r="492" spans="2:6" ht="12.75" customHeight="1" x14ac:dyDescent="0.25">
      <c r="B492" s="99"/>
      <c r="E492" s="99"/>
      <c r="F492" s="99"/>
    </row>
    <row r="493" spans="2:6" ht="12.75" customHeight="1" x14ac:dyDescent="0.25">
      <c r="B493" s="99"/>
      <c r="E493" s="99"/>
      <c r="F493" s="99"/>
    </row>
    <row r="494" spans="2:6" ht="12.75" customHeight="1" x14ac:dyDescent="0.25">
      <c r="B494" s="99"/>
      <c r="E494" s="99"/>
      <c r="F494" s="99"/>
    </row>
    <row r="495" spans="2:6" ht="12.75" customHeight="1" x14ac:dyDescent="0.25">
      <c r="B495" s="99"/>
      <c r="E495" s="99"/>
      <c r="F495" s="99"/>
    </row>
    <row r="496" spans="2:6" ht="12.75" customHeight="1" x14ac:dyDescent="0.25">
      <c r="B496" s="99"/>
      <c r="E496" s="99"/>
      <c r="F496" s="99"/>
    </row>
    <row r="497" spans="2:6" ht="12.75" customHeight="1" x14ac:dyDescent="0.25">
      <c r="B497" s="99"/>
      <c r="E497" s="99"/>
      <c r="F497" s="99"/>
    </row>
    <row r="498" spans="2:6" ht="12.75" customHeight="1" x14ac:dyDescent="0.25">
      <c r="B498" s="99"/>
      <c r="E498" s="99"/>
      <c r="F498" s="99"/>
    </row>
    <row r="499" spans="2:6" ht="12.75" customHeight="1" x14ac:dyDescent="0.25">
      <c r="B499" s="99"/>
      <c r="E499" s="99"/>
      <c r="F499" s="99"/>
    </row>
    <row r="500" spans="2:6" ht="12.75" customHeight="1" x14ac:dyDescent="0.25">
      <c r="B500" s="99"/>
      <c r="E500" s="99"/>
      <c r="F500" s="99"/>
    </row>
    <row r="501" spans="2:6" ht="12.75" customHeight="1" x14ac:dyDescent="0.25">
      <c r="B501" s="99"/>
      <c r="E501" s="99"/>
      <c r="F501" s="99"/>
    </row>
    <row r="502" spans="2:6" ht="12.75" customHeight="1" x14ac:dyDescent="0.25">
      <c r="B502" s="99"/>
      <c r="E502" s="99"/>
      <c r="F502" s="99"/>
    </row>
    <row r="503" spans="2:6" ht="12.75" customHeight="1" x14ac:dyDescent="0.25">
      <c r="B503" s="99"/>
      <c r="E503" s="99"/>
      <c r="F503" s="99"/>
    </row>
    <row r="504" spans="2:6" ht="12.75" customHeight="1" x14ac:dyDescent="0.25">
      <c r="B504" s="99"/>
      <c r="E504" s="99"/>
      <c r="F504" s="99"/>
    </row>
    <row r="505" spans="2:6" ht="12.75" customHeight="1" x14ac:dyDescent="0.25">
      <c r="B505" s="99"/>
      <c r="E505" s="99"/>
      <c r="F505" s="99"/>
    </row>
    <row r="506" spans="2:6" ht="12.75" customHeight="1" x14ac:dyDescent="0.25">
      <c r="B506" s="99"/>
      <c r="E506" s="99"/>
      <c r="F506" s="99"/>
    </row>
    <row r="507" spans="2:6" ht="12.75" customHeight="1" x14ac:dyDescent="0.25">
      <c r="B507" s="99"/>
      <c r="E507" s="99"/>
      <c r="F507" s="99"/>
    </row>
    <row r="508" spans="2:6" ht="12.75" customHeight="1" x14ac:dyDescent="0.25">
      <c r="B508" s="99"/>
      <c r="E508" s="99"/>
      <c r="F508" s="99"/>
    </row>
    <row r="509" spans="2:6" ht="12.75" customHeight="1" x14ac:dyDescent="0.25">
      <c r="B509" s="99"/>
      <c r="E509" s="99"/>
      <c r="F509" s="99"/>
    </row>
    <row r="510" spans="2:6" ht="12.75" customHeight="1" x14ac:dyDescent="0.25">
      <c r="B510" s="99"/>
      <c r="E510" s="99"/>
      <c r="F510" s="99"/>
    </row>
    <row r="511" spans="2:6" ht="12.75" customHeight="1" x14ac:dyDescent="0.25">
      <c r="B511" s="99"/>
      <c r="E511" s="99"/>
      <c r="F511" s="99"/>
    </row>
    <row r="512" spans="2:6" ht="12.75" customHeight="1" x14ac:dyDescent="0.25">
      <c r="B512" s="99"/>
      <c r="E512" s="99"/>
      <c r="F512" s="99"/>
    </row>
    <row r="513" spans="2:6" ht="12.75" customHeight="1" x14ac:dyDescent="0.25">
      <c r="B513" s="99"/>
      <c r="E513" s="99"/>
      <c r="F513" s="99"/>
    </row>
    <row r="514" spans="2:6" ht="12.75" customHeight="1" x14ac:dyDescent="0.25">
      <c r="B514" s="99"/>
      <c r="E514" s="99"/>
      <c r="F514" s="99"/>
    </row>
    <row r="515" spans="2:6" ht="12.75" customHeight="1" x14ac:dyDescent="0.25">
      <c r="B515" s="99"/>
      <c r="E515" s="99"/>
      <c r="F515" s="99"/>
    </row>
    <row r="516" spans="2:6" ht="12.75" customHeight="1" x14ac:dyDescent="0.25">
      <c r="B516" s="99"/>
      <c r="E516" s="99"/>
      <c r="F516" s="99"/>
    </row>
    <row r="517" spans="2:6" ht="12.75" customHeight="1" x14ac:dyDescent="0.25">
      <c r="B517" s="99"/>
      <c r="E517" s="99"/>
      <c r="F517" s="99"/>
    </row>
    <row r="518" spans="2:6" ht="12.75" customHeight="1" x14ac:dyDescent="0.25">
      <c r="B518" s="99"/>
      <c r="E518" s="99"/>
      <c r="F518" s="99"/>
    </row>
    <row r="519" spans="2:6" ht="12.75" customHeight="1" x14ac:dyDescent="0.25">
      <c r="B519" s="99"/>
      <c r="E519" s="99"/>
      <c r="F519" s="99"/>
    </row>
    <row r="520" spans="2:6" ht="12.75" customHeight="1" x14ac:dyDescent="0.25">
      <c r="B520" s="99"/>
      <c r="E520" s="99"/>
      <c r="F520" s="99"/>
    </row>
    <row r="521" spans="2:6" ht="12.75" customHeight="1" x14ac:dyDescent="0.25">
      <c r="B521" s="99"/>
      <c r="E521" s="99"/>
      <c r="F521" s="99"/>
    </row>
    <row r="522" spans="2:6" ht="12.75" customHeight="1" x14ac:dyDescent="0.25">
      <c r="B522" s="99"/>
      <c r="E522" s="99"/>
      <c r="F522" s="99"/>
    </row>
    <row r="523" spans="2:6" ht="12.75" customHeight="1" x14ac:dyDescent="0.25">
      <c r="B523" s="99"/>
      <c r="E523" s="99"/>
      <c r="F523" s="99"/>
    </row>
    <row r="524" spans="2:6" ht="12.75" customHeight="1" x14ac:dyDescent="0.25">
      <c r="B524" s="99"/>
      <c r="E524" s="99"/>
      <c r="F524" s="99"/>
    </row>
    <row r="525" spans="2:6" ht="12.75" customHeight="1" x14ac:dyDescent="0.25">
      <c r="B525" s="99"/>
      <c r="E525" s="99"/>
      <c r="F525" s="99"/>
    </row>
    <row r="526" spans="2:6" ht="12.75" customHeight="1" x14ac:dyDescent="0.25">
      <c r="B526" s="99"/>
      <c r="E526" s="99"/>
      <c r="F526" s="99"/>
    </row>
    <row r="527" spans="2:6" ht="12.75" customHeight="1" x14ac:dyDescent="0.25">
      <c r="B527" s="99"/>
      <c r="E527" s="99"/>
      <c r="F527" s="99"/>
    </row>
    <row r="528" spans="2:6" ht="12.75" customHeight="1" x14ac:dyDescent="0.25">
      <c r="B528" s="99"/>
      <c r="E528" s="99"/>
      <c r="F528" s="99"/>
    </row>
    <row r="529" spans="2:6" ht="12.75" customHeight="1" x14ac:dyDescent="0.25">
      <c r="B529" s="99"/>
      <c r="E529" s="99"/>
      <c r="F529" s="99"/>
    </row>
    <row r="530" spans="2:6" ht="12.75" customHeight="1" x14ac:dyDescent="0.25">
      <c r="B530" s="99"/>
      <c r="E530" s="99"/>
      <c r="F530" s="99"/>
    </row>
    <row r="531" spans="2:6" ht="12.75" customHeight="1" x14ac:dyDescent="0.25">
      <c r="B531" s="99"/>
      <c r="E531" s="99"/>
      <c r="F531" s="99"/>
    </row>
    <row r="532" spans="2:6" ht="12.75" customHeight="1" x14ac:dyDescent="0.25">
      <c r="B532" s="99"/>
      <c r="E532" s="99"/>
      <c r="F532" s="99"/>
    </row>
    <row r="533" spans="2:6" ht="12.75" customHeight="1" x14ac:dyDescent="0.25">
      <c r="B533" s="99"/>
      <c r="E533" s="99"/>
      <c r="F533" s="99"/>
    </row>
    <row r="534" spans="2:6" ht="12.75" customHeight="1" x14ac:dyDescent="0.25">
      <c r="B534" s="99"/>
      <c r="E534" s="99"/>
      <c r="F534" s="99"/>
    </row>
    <row r="535" spans="2:6" ht="12.75" customHeight="1" x14ac:dyDescent="0.25">
      <c r="B535" s="99"/>
      <c r="E535" s="99"/>
      <c r="F535" s="99"/>
    </row>
    <row r="536" spans="2:6" ht="12.75" customHeight="1" x14ac:dyDescent="0.25">
      <c r="B536" s="99"/>
      <c r="E536" s="99"/>
      <c r="F536" s="99"/>
    </row>
    <row r="537" spans="2:6" ht="12.75" customHeight="1" x14ac:dyDescent="0.25">
      <c r="B537" s="99"/>
      <c r="E537" s="99"/>
      <c r="F537" s="99"/>
    </row>
    <row r="538" spans="2:6" ht="12.75" customHeight="1" x14ac:dyDescent="0.25">
      <c r="B538" s="99"/>
      <c r="E538" s="99"/>
      <c r="F538" s="99"/>
    </row>
    <row r="539" spans="2:6" ht="12.75" customHeight="1" x14ac:dyDescent="0.25">
      <c r="B539" s="99"/>
      <c r="E539" s="99"/>
      <c r="F539" s="99"/>
    </row>
    <row r="540" spans="2:6" ht="12.75" customHeight="1" x14ac:dyDescent="0.25">
      <c r="B540" s="99"/>
      <c r="E540" s="99"/>
      <c r="F540" s="99"/>
    </row>
    <row r="541" spans="2:6" ht="12.75" customHeight="1" x14ac:dyDescent="0.25">
      <c r="B541" s="99"/>
      <c r="E541" s="99"/>
      <c r="F541" s="99"/>
    </row>
    <row r="542" spans="2:6" ht="12.75" customHeight="1" x14ac:dyDescent="0.25">
      <c r="B542" s="99"/>
      <c r="E542" s="99"/>
      <c r="F542" s="99"/>
    </row>
    <row r="543" spans="2:6" ht="12.75" customHeight="1" x14ac:dyDescent="0.25">
      <c r="B543" s="99"/>
      <c r="E543" s="99"/>
      <c r="F543" s="99"/>
    </row>
    <row r="544" spans="2:6" ht="12.75" customHeight="1" x14ac:dyDescent="0.25">
      <c r="B544" s="99"/>
      <c r="E544" s="99"/>
      <c r="F544" s="99"/>
    </row>
    <row r="545" spans="2:6" ht="12.75" customHeight="1" x14ac:dyDescent="0.25">
      <c r="B545" s="99"/>
      <c r="E545" s="99"/>
      <c r="F545" s="99"/>
    </row>
    <row r="546" spans="2:6" ht="12.75" customHeight="1" x14ac:dyDescent="0.25">
      <c r="B546" s="99"/>
      <c r="E546" s="99"/>
      <c r="F546" s="99"/>
    </row>
    <row r="547" spans="2:6" ht="12.75" customHeight="1" x14ac:dyDescent="0.25">
      <c r="B547" s="99"/>
      <c r="E547" s="99"/>
      <c r="F547" s="99"/>
    </row>
    <row r="548" spans="2:6" ht="12.75" customHeight="1" x14ac:dyDescent="0.25">
      <c r="B548" s="99"/>
      <c r="E548" s="99"/>
      <c r="F548" s="99"/>
    </row>
    <row r="549" spans="2:6" ht="12.75" customHeight="1" x14ac:dyDescent="0.25">
      <c r="B549" s="99"/>
      <c r="E549" s="99"/>
      <c r="F549" s="99"/>
    </row>
    <row r="550" spans="2:6" ht="12.75" customHeight="1" x14ac:dyDescent="0.25">
      <c r="B550" s="99"/>
      <c r="E550" s="99"/>
      <c r="F550" s="99"/>
    </row>
    <row r="551" spans="2:6" ht="12.75" customHeight="1" x14ac:dyDescent="0.25">
      <c r="B551" s="99"/>
      <c r="E551" s="99"/>
      <c r="F551" s="99"/>
    </row>
    <row r="552" spans="2:6" ht="12.75" customHeight="1" x14ac:dyDescent="0.25">
      <c r="B552" s="99"/>
      <c r="E552" s="99"/>
      <c r="F552" s="99"/>
    </row>
    <row r="553" spans="2:6" ht="12.75" customHeight="1" x14ac:dyDescent="0.25">
      <c r="B553" s="99"/>
      <c r="E553" s="99"/>
      <c r="F553" s="99"/>
    </row>
    <row r="554" spans="2:6" ht="12.75" customHeight="1" x14ac:dyDescent="0.25">
      <c r="B554" s="99"/>
      <c r="E554" s="99"/>
      <c r="F554" s="99"/>
    </row>
    <row r="555" spans="2:6" ht="12.75" customHeight="1" x14ac:dyDescent="0.25">
      <c r="B555" s="99"/>
      <c r="E555" s="99"/>
      <c r="F555" s="99"/>
    </row>
    <row r="556" spans="2:6" ht="12.75" customHeight="1" x14ac:dyDescent="0.25">
      <c r="B556" s="99"/>
      <c r="E556" s="99"/>
      <c r="F556" s="99"/>
    </row>
    <row r="557" spans="2:6" ht="12.75" customHeight="1" x14ac:dyDescent="0.25">
      <c r="B557" s="99"/>
      <c r="E557" s="99"/>
      <c r="F557" s="99"/>
    </row>
    <row r="558" spans="2:6" ht="12.75" customHeight="1" x14ac:dyDescent="0.25">
      <c r="B558" s="99"/>
      <c r="E558" s="99"/>
      <c r="F558" s="99"/>
    </row>
    <row r="559" spans="2:6" ht="12.75" customHeight="1" x14ac:dyDescent="0.25">
      <c r="B559" s="99"/>
      <c r="E559" s="99"/>
      <c r="F559" s="99"/>
    </row>
    <row r="560" spans="2:6" ht="12.75" customHeight="1" x14ac:dyDescent="0.25">
      <c r="B560" s="99"/>
      <c r="E560" s="99"/>
      <c r="F560" s="99"/>
    </row>
    <row r="561" spans="2:6" ht="12.75" customHeight="1" x14ac:dyDescent="0.25">
      <c r="B561" s="99"/>
      <c r="E561" s="99"/>
      <c r="F561" s="99"/>
    </row>
    <row r="562" spans="2:6" ht="12.75" customHeight="1" x14ac:dyDescent="0.25">
      <c r="B562" s="99"/>
      <c r="E562" s="99"/>
      <c r="F562" s="99"/>
    </row>
    <row r="563" spans="2:6" ht="12.75" customHeight="1" x14ac:dyDescent="0.25">
      <c r="B563" s="99"/>
      <c r="E563" s="99"/>
      <c r="F563" s="99"/>
    </row>
    <row r="564" spans="2:6" ht="12.75" customHeight="1" x14ac:dyDescent="0.25">
      <c r="B564" s="99"/>
      <c r="E564" s="99"/>
      <c r="F564" s="99"/>
    </row>
    <row r="565" spans="2:6" ht="12.75" customHeight="1" x14ac:dyDescent="0.25">
      <c r="B565" s="99"/>
      <c r="E565" s="99"/>
      <c r="F565" s="99"/>
    </row>
    <row r="566" spans="2:6" ht="12.75" customHeight="1" x14ac:dyDescent="0.25">
      <c r="B566" s="99"/>
      <c r="E566" s="99"/>
      <c r="F566" s="99"/>
    </row>
    <row r="567" spans="2:6" ht="12.75" customHeight="1" x14ac:dyDescent="0.25">
      <c r="B567" s="99"/>
      <c r="E567" s="99"/>
      <c r="F567" s="99"/>
    </row>
    <row r="568" spans="2:6" ht="12.75" customHeight="1" x14ac:dyDescent="0.25">
      <c r="B568" s="99"/>
      <c r="E568" s="99"/>
      <c r="F568" s="99"/>
    </row>
    <row r="569" spans="2:6" ht="12.75" customHeight="1" x14ac:dyDescent="0.25">
      <c r="B569" s="99"/>
      <c r="E569" s="99"/>
      <c r="F569" s="99"/>
    </row>
    <row r="570" spans="2:6" ht="12.75" customHeight="1" x14ac:dyDescent="0.25">
      <c r="B570" s="99"/>
      <c r="E570" s="99"/>
      <c r="F570" s="99"/>
    </row>
    <row r="571" spans="2:6" ht="12.75" customHeight="1" x14ac:dyDescent="0.25">
      <c r="B571" s="99"/>
      <c r="E571" s="99"/>
      <c r="F571" s="99"/>
    </row>
    <row r="572" spans="2:6" ht="12.75" customHeight="1" x14ac:dyDescent="0.25">
      <c r="B572" s="99"/>
      <c r="E572" s="99"/>
      <c r="F572" s="99"/>
    </row>
    <row r="573" spans="2:6" ht="12.75" customHeight="1" x14ac:dyDescent="0.25">
      <c r="B573" s="99"/>
      <c r="E573" s="99"/>
      <c r="F573" s="99"/>
    </row>
    <row r="574" spans="2:6" ht="12.75" customHeight="1" x14ac:dyDescent="0.25">
      <c r="B574" s="99"/>
      <c r="E574" s="99"/>
      <c r="F574" s="99"/>
    </row>
    <row r="575" spans="2:6" ht="12.75" customHeight="1" x14ac:dyDescent="0.25">
      <c r="B575" s="99"/>
      <c r="E575" s="99"/>
      <c r="F575" s="99"/>
    </row>
    <row r="576" spans="2:6" ht="12.75" customHeight="1" x14ac:dyDescent="0.25">
      <c r="B576" s="99"/>
      <c r="E576" s="99"/>
      <c r="F576" s="99"/>
    </row>
    <row r="577" spans="2:6" ht="12.75" customHeight="1" x14ac:dyDescent="0.25">
      <c r="B577" s="99"/>
      <c r="E577" s="99"/>
      <c r="F577" s="99"/>
    </row>
    <row r="578" spans="2:6" ht="12.75" customHeight="1" x14ac:dyDescent="0.25">
      <c r="B578" s="99"/>
      <c r="E578" s="99"/>
      <c r="F578" s="99"/>
    </row>
    <row r="579" spans="2:6" ht="12.75" customHeight="1" x14ac:dyDescent="0.25">
      <c r="B579" s="99"/>
      <c r="E579" s="99"/>
      <c r="F579" s="99"/>
    </row>
    <row r="580" spans="2:6" ht="12.75" customHeight="1" x14ac:dyDescent="0.25">
      <c r="B580" s="99"/>
      <c r="E580" s="99"/>
      <c r="F580" s="99"/>
    </row>
    <row r="581" spans="2:6" ht="12.75" customHeight="1" x14ac:dyDescent="0.25">
      <c r="B581" s="99"/>
      <c r="E581" s="99"/>
      <c r="F581" s="99"/>
    </row>
    <row r="582" spans="2:6" ht="12.75" customHeight="1" x14ac:dyDescent="0.25">
      <c r="B582" s="99"/>
      <c r="E582" s="99"/>
      <c r="F582" s="99"/>
    </row>
    <row r="583" spans="2:6" ht="12.75" customHeight="1" x14ac:dyDescent="0.25">
      <c r="B583" s="99"/>
      <c r="E583" s="99"/>
      <c r="F583" s="99"/>
    </row>
    <row r="584" spans="2:6" ht="12.75" customHeight="1" x14ac:dyDescent="0.25">
      <c r="B584" s="99"/>
      <c r="E584" s="99"/>
      <c r="F584" s="99"/>
    </row>
    <row r="585" spans="2:6" ht="12.75" customHeight="1" x14ac:dyDescent="0.25">
      <c r="B585" s="99"/>
      <c r="E585" s="99"/>
      <c r="F585" s="99"/>
    </row>
    <row r="586" spans="2:6" ht="12.75" customHeight="1" x14ac:dyDescent="0.25">
      <c r="B586" s="99"/>
      <c r="E586" s="99"/>
      <c r="F586" s="99"/>
    </row>
    <row r="587" spans="2:6" ht="12.75" customHeight="1" x14ac:dyDescent="0.25">
      <c r="B587" s="99"/>
      <c r="E587" s="99"/>
      <c r="F587" s="99"/>
    </row>
    <row r="588" spans="2:6" ht="12.75" customHeight="1" x14ac:dyDescent="0.25">
      <c r="B588" s="99"/>
      <c r="E588" s="99"/>
      <c r="F588" s="99"/>
    </row>
    <row r="589" spans="2:6" ht="12.75" customHeight="1" x14ac:dyDescent="0.25">
      <c r="B589" s="99"/>
      <c r="E589" s="99"/>
      <c r="F589" s="99"/>
    </row>
    <row r="590" spans="2:6" ht="12.75" customHeight="1" x14ac:dyDescent="0.25">
      <c r="B590" s="99"/>
      <c r="E590" s="99"/>
      <c r="F590" s="99"/>
    </row>
    <row r="591" spans="2:6" ht="12.75" customHeight="1" x14ac:dyDescent="0.25">
      <c r="B591" s="99"/>
      <c r="E591" s="99"/>
      <c r="F591" s="99"/>
    </row>
    <row r="592" spans="2:6" ht="12.75" customHeight="1" x14ac:dyDescent="0.25">
      <c r="B592" s="99"/>
      <c r="E592" s="99"/>
      <c r="F592" s="99"/>
    </row>
    <row r="593" spans="2:6" ht="12.75" customHeight="1" x14ac:dyDescent="0.25">
      <c r="B593" s="99"/>
      <c r="E593" s="99"/>
      <c r="F593" s="99"/>
    </row>
    <row r="594" spans="2:6" ht="12.75" customHeight="1" x14ac:dyDescent="0.25">
      <c r="B594" s="99"/>
      <c r="E594" s="99"/>
      <c r="F594" s="99"/>
    </row>
    <row r="595" spans="2:6" ht="12.75" customHeight="1" x14ac:dyDescent="0.25">
      <c r="B595" s="99"/>
      <c r="E595" s="99"/>
      <c r="F595" s="99"/>
    </row>
    <row r="596" spans="2:6" ht="12.75" customHeight="1" x14ac:dyDescent="0.25">
      <c r="B596" s="99"/>
      <c r="E596" s="99"/>
      <c r="F596" s="99"/>
    </row>
    <row r="597" spans="2:6" ht="12.75" customHeight="1" x14ac:dyDescent="0.25">
      <c r="B597" s="99"/>
      <c r="E597" s="99"/>
      <c r="F597" s="99"/>
    </row>
    <row r="598" spans="2:6" ht="12.75" customHeight="1" x14ac:dyDescent="0.25">
      <c r="B598" s="99"/>
      <c r="E598" s="99"/>
      <c r="F598" s="99"/>
    </row>
    <row r="599" spans="2:6" ht="12.75" customHeight="1" x14ac:dyDescent="0.25">
      <c r="B599" s="99"/>
      <c r="E599" s="99"/>
      <c r="F599" s="99"/>
    </row>
    <row r="600" spans="2:6" ht="12.75" customHeight="1" x14ac:dyDescent="0.25">
      <c r="B600" s="99"/>
      <c r="E600" s="99"/>
      <c r="F600" s="99"/>
    </row>
    <row r="601" spans="2:6" ht="12.75" customHeight="1" x14ac:dyDescent="0.25">
      <c r="B601" s="99"/>
      <c r="E601" s="99"/>
      <c r="F601" s="99"/>
    </row>
    <row r="602" spans="2:6" ht="12.75" customHeight="1" x14ac:dyDescent="0.25">
      <c r="B602" s="99"/>
      <c r="E602" s="99"/>
      <c r="F602" s="99"/>
    </row>
    <row r="603" spans="2:6" ht="12.75" customHeight="1" x14ac:dyDescent="0.25">
      <c r="B603" s="99"/>
      <c r="E603" s="99"/>
      <c r="F603" s="99"/>
    </row>
    <row r="604" spans="2:6" ht="12.75" customHeight="1" x14ac:dyDescent="0.25">
      <c r="B604" s="99"/>
      <c r="E604" s="99"/>
      <c r="F604" s="99"/>
    </row>
    <row r="605" spans="2:6" ht="12.75" customHeight="1" x14ac:dyDescent="0.25">
      <c r="B605" s="99"/>
      <c r="E605" s="99"/>
      <c r="F605" s="99"/>
    </row>
    <row r="606" spans="2:6" ht="12.75" customHeight="1" x14ac:dyDescent="0.25">
      <c r="B606" s="99"/>
      <c r="E606" s="99"/>
      <c r="F606" s="99"/>
    </row>
    <row r="607" spans="2:6" ht="12.75" customHeight="1" x14ac:dyDescent="0.25">
      <c r="B607" s="99"/>
      <c r="E607" s="99"/>
      <c r="F607" s="99"/>
    </row>
    <row r="608" spans="2:6" ht="12.75" customHeight="1" x14ac:dyDescent="0.25">
      <c r="B608" s="99"/>
      <c r="E608" s="99"/>
      <c r="F608" s="99"/>
    </row>
    <row r="609" spans="2:6" ht="12.75" customHeight="1" x14ac:dyDescent="0.25">
      <c r="B609" s="99"/>
      <c r="E609" s="99"/>
      <c r="F609" s="99"/>
    </row>
    <row r="610" spans="2:6" ht="12.75" customHeight="1" x14ac:dyDescent="0.25">
      <c r="B610" s="99"/>
      <c r="E610" s="99"/>
      <c r="F610" s="99"/>
    </row>
    <row r="611" spans="2:6" ht="12.75" customHeight="1" x14ac:dyDescent="0.25">
      <c r="B611" s="99"/>
      <c r="E611" s="99"/>
      <c r="F611" s="99"/>
    </row>
    <row r="612" spans="2:6" ht="12.75" customHeight="1" x14ac:dyDescent="0.25">
      <c r="B612" s="99"/>
      <c r="E612" s="99"/>
      <c r="F612" s="99"/>
    </row>
    <row r="613" spans="2:6" ht="12.75" customHeight="1" x14ac:dyDescent="0.25">
      <c r="B613" s="99"/>
      <c r="E613" s="99"/>
      <c r="F613" s="99"/>
    </row>
    <row r="614" spans="2:6" ht="12.75" customHeight="1" x14ac:dyDescent="0.25">
      <c r="B614" s="99"/>
      <c r="E614" s="99"/>
      <c r="F614" s="99"/>
    </row>
    <row r="615" spans="2:6" ht="12.75" customHeight="1" x14ac:dyDescent="0.25">
      <c r="B615" s="99"/>
      <c r="E615" s="99"/>
      <c r="F615" s="99"/>
    </row>
    <row r="616" spans="2:6" ht="12.75" customHeight="1" x14ac:dyDescent="0.25">
      <c r="B616" s="99"/>
      <c r="E616" s="99"/>
      <c r="F616" s="99"/>
    </row>
    <row r="617" spans="2:6" ht="12.75" customHeight="1" x14ac:dyDescent="0.25">
      <c r="B617" s="99"/>
      <c r="E617" s="99"/>
      <c r="F617" s="99"/>
    </row>
    <row r="618" spans="2:6" ht="12.75" customHeight="1" x14ac:dyDescent="0.25">
      <c r="B618" s="99"/>
      <c r="E618" s="99"/>
      <c r="F618" s="99"/>
    </row>
    <row r="619" spans="2:6" ht="12.75" customHeight="1" x14ac:dyDescent="0.25">
      <c r="B619" s="99"/>
      <c r="E619" s="99"/>
      <c r="F619" s="99"/>
    </row>
    <row r="620" spans="2:6" ht="12.75" customHeight="1" x14ac:dyDescent="0.25">
      <c r="B620" s="99"/>
      <c r="E620" s="99"/>
      <c r="F620" s="99"/>
    </row>
    <row r="621" spans="2:6" ht="12.75" customHeight="1" x14ac:dyDescent="0.25">
      <c r="B621" s="99"/>
      <c r="E621" s="99"/>
      <c r="F621" s="99"/>
    </row>
    <row r="622" spans="2:6" ht="12.75" customHeight="1" x14ac:dyDescent="0.25">
      <c r="B622" s="99"/>
      <c r="E622" s="99"/>
      <c r="F622" s="99"/>
    </row>
    <row r="623" spans="2:6" ht="12.75" customHeight="1" x14ac:dyDescent="0.25">
      <c r="B623" s="99"/>
      <c r="E623" s="99"/>
      <c r="F623" s="99"/>
    </row>
    <row r="624" spans="2:6" ht="12.75" customHeight="1" x14ac:dyDescent="0.25">
      <c r="B624" s="99"/>
      <c r="E624" s="99"/>
      <c r="F624" s="99"/>
    </row>
    <row r="625" spans="2:6" ht="12.75" customHeight="1" x14ac:dyDescent="0.25">
      <c r="B625" s="99"/>
      <c r="E625" s="99"/>
      <c r="F625" s="99"/>
    </row>
    <row r="626" spans="2:6" ht="12.75" customHeight="1" x14ac:dyDescent="0.25">
      <c r="B626" s="99"/>
      <c r="E626" s="99"/>
      <c r="F626" s="99"/>
    </row>
    <row r="627" spans="2:6" ht="12.75" customHeight="1" x14ac:dyDescent="0.25">
      <c r="B627" s="99"/>
      <c r="E627" s="99"/>
      <c r="F627" s="99"/>
    </row>
    <row r="628" spans="2:6" ht="12.75" customHeight="1" x14ac:dyDescent="0.25">
      <c r="B628" s="99"/>
      <c r="E628" s="99"/>
      <c r="F628" s="99"/>
    </row>
    <row r="629" spans="2:6" ht="12.75" customHeight="1" x14ac:dyDescent="0.25">
      <c r="B629" s="99"/>
      <c r="E629" s="99"/>
      <c r="F629" s="99"/>
    </row>
    <row r="630" spans="2:6" ht="12.75" customHeight="1" x14ac:dyDescent="0.25">
      <c r="B630" s="99"/>
      <c r="E630" s="99"/>
      <c r="F630" s="99"/>
    </row>
    <row r="631" spans="2:6" ht="12.75" customHeight="1" x14ac:dyDescent="0.25">
      <c r="B631" s="99"/>
      <c r="E631" s="99"/>
      <c r="F631" s="99"/>
    </row>
    <row r="632" spans="2:6" ht="12.75" customHeight="1" x14ac:dyDescent="0.25">
      <c r="B632" s="99"/>
      <c r="E632" s="99"/>
      <c r="F632" s="99"/>
    </row>
    <row r="633" spans="2:6" ht="12.75" customHeight="1" x14ac:dyDescent="0.25">
      <c r="B633" s="99"/>
      <c r="E633" s="99"/>
      <c r="F633" s="99"/>
    </row>
    <row r="634" spans="2:6" ht="12.75" customHeight="1" x14ac:dyDescent="0.25">
      <c r="B634" s="99"/>
      <c r="E634" s="99"/>
      <c r="F634" s="99"/>
    </row>
    <row r="635" spans="2:6" ht="12.75" customHeight="1" x14ac:dyDescent="0.25">
      <c r="B635" s="99"/>
      <c r="E635" s="99"/>
      <c r="F635" s="99"/>
    </row>
    <row r="636" spans="2:6" ht="12.75" customHeight="1" x14ac:dyDescent="0.25">
      <c r="B636" s="99"/>
      <c r="E636" s="99"/>
      <c r="F636" s="99"/>
    </row>
    <row r="637" spans="2:6" ht="12.75" customHeight="1" x14ac:dyDescent="0.25">
      <c r="B637" s="99"/>
      <c r="E637" s="99"/>
      <c r="F637" s="99"/>
    </row>
    <row r="638" spans="2:6" ht="12.75" customHeight="1" x14ac:dyDescent="0.25">
      <c r="B638" s="99"/>
      <c r="E638" s="99"/>
      <c r="F638" s="99"/>
    </row>
    <row r="639" spans="2:6" ht="12.75" customHeight="1" x14ac:dyDescent="0.25">
      <c r="B639" s="99"/>
      <c r="E639" s="99"/>
      <c r="F639" s="99"/>
    </row>
    <row r="640" spans="2:6" ht="12.75" customHeight="1" x14ac:dyDescent="0.25">
      <c r="B640" s="99"/>
      <c r="E640" s="99"/>
      <c r="F640" s="99"/>
    </row>
    <row r="641" spans="2:6" ht="12.75" customHeight="1" x14ac:dyDescent="0.25">
      <c r="B641" s="99"/>
      <c r="E641" s="99"/>
      <c r="F641" s="99"/>
    </row>
    <row r="642" spans="2:6" ht="12.75" customHeight="1" x14ac:dyDescent="0.25">
      <c r="B642" s="99"/>
      <c r="E642" s="99"/>
      <c r="F642" s="99"/>
    </row>
    <row r="643" spans="2:6" ht="12.75" customHeight="1" x14ac:dyDescent="0.25">
      <c r="B643" s="99"/>
      <c r="E643" s="99"/>
      <c r="F643" s="99"/>
    </row>
    <row r="644" spans="2:6" ht="12.75" customHeight="1" x14ac:dyDescent="0.25">
      <c r="B644" s="99"/>
      <c r="E644" s="99"/>
      <c r="F644" s="99"/>
    </row>
    <row r="645" spans="2:6" ht="12.75" customHeight="1" x14ac:dyDescent="0.25">
      <c r="B645" s="99"/>
      <c r="E645" s="99"/>
      <c r="F645" s="99"/>
    </row>
    <row r="646" spans="2:6" ht="12.75" customHeight="1" x14ac:dyDescent="0.25">
      <c r="B646" s="99"/>
      <c r="E646" s="99"/>
      <c r="F646" s="99"/>
    </row>
    <row r="647" spans="2:6" ht="12.75" customHeight="1" x14ac:dyDescent="0.25">
      <c r="B647" s="99"/>
      <c r="E647" s="99"/>
      <c r="F647" s="99"/>
    </row>
    <row r="648" spans="2:6" ht="12.75" customHeight="1" x14ac:dyDescent="0.25">
      <c r="B648" s="99"/>
      <c r="E648" s="99"/>
      <c r="F648" s="99"/>
    </row>
    <row r="649" spans="2:6" ht="12.75" customHeight="1" x14ac:dyDescent="0.25">
      <c r="B649" s="99"/>
      <c r="E649" s="99"/>
      <c r="F649" s="99"/>
    </row>
    <row r="650" spans="2:6" ht="12.75" customHeight="1" x14ac:dyDescent="0.25">
      <c r="B650" s="99"/>
      <c r="E650" s="99"/>
      <c r="F650" s="99"/>
    </row>
    <row r="651" spans="2:6" ht="12.75" customHeight="1" x14ac:dyDescent="0.25">
      <c r="B651" s="99"/>
      <c r="E651" s="99"/>
      <c r="F651" s="99"/>
    </row>
    <row r="652" spans="2:6" ht="12.75" customHeight="1" x14ac:dyDescent="0.25">
      <c r="B652" s="99"/>
      <c r="E652" s="99"/>
      <c r="F652" s="99"/>
    </row>
    <row r="653" spans="2:6" ht="12.75" customHeight="1" x14ac:dyDescent="0.25">
      <c r="B653" s="99"/>
      <c r="E653" s="99"/>
      <c r="F653" s="99"/>
    </row>
    <row r="654" spans="2:6" ht="12.75" customHeight="1" x14ac:dyDescent="0.25">
      <c r="B654" s="99"/>
      <c r="E654" s="99"/>
      <c r="F654" s="99"/>
    </row>
    <row r="655" spans="2:6" ht="12.75" customHeight="1" x14ac:dyDescent="0.25">
      <c r="B655" s="99"/>
      <c r="E655" s="99"/>
      <c r="F655" s="99"/>
    </row>
    <row r="656" spans="2:6" ht="12.75" customHeight="1" x14ac:dyDescent="0.25">
      <c r="B656" s="99"/>
      <c r="E656" s="99"/>
      <c r="F656" s="99"/>
    </row>
    <row r="657" spans="2:6" ht="12.75" customHeight="1" x14ac:dyDescent="0.25">
      <c r="B657" s="99"/>
      <c r="E657" s="99"/>
      <c r="F657" s="99"/>
    </row>
    <row r="658" spans="2:6" ht="12.75" customHeight="1" x14ac:dyDescent="0.25">
      <c r="B658" s="99"/>
      <c r="E658" s="99"/>
      <c r="F658" s="99"/>
    </row>
    <row r="659" spans="2:6" ht="12.75" customHeight="1" x14ac:dyDescent="0.25">
      <c r="B659" s="99"/>
      <c r="E659" s="99"/>
      <c r="F659" s="99"/>
    </row>
    <row r="660" spans="2:6" ht="12.75" customHeight="1" x14ac:dyDescent="0.25">
      <c r="B660" s="99"/>
      <c r="E660" s="99"/>
      <c r="F660" s="99"/>
    </row>
    <row r="661" spans="2:6" ht="12.75" customHeight="1" x14ac:dyDescent="0.25">
      <c r="B661" s="99"/>
      <c r="E661" s="99"/>
      <c r="F661" s="99"/>
    </row>
    <row r="662" spans="2:6" ht="12.75" customHeight="1" x14ac:dyDescent="0.25">
      <c r="B662" s="99"/>
      <c r="E662" s="99"/>
      <c r="F662" s="99"/>
    </row>
    <row r="663" spans="2:6" ht="12.75" customHeight="1" x14ac:dyDescent="0.25">
      <c r="B663" s="99"/>
      <c r="E663" s="99"/>
      <c r="F663" s="99"/>
    </row>
    <row r="664" spans="2:6" ht="12.75" customHeight="1" x14ac:dyDescent="0.25">
      <c r="B664" s="99"/>
      <c r="E664" s="99"/>
      <c r="F664" s="99"/>
    </row>
    <row r="665" spans="2:6" ht="12.75" customHeight="1" x14ac:dyDescent="0.25">
      <c r="B665" s="99"/>
      <c r="E665" s="99"/>
      <c r="F665" s="99"/>
    </row>
    <row r="666" spans="2:6" ht="12.75" customHeight="1" x14ac:dyDescent="0.25">
      <c r="B666" s="99"/>
      <c r="E666" s="99"/>
      <c r="F666" s="99"/>
    </row>
    <row r="667" spans="2:6" ht="12.75" customHeight="1" x14ac:dyDescent="0.25">
      <c r="B667" s="99"/>
      <c r="E667" s="99"/>
      <c r="F667" s="99"/>
    </row>
    <row r="668" spans="2:6" ht="12.75" customHeight="1" x14ac:dyDescent="0.25">
      <c r="B668" s="99"/>
      <c r="E668" s="99"/>
      <c r="F668" s="99"/>
    </row>
    <row r="669" spans="2:6" ht="12.75" customHeight="1" x14ac:dyDescent="0.25">
      <c r="B669" s="99"/>
      <c r="E669" s="99"/>
      <c r="F669" s="99"/>
    </row>
    <row r="670" spans="2:6" ht="12.75" customHeight="1" x14ac:dyDescent="0.25">
      <c r="B670" s="99"/>
      <c r="E670" s="99"/>
      <c r="F670" s="99"/>
    </row>
    <row r="671" spans="2:6" ht="12.75" customHeight="1" x14ac:dyDescent="0.25">
      <c r="B671" s="99"/>
      <c r="E671" s="99"/>
      <c r="F671" s="99"/>
    </row>
    <row r="672" spans="2:6" ht="12.75" customHeight="1" x14ac:dyDescent="0.25">
      <c r="B672" s="99"/>
      <c r="E672" s="99"/>
      <c r="F672" s="99"/>
    </row>
    <row r="673" spans="2:6" ht="12.75" customHeight="1" x14ac:dyDescent="0.25">
      <c r="B673" s="99"/>
      <c r="E673" s="99"/>
      <c r="F673" s="99"/>
    </row>
    <row r="674" spans="2:6" ht="12.75" customHeight="1" x14ac:dyDescent="0.25">
      <c r="B674" s="99"/>
      <c r="E674" s="99"/>
      <c r="F674" s="99"/>
    </row>
    <row r="675" spans="2:6" ht="12.75" customHeight="1" x14ac:dyDescent="0.25">
      <c r="B675" s="99"/>
      <c r="E675" s="99"/>
      <c r="F675" s="99"/>
    </row>
    <row r="676" spans="2:6" ht="12.75" customHeight="1" x14ac:dyDescent="0.25">
      <c r="B676" s="99"/>
      <c r="E676" s="99"/>
      <c r="F676" s="99"/>
    </row>
    <row r="677" spans="2:6" ht="12.75" customHeight="1" x14ac:dyDescent="0.25">
      <c r="B677" s="99"/>
      <c r="E677" s="99"/>
      <c r="F677" s="99"/>
    </row>
    <row r="678" spans="2:6" ht="12.75" customHeight="1" x14ac:dyDescent="0.25">
      <c r="B678" s="99"/>
      <c r="E678" s="99"/>
      <c r="F678" s="99"/>
    </row>
    <row r="679" spans="2:6" ht="12.75" customHeight="1" x14ac:dyDescent="0.25">
      <c r="B679" s="99"/>
      <c r="E679" s="99"/>
      <c r="F679" s="99"/>
    </row>
    <row r="680" spans="2:6" ht="12.75" customHeight="1" x14ac:dyDescent="0.25">
      <c r="B680" s="99"/>
      <c r="E680" s="99"/>
      <c r="F680" s="99"/>
    </row>
    <row r="681" spans="2:6" ht="12.75" customHeight="1" x14ac:dyDescent="0.25">
      <c r="B681" s="99"/>
      <c r="E681" s="99"/>
      <c r="F681" s="99"/>
    </row>
    <row r="682" spans="2:6" ht="12.75" customHeight="1" x14ac:dyDescent="0.25">
      <c r="B682" s="99"/>
      <c r="E682" s="99"/>
      <c r="F682" s="99"/>
    </row>
    <row r="683" spans="2:6" ht="12.75" customHeight="1" x14ac:dyDescent="0.25">
      <c r="B683" s="99"/>
      <c r="E683" s="99"/>
      <c r="F683" s="99"/>
    </row>
    <row r="684" spans="2:6" ht="12.75" customHeight="1" x14ac:dyDescent="0.25">
      <c r="B684" s="99"/>
      <c r="E684" s="99"/>
      <c r="F684" s="99"/>
    </row>
    <row r="685" spans="2:6" ht="12.75" customHeight="1" x14ac:dyDescent="0.25">
      <c r="B685" s="99"/>
      <c r="E685" s="99"/>
      <c r="F685" s="99"/>
    </row>
    <row r="686" spans="2:6" ht="12.75" customHeight="1" x14ac:dyDescent="0.25">
      <c r="B686" s="99"/>
      <c r="E686" s="99"/>
      <c r="F686" s="99"/>
    </row>
    <row r="687" spans="2:6" ht="12.75" customHeight="1" x14ac:dyDescent="0.25">
      <c r="B687" s="99"/>
      <c r="E687" s="99"/>
      <c r="F687" s="99"/>
    </row>
    <row r="688" spans="2:6" ht="12.75" customHeight="1" x14ac:dyDescent="0.25">
      <c r="B688" s="99"/>
      <c r="E688" s="99"/>
      <c r="F688" s="99"/>
    </row>
    <row r="689" spans="2:6" ht="12.75" customHeight="1" x14ac:dyDescent="0.25">
      <c r="B689" s="99"/>
      <c r="E689" s="99"/>
      <c r="F689" s="99"/>
    </row>
    <row r="690" spans="2:6" ht="12.75" customHeight="1" x14ac:dyDescent="0.25">
      <c r="B690" s="99"/>
      <c r="E690" s="99"/>
      <c r="F690" s="99"/>
    </row>
    <row r="691" spans="2:6" ht="12.75" customHeight="1" x14ac:dyDescent="0.25">
      <c r="B691" s="99"/>
      <c r="E691" s="99"/>
      <c r="F691" s="99"/>
    </row>
    <row r="692" spans="2:6" ht="12.75" customHeight="1" x14ac:dyDescent="0.25">
      <c r="B692" s="99"/>
      <c r="E692" s="99"/>
      <c r="F692" s="99"/>
    </row>
    <row r="693" spans="2:6" ht="12.75" customHeight="1" x14ac:dyDescent="0.25">
      <c r="B693" s="99"/>
      <c r="E693" s="99"/>
      <c r="F693" s="99"/>
    </row>
    <row r="694" spans="2:6" ht="12.75" customHeight="1" x14ac:dyDescent="0.25">
      <c r="B694" s="99"/>
      <c r="E694" s="99"/>
      <c r="F694" s="99"/>
    </row>
    <row r="695" spans="2:6" ht="12.75" customHeight="1" x14ac:dyDescent="0.25">
      <c r="B695" s="99"/>
      <c r="E695" s="99"/>
      <c r="F695" s="99"/>
    </row>
    <row r="696" spans="2:6" ht="12.75" customHeight="1" x14ac:dyDescent="0.25">
      <c r="B696" s="99"/>
      <c r="E696" s="99"/>
      <c r="F696" s="99"/>
    </row>
    <row r="697" spans="2:6" ht="12.75" customHeight="1" x14ac:dyDescent="0.25">
      <c r="B697" s="99"/>
      <c r="E697" s="99"/>
      <c r="F697" s="99"/>
    </row>
    <row r="698" spans="2:6" ht="12.75" customHeight="1" x14ac:dyDescent="0.25">
      <c r="B698" s="99"/>
      <c r="E698" s="99"/>
      <c r="F698" s="99"/>
    </row>
    <row r="699" spans="2:6" ht="12.75" customHeight="1" x14ac:dyDescent="0.25">
      <c r="B699" s="99"/>
      <c r="E699" s="99"/>
      <c r="F699" s="99"/>
    </row>
    <row r="700" spans="2:6" ht="12.75" customHeight="1" x14ac:dyDescent="0.25">
      <c r="B700" s="99"/>
      <c r="E700" s="99"/>
      <c r="F700" s="99"/>
    </row>
    <row r="701" spans="2:6" ht="12.75" customHeight="1" x14ac:dyDescent="0.25">
      <c r="B701" s="99"/>
      <c r="E701" s="99"/>
      <c r="F701" s="99"/>
    </row>
    <row r="702" spans="2:6" ht="12.75" customHeight="1" x14ac:dyDescent="0.25">
      <c r="B702" s="99"/>
      <c r="E702" s="99"/>
      <c r="F702" s="99"/>
    </row>
    <row r="703" spans="2:6" ht="12.75" customHeight="1" x14ac:dyDescent="0.25">
      <c r="B703" s="99"/>
      <c r="E703" s="99"/>
      <c r="F703" s="99"/>
    </row>
    <row r="704" spans="2:6" ht="12.75" customHeight="1" x14ac:dyDescent="0.25">
      <c r="B704" s="99"/>
      <c r="E704" s="99"/>
      <c r="F704" s="99"/>
    </row>
    <row r="705" spans="2:6" ht="12.75" customHeight="1" x14ac:dyDescent="0.25">
      <c r="B705" s="99"/>
      <c r="E705" s="99"/>
      <c r="F705" s="99"/>
    </row>
    <row r="706" spans="2:6" ht="12.75" customHeight="1" x14ac:dyDescent="0.25">
      <c r="B706" s="99"/>
      <c r="E706" s="99"/>
      <c r="F706" s="99"/>
    </row>
    <row r="707" spans="2:6" ht="12.75" customHeight="1" x14ac:dyDescent="0.25">
      <c r="B707" s="99"/>
      <c r="E707" s="99"/>
      <c r="F707" s="99"/>
    </row>
    <row r="708" spans="2:6" ht="12.75" customHeight="1" x14ac:dyDescent="0.25">
      <c r="B708" s="99"/>
      <c r="E708" s="99"/>
      <c r="F708" s="99"/>
    </row>
    <row r="709" spans="2:6" ht="12.75" customHeight="1" x14ac:dyDescent="0.25">
      <c r="B709" s="99"/>
      <c r="E709" s="99"/>
      <c r="F709" s="99"/>
    </row>
    <row r="710" spans="2:6" ht="12.75" customHeight="1" x14ac:dyDescent="0.25">
      <c r="B710" s="99"/>
      <c r="E710" s="99"/>
      <c r="F710" s="99"/>
    </row>
    <row r="711" spans="2:6" ht="12.75" customHeight="1" x14ac:dyDescent="0.25">
      <c r="B711" s="99"/>
      <c r="E711" s="99"/>
      <c r="F711" s="99"/>
    </row>
    <row r="712" spans="2:6" ht="12.75" customHeight="1" x14ac:dyDescent="0.25">
      <c r="B712" s="99"/>
      <c r="E712" s="99"/>
      <c r="F712" s="99"/>
    </row>
    <row r="713" spans="2:6" ht="12.75" customHeight="1" x14ac:dyDescent="0.25">
      <c r="B713" s="99"/>
      <c r="E713" s="99"/>
      <c r="F713" s="99"/>
    </row>
    <row r="714" spans="2:6" ht="12.75" customHeight="1" x14ac:dyDescent="0.25">
      <c r="B714" s="99"/>
      <c r="E714" s="99"/>
      <c r="F714" s="99"/>
    </row>
    <row r="715" spans="2:6" ht="12.75" customHeight="1" x14ac:dyDescent="0.25">
      <c r="B715" s="99"/>
      <c r="E715" s="99"/>
      <c r="F715" s="99"/>
    </row>
    <row r="716" spans="2:6" ht="12.75" customHeight="1" x14ac:dyDescent="0.25">
      <c r="B716" s="99"/>
      <c r="E716" s="99"/>
      <c r="F716" s="99"/>
    </row>
    <row r="717" spans="2:6" ht="12.75" customHeight="1" x14ac:dyDescent="0.25">
      <c r="B717" s="99"/>
      <c r="E717" s="99"/>
      <c r="F717" s="99"/>
    </row>
    <row r="718" spans="2:6" ht="12.75" customHeight="1" x14ac:dyDescent="0.25">
      <c r="B718" s="99"/>
      <c r="E718" s="99"/>
      <c r="F718" s="99"/>
    </row>
    <row r="719" spans="2:6" ht="12.75" customHeight="1" x14ac:dyDescent="0.25">
      <c r="B719" s="99"/>
      <c r="E719" s="99"/>
      <c r="F719" s="99"/>
    </row>
    <row r="720" spans="2:6" ht="12.75" customHeight="1" x14ac:dyDescent="0.25">
      <c r="B720" s="99"/>
      <c r="E720" s="99"/>
      <c r="F720" s="99"/>
    </row>
    <row r="721" spans="2:6" ht="12.75" customHeight="1" x14ac:dyDescent="0.25">
      <c r="B721" s="99"/>
      <c r="E721" s="99"/>
      <c r="F721" s="99"/>
    </row>
    <row r="722" spans="2:6" ht="12.75" customHeight="1" x14ac:dyDescent="0.25">
      <c r="B722" s="99"/>
      <c r="E722" s="99"/>
      <c r="F722" s="99"/>
    </row>
    <row r="723" spans="2:6" ht="12.75" customHeight="1" x14ac:dyDescent="0.25">
      <c r="B723" s="99"/>
      <c r="E723" s="99"/>
      <c r="F723" s="99"/>
    </row>
    <row r="724" spans="2:6" ht="12.75" customHeight="1" x14ac:dyDescent="0.25">
      <c r="B724" s="99"/>
      <c r="E724" s="99"/>
      <c r="F724" s="99"/>
    </row>
    <row r="725" spans="2:6" ht="12.75" customHeight="1" x14ac:dyDescent="0.25">
      <c r="B725" s="99"/>
      <c r="E725" s="99"/>
      <c r="F725" s="99"/>
    </row>
    <row r="726" spans="2:6" ht="12.75" customHeight="1" x14ac:dyDescent="0.25">
      <c r="B726" s="99"/>
      <c r="E726" s="99"/>
      <c r="F726" s="99"/>
    </row>
    <row r="727" spans="2:6" ht="12.75" customHeight="1" x14ac:dyDescent="0.25">
      <c r="B727" s="99"/>
      <c r="E727" s="99"/>
      <c r="F727" s="99"/>
    </row>
    <row r="728" spans="2:6" ht="12.75" customHeight="1" x14ac:dyDescent="0.25">
      <c r="B728" s="99"/>
      <c r="E728" s="99"/>
      <c r="F728" s="99"/>
    </row>
    <row r="729" spans="2:6" ht="12.75" customHeight="1" x14ac:dyDescent="0.25">
      <c r="B729" s="99"/>
      <c r="E729" s="99"/>
      <c r="F729" s="99"/>
    </row>
    <row r="730" spans="2:6" ht="12.75" customHeight="1" x14ac:dyDescent="0.25">
      <c r="B730" s="99"/>
      <c r="E730" s="99"/>
      <c r="F730" s="99"/>
    </row>
    <row r="731" spans="2:6" ht="12.75" customHeight="1" x14ac:dyDescent="0.25">
      <c r="B731" s="99"/>
      <c r="E731" s="99"/>
      <c r="F731" s="99"/>
    </row>
    <row r="732" spans="2:6" ht="12.75" customHeight="1" x14ac:dyDescent="0.25">
      <c r="B732" s="99"/>
      <c r="E732" s="99"/>
      <c r="F732" s="99"/>
    </row>
    <row r="733" spans="2:6" ht="12.75" customHeight="1" x14ac:dyDescent="0.25">
      <c r="B733" s="99"/>
      <c r="E733" s="99"/>
      <c r="F733" s="99"/>
    </row>
    <row r="734" spans="2:6" ht="12.75" customHeight="1" x14ac:dyDescent="0.25">
      <c r="B734" s="99"/>
      <c r="E734" s="99"/>
      <c r="F734" s="99"/>
    </row>
    <row r="735" spans="2:6" ht="12.75" customHeight="1" x14ac:dyDescent="0.25">
      <c r="B735" s="99"/>
      <c r="E735" s="99"/>
      <c r="F735" s="99"/>
    </row>
    <row r="736" spans="2:6" ht="12.75" customHeight="1" x14ac:dyDescent="0.25">
      <c r="B736" s="99"/>
      <c r="E736" s="99"/>
      <c r="F736" s="99"/>
    </row>
    <row r="737" spans="2:6" ht="12.75" customHeight="1" x14ac:dyDescent="0.25">
      <c r="B737" s="99"/>
      <c r="E737" s="99"/>
      <c r="F737" s="99"/>
    </row>
    <row r="738" spans="2:6" ht="12.75" customHeight="1" x14ac:dyDescent="0.25">
      <c r="B738" s="99"/>
      <c r="E738" s="99"/>
      <c r="F738" s="99"/>
    </row>
    <row r="739" spans="2:6" ht="12.75" customHeight="1" x14ac:dyDescent="0.25">
      <c r="B739" s="99"/>
      <c r="E739" s="99"/>
      <c r="F739" s="99"/>
    </row>
    <row r="740" spans="2:6" ht="12.75" customHeight="1" x14ac:dyDescent="0.25">
      <c r="B740" s="99"/>
      <c r="E740" s="99"/>
      <c r="F740" s="99"/>
    </row>
    <row r="741" spans="2:6" ht="12.75" customHeight="1" x14ac:dyDescent="0.25">
      <c r="B741" s="99"/>
      <c r="E741" s="99"/>
      <c r="F741" s="99"/>
    </row>
    <row r="742" spans="2:6" ht="12.75" customHeight="1" x14ac:dyDescent="0.25">
      <c r="B742" s="99"/>
      <c r="E742" s="99"/>
      <c r="F742" s="99"/>
    </row>
    <row r="743" spans="2:6" ht="12.75" customHeight="1" x14ac:dyDescent="0.25">
      <c r="B743" s="99"/>
      <c r="E743" s="99"/>
      <c r="F743" s="99"/>
    </row>
    <row r="744" spans="2:6" ht="12.75" customHeight="1" x14ac:dyDescent="0.25">
      <c r="B744" s="99"/>
      <c r="E744" s="99"/>
      <c r="F744" s="99"/>
    </row>
    <row r="745" spans="2:6" ht="12.75" customHeight="1" x14ac:dyDescent="0.25">
      <c r="B745" s="99"/>
      <c r="E745" s="99"/>
      <c r="F745" s="99"/>
    </row>
    <row r="746" spans="2:6" ht="12.75" customHeight="1" x14ac:dyDescent="0.25">
      <c r="B746" s="99"/>
      <c r="E746" s="99"/>
      <c r="F746" s="99"/>
    </row>
    <row r="747" spans="2:6" ht="12.75" customHeight="1" x14ac:dyDescent="0.25">
      <c r="B747" s="99"/>
      <c r="E747" s="99"/>
      <c r="F747" s="99"/>
    </row>
    <row r="748" spans="2:6" ht="12.75" customHeight="1" x14ac:dyDescent="0.25">
      <c r="B748" s="99"/>
      <c r="E748" s="99"/>
      <c r="F748" s="99"/>
    </row>
    <row r="749" spans="2:6" ht="12.75" customHeight="1" x14ac:dyDescent="0.25">
      <c r="B749" s="99"/>
      <c r="E749" s="99"/>
      <c r="F749" s="99"/>
    </row>
    <row r="750" spans="2:6" ht="12.75" customHeight="1" x14ac:dyDescent="0.25">
      <c r="B750" s="99"/>
      <c r="E750" s="99"/>
      <c r="F750" s="99"/>
    </row>
    <row r="751" spans="2:6" ht="12.75" customHeight="1" x14ac:dyDescent="0.25">
      <c r="B751" s="99"/>
      <c r="E751" s="99"/>
      <c r="F751" s="99"/>
    </row>
    <row r="752" spans="2:6" ht="12.75" customHeight="1" x14ac:dyDescent="0.25">
      <c r="B752" s="99"/>
      <c r="E752" s="99"/>
      <c r="F752" s="99"/>
    </row>
    <row r="753" spans="2:6" ht="12.75" customHeight="1" x14ac:dyDescent="0.25">
      <c r="B753" s="99"/>
      <c r="E753" s="99"/>
      <c r="F753" s="99"/>
    </row>
    <row r="754" spans="2:6" ht="12.75" customHeight="1" x14ac:dyDescent="0.25">
      <c r="B754" s="99"/>
      <c r="E754" s="99"/>
      <c r="F754" s="99"/>
    </row>
    <row r="755" spans="2:6" ht="12.75" customHeight="1" x14ac:dyDescent="0.25">
      <c r="B755" s="99"/>
      <c r="E755" s="99"/>
      <c r="F755" s="99"/>
    </row>
    <row r="756" spans="2:6" ht="12.75" customHeight="1" x14ac:dyDescent="0.25">
      <c r="B756" s="99"/>
      <c r="E756" s="99"/>
      <c r="F756" s="99"/>
    </row>
    <row r="757" spans="2:6" ht="12.75" customHeight="1" x14ac:dyDescent="0.25">
      <c r="B757" s="99"/>
      <c r="E757" s="99"/>
      <c r="F757" s="99"/>
    </row>
    <row r="758" spans="2:6" ht="12.75" customHeight="1" x14ac:dyDescent="0.25">
      <c r="B758" s="99"/>
      <c r="E758" s="99"/>
      <c r="F758" s="99"/>
    </row>
    <row r="759" spans="2:6" ht="12.75" customHeight="1" x14ac:dyDescent="0.25">
      <c r="B759" s="99"/>
      <c r="E759" s="99"/>
      <c r="F759" s="99"/>
    </row>
    <row r="760" spans="2:6" ht="12.75" customHeight="1" x14ac:dyDescent="0.25">
      <c r="B760" s="99"/>
      <c r="E760" s="99"/>
      <c r="F760" s="99"/>
    </row>
    <row r="761" spans="2:6" ht="12.75" customHeight="1" x14ac:dyDescent="0.25">
      <c r="B761" s="99"/>
      <c r="E761" s="99"/>
      <c r="F761" s="99"/>
    </row>
    <row r="762" spans="2:6" ht="12.75" customHeight="1" x14ac:dyDescent="0.25">
      <c r="B762" s="99"/>
      <c r="E762" s="99"/>
      <c r="F762" s="99"/>
    </row>
    <row r="763" spans="2:6" ht="12.75" customHeight="1" x14ac:dyDescent="0.25">
      <c r="B763" s="99"/>
      <c r="E763" s="99"/>
      <c r="F763" s="99"/>
    </row>
    <row r="764" spans="2:6" ht="12.75" customHeight="1" x14ac:dyDescent="0.25">
      <c r="B764" s="99"/>
      <c r="E764" s="99"/>
      <c r="F764" s="99"/>
    </row>
    <row r="765" spans="2:6" ht="12.75" customHeight="1" x14ac:dyDescent="0.25">
      <c r="B765" s="99"/>
      <c r="E765" s="99"/>
      <c r="F765" s="99"/>
    </row>
    <row r="766" spans="2:6" ht="12.75" customHeight="1" x14ac:dyDescent="0.25">
      <c r="B766" s="99"/>
      <c r="E766" s="99"/>
      <c r="F766" s="99"/>
    </row>
    <row r="767" spans="2:6" ht="12.75" customHeight="1" x14ac:dyDescent="0.25">
      <c r="B767" s="99"/>
      <c r="E767" s="99"/>
      <c r="F767" s="99"/>
    </row>
    <row r="768" spans="2:6" ht="12.75" customHeight="1" x14ac:dyDescent="0.25">
      <c r="B768" s="99"/>
      <c r="E768" s="99"/>
      <c r="F768" s="99"/>
    </row>
    <row r="769" spans="2:6" ht="12.75" customHeight="1" x14ac:dyDescent="0.25">
      <c r="B769" s="99"/>
      <c r="E769" s="99"/>
      <c r="F769" s="99"/>
    </row>
    <row r="770" spans="2:6" ht="12.75" customHeight="1" x14ac:dyDescent="0.25">
      <c r="B770" s="99"/>
      <c r="E770" s="99"/>
      <c r="F770" s="99"/>
    </row>
    <row r="771" spans="2:6" ht="12.75" customHeight="1" x14ac:dyDescent="0.25">
      <c r="B771" s="99"/>
      <c r="E771" s="99"/>
      <c r="F771" s="99"/>
    </row>
    <row r="772" spans="2:6" ht="12.75" customHeight="1" x14ac:dyDescent="0.25">
      <c r="B772" s="99"/>
      <c r="E772" s="99"/>
      <c r="F772" s="99"/>
    </row>
    <row r="773" spans="2:6" ht="12.75" customHeight="1" x14ac:dyDescent="0.25">
      <c r="B773" s="99"/>
      <c r="E773" s="99"/>
      <c r="F773" s="99"/>
    </row>
    <row r="774" spans="2:6" ht="12.75" customHeight="1" x14ac:dyDescent="0.25">
      <c r="B774" s="99"/>
      <c r="E774" s="99"/>
      <c r="F774" s="99"/>
    </row>
    <row r="775" spans="2:6" ht="12.75" customHeight="1" x14ac:dyDescent="0.25">
      <c r="B775" s="99"/>
      <c r="E775" s="99"/>
      <c r="F775" s="99"/>
    </row>
    <row r="776" spans="2:6" ht="12.75" customHeight="1" x14ac:dyDescent="0.25">
      <c r="B776" s="99"/>
      <c r="E776" s="99"/>
      <c r="F776" s="99"/>
    </row>
    <row r="777" spans="2:6" ht="12.75" customHeight="1" x14ac:dyDescent="0.25">
      <c r="B777" s="99"/>
      <c r="E777" s="99"/>
      <c r="F777" s="99"/>
    </row>
    <row r="778" spans="2:6" ht="12.75" customHeight="1" x14ac:dyDescent="0.25">
      <c r="B778" s="99"/>
      <c r="E778" s="99"/>
      <c r="F778" s="99"/>
    </row>
    <row r="779" spans="2:6" ht="12.75" customHeight="1" x14ac:dyDescent="0.25">
      <c r="B779" s="99"/>
      <c r="E779" s="99"/>
      <c r="F779" s="99"/>
    </row>
    <row r="780" spans="2:6" ht="12.75" customHeight="1" x14ac:dyDescent="0.25">
      <c r="B780" s="99"/>
      <c r="E780" s="99"/>
      <c r="F780" s="99"/>
    </row>
    <row r="781" spans="2:6" ht="12.75" customHeight="1" x14ac:dyDescent="0.25">
      <c r="B781" s="99"/>
      <c r="E781" s="99"/>
      <c r="F781" s="99"/>
    </row>
    <row r="782" spans="2:6" ht="12.75" customHeight="1" x14ac:dyDescent="0.25">
      <c r="B782" s="99"/>
      <c r="E782" s="99"/>
      <c r="F782" s="99"/>
    </row>
    <row r="783" spans="2:6" ht="12.75" customHeight="1" x14ac:dyDescent="0.25">
      <c r="B783" s="99"/>
      <c r="E783" s="99"/>
      <c r="F783" s="99"/>
    </row>
    <row r="784" spans="2:6" ht="12.75" customHeight="1" x14ac:dyDescent="0.25">
      <c r="B784" s="99"/>
      <c r="E784" s="99"/>
      <c r="F784" s="99"/>
    </row>
    <row r="785" spans="2:6" ht="12.75" customHeight="1" x14ac:dyDescent="0.25">
      <c r="B785" s="99"/>
      <c r="E785" s="99"/>
      <c r="F785" s="99"/>
    </row>
    <row r="786" spans="2:6" ht="12.75" customHeight="1" x14ac:dyDescent="0.25">
      <c r="B786" s="99"/>
      <c r="E786" s="99"/>
      <c r="F786" s="99"/>
    </row>
    <row r="787" spans="2:6" ht="12.75" customHeight="1" x14ac:dyDescent="0.25">
      <c r="B787" s="99"/>
      <c r="E787" s="99"/>
      <c r="F787" s="99"/>
    </row>
    <row r="788" spans="2:6" ht="12.75" customHeight="1" x14ac:dyDescent="0.25">
      <c r="B788" s="99"/>
      <c r="E788" s="99"/>
      <c r="F788" s="99"/>
    </row>
    <row r="789" spans="2:6" ht="12.75" customHeight="1" x14ac:dyDescent="0.25">
      <c r="B789" s="99"/>
      <c r="E789" s="99"/>
      <c r="F789" s="99"/>
    </row>
    <row r="790" spans="2:6" ht="12.75" customHeight="1" x14ac:dyDescent="0.25">
      <c r="B790" s="99"/>
      <c r="E790" s="99"/>
      <c r="F790" s="99"/>
    </row>
    <row r="791" spans="2:6" ht="12.75" customHeight="1" x14ac:dyDescent="0.25">
      <c r="B791" s="99"/>
      <c r="E791" s="99"/>
      <c r="F791" s="99"/>
    </row>
    <row r="792" spans="2:6" ht="12.75" customHeight="1" x14ac:dyDescent="0.25">
      <c r="B792" s="99"/>
      <c r="E792" s="99"/>
      <c r="F792" s="99"/>
    </row>
    <row r="793" spans="2:6" ht="12.75" customHeight="1" x14ac:dyDescent="0.25">
      <c r="B793" s="99"/>
      <c r="E793" s="99"/>
      <c r="F793" s="99"/>
    </row>
    <row r="794" spans="2:6" ht="12.75" customHeight="1" x14ac:dyDescent="0.25">
      <c r="B794" s="99"/>
      <c r="E794" s="99"/>
      <c r="F794" s="99"/>
    </row>
    <row r="795" spans="2:6" ht="12.75" customHeight="1" x14ac:dyDescent="0.25">
      <c r="B795" s="99"/>
      <c r="E795" s="99"/>
      <c r="F795" s="99"/>
    </row>
    <row r="796" spans="2:6" ht="12.75" customHeight="1" x14ac:dyDescent="0.25">
      <c r="B796" s="99"/>
      <c r="E796" s="99"/>
      <c r="F796" s="99"/>
    </row>
    <row r="797" spans="2:6" ht="12.75" customHeight="1" x14ac:dyDescent="0.25">
      <c r="B797" s="99"/>
      <c r="E797" s="99"/>
      <c r="F797" s="99"/>
    </row>
    <row r="798" spans="2:6" ht="12.75" customHeight="1" x14ac:dyDescent="0.25">
      <c r="B798" s="99"/>
      <c r="E798" s="99"/>
      <c r="F798" s="99"/>
    </row>
    <row r="799" spans="2:6" ht="12.75" customHeight="1" x14ac:dyDescent="0.25">
      <c r="B799" s="99"/>
      <c r="E799" s="99"/>
      <c r="F799" s="99"/>
    </row>
    <row r="800" spans="2:6" ht="12.75" customHeight="1" x14ac:dyDescent="0.25">
      <c r="B800" s="99"/>
      <c r="E800" s="99"/>
      <c r="F800" s="99"/>
    </row>
    <row r="801" spans="2:6" ht="12.75" customHeight="1" x14ac:dyDescent="0.25">
      <c r="B801" s="99"/>
      <c r="E801" s="99"/>
      <c r="F801" s="99"/>
    </row>
    <row r="802" spans="2:6" ht="12.75" customHeight="1" x14ac:dyDescent="0.25">
      <c r="B802" s="99"/>
      <c r="E802" s="99"/>
      <c r="F802" s="99"/>
    </row>
    <row r="803" spans="2:6" ht="12.75" customHeight="1" x14ac:dyDescent="0.25">
      <c r="B803" s="99"/>
      <c r="E803" s="99"/>
      <c r="F803" s="99"/>
    </row>
    <row r="804" spans="2:6" ht="12.75" customHeight="1" x14ac:dyDescent="0.25">
      <c r="B804" s="99"/>
      <c r="E804" s="99"/>
      <c r="F804" s="99"/>
    </row>
    <row r="805" spans="2:6" ht="12.75" customHeight="1" x14ac:dyDescent="0.25">
      <c r="B805" s="99"/>
      <c r="E805" s="99"/>
      <c r="F805" s="99"/>
    </row>
    <row r="806" spans="2:6" ht="12.75" customHeight="1" x14ac:dyDescent="0.25">
      <c r="B806" s="99"/>
      <c r="E806" s="99"/>
      <c r="F806" s="99"/>
    </row>
    <row r="807" spans="2:6" ht="12.75" customHeight="1" x14ac:dyDescent="0.25">
      <c r="B807" s="99"/>
      <c r="E807" s="99"/>
      <c r="F807" s="99"/>
    </row>
    <row r="808" spans="2:6" ht="12.75" customHeight="1" x14ac:dyDescent="0.25">
      <c r="B808" s="99"/>
      <c r="E808" s="99"/>
      <c r="F808" s="99"/>
    </row>
    <row r="809" spans="2:6" ht="12.75" customHeight="1" x14ac:dyDescent="0.25">
      <c r="B809" s="99"/>
      <c r="E809" s="99"/>
      <c r="F809" s="99"/>
    </row>
    <row r="810" spans="2:6" ht="12.75" customHeight="1" x14ac:dyDescent="0.25">
      <c r="B810" s="99"/>
      <c r="E810" s="99"/>
      <c r="F810" s="99"/>
    </row>
    <row r="811" spans="2:6" ht="12.75" customHeight="1" x14ac:dyDescent="0.25">
      <c r="B811" s="99"/>
      <c r="E811" s="99"/>
      <c r="F811" s="99"/>
    </row>
    <row r="812" spans="2:6" ht="12.75" customHeight="1" x14ac:dyDescent="0.25">
      <c r="B812" s="99"/>
      <c r="E812" s="99"/>
      <c r="F812" s="99"/>
    </row>
    <row r="813" spans="2:6" ht="12.75" customHeight="1" x14ac:dyDescent="0.25">
      <c r="B813" s="99"/>
      <c r="E813" s="99"/>
      <c r="F813" s="99"/>
    </row>
    <row r="814" spans="2:6" ht="12.75" customHeight="1" x14ac:dyDescent="0.25">
      <c r="B814" s="99"/>
      <c r="E814" s="99"/>
      <c r="F814" s="99"/>
    </row>
    <row r="815" spans="2:6" ht="12.75" customHeight="1" x14ac:dyDescent="0.25">
      <c r="B815" s="99"/>
      <c r="E815" s="99"/>
      <c r="F815" s="99"/>
    </row>
    <row r="816" spans="2:6" ht="12.75" customHeight="1" x14ac:dyDescent="0.25">
      <c r="B816" s="99"/>
      <c r="E816" s="99"/>
      <c r="F816" s="99"/>
    </row>
    <row r="817" spans="2:6" ht="12.75" customHeight="1" x14ac:dyDescent="0.25">
      <c r="B817" s="99"/>
      <c r="E817" s="99"/>
      <c r="F817" s="99"/>
    </row>
    <row r="818" spans="2:6" ht="12.75" customHeight="1" x14ac:dyDescent="0.25">
      <c r="B818" s="99"/>
      <c r="E818" s="99"/>
      <c r="F818" s="99"/>
    </row>
    <row r="819" spans="2:6" ht="12.75" customHeight="1" x14ac:dyDescent="0.25">
      <c r="B819" s="99"/>
      <c r="E819" s="99"/>
      <c r="F819" s="99"/>
    </row>
    <row r="820" spans="2:6" ht="12.75" customHeight="1" x14ac:dyDescent="0.25">
      <c r="B820" s="99"/>
      <c r="E820" s="99"/>
      <c r="F820" s="99"/>
    </row>
    <row r="821" spans="2:6" ht="12.75" customHeight="1" x14ac:dyDescent="0.25">
      <c r="B821" s="99"/>
      <c r="E821" s="99"/>
      <c r="F821" s="99"/>
    </row>
    <row r="822" spans="2:6" ht="12.75" customHeight="1" x14ac:dyDescent="0.25">
      <c r="B822" s="99"/>
      <c r="E822" s="99"/>
      <c r="F822" s="99"/>
    </row>
    <row r="823" spans="2:6" ht="12.75" customHeight="1" x14ac:dyDescent="0.25">
      <c r="B823" s="99"/>
      <c r="E823" s="99"/>
      <c r="F823" s="99"/>
    </row>
    <row r="824" spans="2:6" ht="12.75" customHeight="1" x14ac:dyDescent="0.25">
      <c r="B824" s="99"/>
      <c r="E824" s="99"/>
      <c r="F824" s="99"/>
    </row>
    <row r="825" spans="2:6" ht="12.75" customHeight="1" x14ac:dyDescent="0.25">
      <c r="B825" s="99"/>
      <c r="E825" s="99"/>
      <c r="F825" s="99"/>
    </row>
    <row r="826" spans="2:6" ht="12.75" customHeight="1" x14ac:dyDescent="0.25">
      <c r="B826" s="99"/>
      <c r="E826" s="99"/>
      <c r="F826" s="99"/>
    </row>
    <row r="827" spans="2:6" ht="12.75" customHeight="1" x14ac:dyDescent="0.25">
      <c r="B827" s="99"/>
      <c r="E827" s="99"/>
      <c r="F827" s="99"/>
    </row>
    <row r="828" spans="2:6" ht="12.75" customHeight="1" x14ac:dyDescent="0.25">
      <c r="B828" s="99"/>
      <c r="E828" s="99"/>
      <c r="F828" s="99"/>
    </row>
    <row r="829" spans="2:6" ht="12.75" customHeight="1" x14ac:dyDescent="0.25">
      <c r="B829" s="99"/>
      <c r="E829" s="99"/>
      <c r="F829" s="99"/>
    </row>
    <row r="830" spans="2:6" ht="12.75" customHeight="1" x14ac:dyDescent="0.25">
      <c r="B830" s="99"/>
      <c r="E830" s="99"/>
      <c r="F830" s="99"/>
    </row>
    <row r="831" spans="2:6" ht="12.75" customHeight="1" x14ac:dyDescent="0.25">
      <c r="B831" s="99"/>
      <c r="E831" s="99"/>
      <c r="F831" s="99"/>
    </row>
    <row r="832" spans="2:6" ht="12.75" customHeight="1" x14ac:dyDescent="0.25">
      <c r="B832" s="99"/>
      <c r="E832" s="99"/>
      <c r="F832" s="99"/>
    </row>
    <row r="833" spans="2:6" ht="12.75" customHeight="1" x14ac:dyDescent="0.25">
      <c r="B833" s="99"/>
      <c r="E833" s="99"/>
      <c r="F833" s="99"/>
    </row>
    <row r="834" spans="2:6" ht="12.75" customHeight="1" x14ac:dyDescent="0.25">
      <c r="B834" s="99"/>
      <c r="E834" s="99"/>
      <c r="F834" s="99"/>
    </row>
    <row r="835" spans="2:6" ht="12.75" customHeight="1" x14ac:dyDescent="0.25">
      <c r="B835" s="99"/>
      <c r="E835" s="99"/>
      <c r="F835" s="99"/>
    </row>
    <row r="836" spans="2:6" ht="12.75" customHeight="1" x14ac:dyDescent="0.25">
      <c r="B836" s="99"/>
      <c r="E836" s="99"/>
      <c r="F836" s="99"/>
    </row>
    <row r="837" spans="2:6" ht="12.75" customHeight="1" x14ac:dyDescent="0.25">
      <c r="B837" s="99"/>
      <c r="E837" s="99"/>
      <c r="F837" s="99"/>
    </row>
    <row r="838" spans="2:6" ht="12.75" customHeight="1" x14ac:dyDescent="0.25">
      <c r="B838" s="99"/>
      <c r="E838" s="99"/>
      <c r="F838" s="99"/>
    </row>
    <row r="839" spans="2:6" ht="12.75" customHeight="1" x14ac:dyDescent="0.25">
      <c r="B839" s="99"/>
      <c r="E839" s="99"/>
      <c r="F839" s="99"/>
    </row>
    <row r="840" spans="2:6" ht="12.75" customHeight="1" x14ac:dyDescent="0.25">
      <c r="B840" s="99"/>
      <c r="E840" s="99"/>
      <c r="F840" s="99"/>
    </row>
    <row r="841" spans="2:6" ht="12.75" customHeight="1" x14ac:dyDescent="0.25">
      <c r="B841" s="99"/>
      <c r="E841" s="99"/>
      <c r="F841" s="99"/>
    </row>
    <row r="842" spans="2:6" ht="12.75" customHeight="1" x14ac:dyDescent="0.25">
      <c r="B842" s="99"/>
      <c r="E842" s="99"/>
      <c r="F842" s="99"/>
    </row>
    <row r="843" spans="2:6" ht="12.75" customHeight="1" x14ac:dyDescent="0.25">
      <c r="B843" s="99"/>
      <c r="E843" s="99"/>
      <c r="F843" s="99"/>
    </row>
    <row r="844" spans="2:6" ht="12.75" customHeight="1" x14ac:dyDescent="0.25">
      <c r="B844" s="99"/>
      <c r="E844" s="99"/>
      <c r="F844" s="99"/>
    </row>
    <row r="845" spans="2:6" ht="12.75" customHeight="1" x14ac:dyDescent="0.25">
      <c r="B845" s="99"/>
      <c r="E845" s="99"/>
      <c r="F845" s="99"/>
    </row>
    <row r="846" spans="2:6" ht="12.75" customHeight="1" x14ac:dyDescent="0.25">
      <c r="B846" s="99"/>
      <c r="E846" s="99"/>
      <c r="F846" s="99"/>
    </row>
    <row r="847" spans="2:6" ht="12.75" customHeight="1" x14ac:dyDescent="0.25">
      <c r="B847" s="99"/>
      <c r="E847" s="99"/>
      <c r="F847" s="99"/>
    </row>
    <row r="848" spans="2:6" ht="12.75" customHeight="1" x14ac:dyDescent="0.25">
      <c r="B848" s="99"/>
      <c r="E848" s="99"/>
      <c r="F848" s="99"/>
    </row>
    <row r="849" spans="2:6" ht="12.75" customHeight="1" x14ac:dyDescent="0.25">
      <c r="B849" s="99"/>
      <c r="E849" s="99"/>
      <c r="F849" s="99"/>
    </row>
    <row r="850" spans="2:6" ht="12.75" customHeight="1" x14ac:dyDescent="0.25">
      <c r="B850" s="99"/>
      <c r="E850" s="99"/>
      <c r="F850" s="99"/>
    </row>
    <row r="851" spans="2:6" ht="12.75" customHeight="1" x14ac:dyDescent="0.25">
      <c r="B851" s="99"/>
      <c r="E851" s="99"/>
      <c r="F851" s="99"/>
    </row>
    <row r="852" spans="2:6" ht="12.75" customHeight="1" x14ac:dyDescent="0.25">
      <c r="B852" s="99"/>
      <c r="E852" s="99"/>
      <c r="F852" s="99"/>
    </row>
    <row r="853" spans="2:6" ht="12.75" customHeight="1" x14ac:dyDescent="0.25">
      <c r="B853" s="99"/>
      <c r="E853" s="99"/>
      <c r="F853" s="99"/>
    </row>
    <row r="854" spans="2:6" ht="12.75" customHeight="1" x14ac:dyDescent="0.25">
      <c r="B854" s="99"/>
      <c r="E854" s="99"/>
      <c r="F854" s="99"/>
    </row>
    <row r="855" spans="2:6" ht="12.75" customHeight="1" x14ac:dyDescent="0.25">
      <c r="B855" s="99"/>
      <c r="E855" s="99"/>
      <c r="F855" s="99"/>
    </row>
    <row r="856" spans="2:6" ht="12.75" customHeight="1" x14ac:dyDescent="0.25">
      <c r="B856" s="99"/>
      <c r="E856" s="99"/>
      <c r="F856" s="99"/>
    </row>
    <row r="857" spans="2:6" ht="12.75" customHeight="1" x14ac:dyDescent="0.25">
      <c r="B857" s="99"/>
      <c r="E857" s="99"/>
      <c r="F857" s="99"/>
    </row>
    <row r="858" spans="2:6" ht="12.75" customHeight="1" x14ac:dyDescent="0.25">
      <c r="B858" s="99"/>
      <c r="E858" s="99"/>
      <c r="F858" s="99"/>
    </row>
    <row r="859" spans="2:6" ht="12.75" customHeight="1" x14ac:dyDescent="0.25">
      <c r="B859" s="99"/>
      <c r="E859" s="99"/>
      <c r="F859" s="99"/>
    </row>
    <row r="860" spans="2:6" ht="12.75" customHeight="1" x14ac:dyDescent="0.25">
      <c r="B860" s="99"/>
      <c r="E860" s="99"/>
      <c r="F860" s="99"/>
    </row>
    <row r="861" spans="2:6" ht="12.75" customHeight="1" x14ac:dyDescent="0.25">
      <c r="B861" s="99"/>
      <c r="E861" s="99"/>
      <c r="F861" s="99"/>
    </row>
    <row r="862" spans="2:6" ht="12.75" customHeight="1" x14ac:dyDescent="0.25">
      <c r="B862" s="99"/>
      <c r="E862" s="99"/>
      <c r="F862" s="99"/>
    </row>
    <row r="863" spans="2:6" ht="12.75" customHeight="1" x14ac:dyDescent="0.25">
      <c r="B863" s="99"/>
      <c r="E863" s="99"/>
      <c r="F863" s="99"/>
    </row>
    <row r="864" spans="2:6" ht="12.75" customHeight="1" x14ac:dyDescent="0.25">
      <c r="B864" s="99"/>
      <c r="E864" s="99"/>
      <c r="F864" s="99"/>
    </row>
    <row r="865" spans="2:6" ht="12.75" customHeight="1" x14ac:dyDescent="0.25">
      <c r="B865" s="99"/>
      <c r="E865" s="99"/>
      <c r="F865" s="99"/>
    </row>
    <row r="866" spans="2:6" ht="12.75" customHeight="1" x14ac:dyDescent="0.25">
      <c r="B866" s="99"/>
      <c r="E866" s="99"/>
      <c r="F866" s="99"/>
    </row>
    <row r="867" spans="2:6" ht="12.75" customHeight="1" x14ac:dyDescent="0.25">
      <c r="B867" s="99"/>
      <c r="E867" s="99"/>
      <c r="F867" s="99"/>
    </row>
    <row r="868" spans="2:6" ht="12.75" customHeight="1" x14ac:dyDescent="0.25">
      <c r="B868" s="99"/>
      <c r="E868" s="99"/>
      <c r="F868" s="99"/>
    </row>
    <row r="869" spans="2:6" ht="12.75" customHeight="1" x14ac:dyDescent="0.25">
      <c r="B869" s="99"/>
      <c r="E869" s="99"/>
      <c r="F869" s="99"/>
    </row>
    <row r="870" spans="2:6" ht="12.75" customHeight="1" x14ac:dyDescent="0.25">
      <c r="B870" s="99"/>
      <c r="E870" s="99"/>
      <c r="F870" s="99"/>
    </row>
    <row r="871" spans="2:6" ht="12.75" customHeight="1" x14ac:dyDescent="0.25">
      <c r="B871" s="99"/>
      <c r="E871" s="99"/>
      <c r="F871" s="99"/>
    </row>
    <row r="872" spans="2:6" ht="12.75" customHeight="1" x14ac:dyDescent="0.25">
      <c r="B872" s="99"/>
      <c r="E872" s="99"/>
      <c r="F872" s="99"/>
    </row>
    <row r="873" spans="2:6" ht="12.75" customHeight="1" x14ac:dyDescent="0.25">
      <c r="B873" s="99"/>
      <c r="E873" s="99"/>
      <c r="F873" s="99"/>
    </row>
    <row r="874" spans="2:6" ht="12.75" customHeight="1" x14ac:dyDescent="0.25">
      <c r="B874" s="99"/>
      <c r="E874" s="99"/>
      <c r="F874" s="99"/>
    </row>
    <row r="875" spans="2:6" ht="12.75" customHeight="1" x14ac:dyDescent="0.25">
      <c r="B875" s="99"/>
      <c r="E875" s="99"/>
      <c r="F875" s="99"/>
    </row>
    <row r="876" spans="2:6" ht="12.75" customHeight="1" x14ac:dyDescent="0.25">
      <c r="B876" s="99"/>
      <c r="E876" s="99"/>
      <c r="F876" s="99"/>
    </row>
    <row r="877" spans="2:6" ht="12.75" customHeight="1" x14ac:dyDescent="0.25">
      <c r="B877" s="99"/>
      <c r="E877" s="99"/>
      <c r="F877" s="99"/>
    </row>
    <row r="878" spans="2:6" ht="12.75" customHeight="1" x14ac:dyDescent="0.25">
      <c r="B878" s="99"/>
      <c r="E878" s="99"/>
      <c r="F878" s="99"/>
    </row>
    <row r="879" spans="2:6" ht="12.75" customHeight="1" x14ac:dyDescent="0.25">
      <c r="B879" s="99"/>
      <c r="E879" s="99"/>
      <c r="F879" s="99"/>
    </row>
    <row r="880" spans="2:6" ht="12.75" customHeight="1" x14ac:dyDescent="0.25">
      <c r="B880" s="99"/>
      <c r="E880" s="99"/>
      <c r="F880" s="99"/>
    </row>
    <row r="881" spans="2:6" ht="12.75" customHeight="1" x14ac:dyDescent="0.25">
      <c r="B881" s="99"/>
      <c r="E881" s="99"/>
      <c r="F881" s="99"/>
    </row>
    <row r="882" spans="2:6" ht="12.75" customHeight="1" x14ac:dyDescent="0.25">
      <c r="B882" s="99"/>
      <c r="E882" s="99"/>
      <c r="F882" s="99"/>
    </row>
    <row r="883" spans="2:6" ht="12.75" customHeight="1" x14ac:dyDescent="0.25">
      <c r="B883" s="99"/>
      <c r="E883" s="99"/>
      <c r="F883" s="99"/>
    </row>
    <row r="884" spans="2:6" ht="12.75" customHeight="1" x14ac:dyDescent="0.25">
      <c r="B884" s="99"/>
      <c r="E884" s="99"/>
      <c r="F884" s="99"/>
    </row>
    <row r="885" spans="2:6" ht="12.75" customHeight="1" x14ac:dyDescent="0.25">
      <c r="B885" s="99"/>
      <c r="E885" s="99"/>
      <c r="F885" s="99"/>
    </row>
    <row r="886" spans="2:6" ht="12.75" customHeight="1" x14ac:dyDescent="0.25">
      <c r="B886" s="99"/>
      <c r="E886" s="99"/>
      <c r="F886" s="99"/>
    </row>
    <row r="887" spans="2:6" ht="12.75" customHeight="1" x14ac:dyDescent="0.25">
      <c r="B887" s="99"/>
      <c r="E887" s="99"/>
      <c r="F887" s="99"/>
    </row>
    <row r="888" spans="2:6" ht="12.75" customHeight="1" x14ac:dyDescent="0.25">
      <c r="B888" s="99"/>
      <c r="E888" s="99"/>
      <c r="F888" s="99"/>
    </row>
    <row r="889" spans="2:6" ht="12.75" customHeight="1" x14ac:dyDescent="0.25">
      <c r="B889" s="99"/>
      <c r="E889" s="99"/>
      <c r="F889" s="99"/>
    </row>
    <row r="890" spans="2:6" ht="12.75" customHeight="1" x14ac:dyDescent="0.25">
      <c r="B890" s="99"/>
      <c r="E890" s="99"/>
      <c r="F890" s="99"/>
    </row>
    <row r="891" spans="2:6" ht="12.75" customHeight="1" x14ac:dyDescent="0.25">
      <c r="B891" s="99"/>
      <c r="E891" s="99"/>
      <c r="F891" s="99"/>
    </row>
    <row r="892" spans="2:6" ht="12.75" customHeight="1" x14ac:dyDescent="0.25">
      <c r="B892" s="99"/>
      <c r="E892" s="99"/>
      <c r="F892" s="99"/>
    </row>
    <row r="893" spans="2:6" ht="12.75" customHeight="1" x14ac:dyDescent="0.25">
      <c r="B893" s="99"/>
      <c r="E893" s="99"/>
      <c r="F893" s="99"/>
    </row>
    <row r="894" spans="2:6" ht="12.75" customHeight="1" x14ac:dyDescent="0.25">
      <c r="B894" s="99"/>
      <c r="E894" s="99"/>
      <c r="F894" s="99"/>
    </row>
    <row r="895" spans="2:6" ht="12.75" customHeight="1" x14ac:dyDescent="0.25">
      <c r="B895" s="99"/>
      <c r="E895" s="99"/>
      <c r="F895" s="99"/>
    </row>
    <row r="896" spans="2:6" ht="12.75" customHeight="1" x14ac:dyDescent="0.25">
      <c r="B896" s="99"/>
      <c r="E896" s="99"/>
      <c r="F896" s="99"/>
    </row>
    <row r="897" spans="2:6" ht="12.75" customHeight="1" x14ac:dyDescent="0.25">
      <c r="B897" s="99"/>
      <c r="E897" s="99"/>
      <c r="F897" s="99"/>
    </row>
    <row r="898" spans="2:6" ht="12.75" customHeight="1" x14ac:dyDescent="0.25">
      <c r="B898" s="99"/>
      <c r="E898" s="99"/>
      <c r="F898" s="99"/>
    </row>
    <row r="899" spans="2:6" ht="12.75" customHeight="1" x14ac:dyDescent="0.25">
      <c r="B899" s="99"/>
      <c r="E899" s="99"/>
      <c r="F899" s="99"/>
    </row>
    <row r="900" spans="2:6" ht="12.75" customHeight="1" x14ac:dyDescent="0.25">
      <c r="B900" s="99"/>
      <c r="E900" s="99"/>
      <c r="F900" s="99"/>
    </row>
    <row r="901" spans="2:6" ht="12.75" customHeight="1" x14ac:dyDescent="0.25">
      <c r="B901" s="99"/>
      <c r="E901" s="99"/>
      <c r="F901" s="99"/>
    </row>
    <row r="902" spans="2:6" ht="12.75" customHeight="1" x14ac:dyDescent="0.25">
      <c r="B902" s="99"/>
      <c r="E902" s="99"/>
      <c r="F902" s="99"/>
    </row>
    <row r="903" spans="2:6" ht="12.75" customHeight="1" x14ac:dyDescent="0.25">
      <c r="B903" s="99"/>
      <c r="E903" s="99"/>
      <c r="F903" s="99"/>
    </row>
    <row r="904" spans="2:6" ht="12.75" customHeight="1" x14ac:dyDescent="0.25">
      <c r="B904" s="99"/>
      <c r="E904" s="99"/>
      <c r="F904" s="99"/>
    </row>
    <row r="905" spans="2:6" ht="12.75" customHeight="1" x14ac:dyDescent="0.25">
      <c r="B905" s="99"/>
      <c r="E905" s="99"/>
      <c r="F905" s="99"/>
    </row>
    <row r="906" spans="2:6" ht="12.75" customHeight="1" x14ac:dyDescent="0.25">
      <c r="B906" s="99"/>
      <c r="E906" s="99"/>
      <c r="F906" s="99"/>
    </row>
    <row r="907" spans="2:6" ht="12.75" customHeight="1" x14ac:dyDescent="0.25">
      <c r="B907" s="99"/>
      <c r="E907" s="99"/>
      <c r="F907" s="99"/>
    </row>
    <row r="908" spans="2:6" ht="12.75" customHeight="1" x14ac:dyDescent="0.25">
      <c r="B908" s="99"/>
      <c r="E908" s="99"/>
      <c r="F908" s="99"/>
    </row>
    <row r="909" spans="2:6" ht="12.75" customHeight="1" x14ac:dyDescent="0.25">
      <c r="B909" s="99"/>
      <c r="E909" s="99"/>
      <c r="F909" s="99"/>
    </row>
    <row r="910" spans="2:6" ht="12.75" customHeight="1" x14ac:dyDescent="0.25">
      <c r="B910" s="99"/>
      <c r="E910" s="99"/>
      <c r="F910" s="99"/>
    </row>
    <row r="911" spans="2:6" ht="12.75" customHeight="1" x14ac:dyDescent="0.25">
      <c r="B911" s="99"/>
      <c r="E911" s="99"/>
      <c r="F911" s="99"/>
    </row>
    <row r="912" spans="2:6" ht="12.75" customHeight="1" x14ac:dyDescent="0.25">
      <c r="B912" s="99"/>
      <c r="E912" s="99"/>
      <c r="F912" s="99"/>
    </row>
    <row r="913" spans="2:6" ht="12.75" customHeight="1" x14ac:dyDescent="0.25">
      <c r="B913" s="99"/>
      <c r="E913" s="99"/>
      <c r="F913" s="99"/>
    </row>
    <row r="914" spans="2:6" ht="12.75" customHeight="1" x14ac:dyDescent="0.25">
      <c r="B914" s="99"/>
      <c r="E914" s="99"/>
      <c r="F914" s="99"/>
    </row>
    <row r="915" spans="2:6" ht="12.75" customHeight="1" x14ac:dyDescent="0.25">
      <c r="B915" s="99"/>
      <c r="E915" s="99"/>
      <c r="F915" s="99"/>
    </row>
    <row r="916" spans="2:6" ht="12.75" customHeight="1" x14ac:dyDescent="0.25">
      <c r="B916" s="99"/>
      <c r="E916" s="99"/>
      <c r="F916" s="99"/>
    </row>
    <row r="917" spans="2:6" ht="12.75" customHeight="1" x14ac:dyDescent="0.25">
      <c r="B917" s="99"/>
      <c r="E917" s="99"/>
      <c r="F917" s="99"/>
    </row>
    <row r="918" spans="2:6" ht="12.75" customHeight="1" x14ac:dyDescent="0.25">
      <c r="B918" s="99"/>
      <c r="E918" s="99"/>
      <c r="F918" s="99"/>
    </row>
    <row r="919" spans="2:6" ht="12.75" customHeight="1" x14ac:dyDescent="0.25">
      <c r="B919" s="99"/>
      <c r="E919" s="99"/>
      <c r="F919" s="99"/>
    </row>
    <row r="920" spans="2:6" ht="12.75" customHeight="1" x14ac:dyDescent="0.25">
      <c r="B920" s="99"/>
      <c r="E920" s="99"/>
      <c r="F920" s="99"/>
    </row>
    <row r="921" spans="2:6" ht="12.75" customHeight="1" x14ac:dyDescent="0.25">
      <c r="B921" s="99"/>
      <c r="E921" s="99"/>
      <c r="F921" s="99"/>
    </row>
    <row r="922" spans="2:6" ht="12.75" customHeight="1" x14ac:dyDescent="0.25">
      <c r="B922" s="99"/>
      <c r="E922" s="99"/>
      <c r="F922" s="99"/>
    </row>
    <row r="923" spans="2:6" ht="12.75" customHeight="1" x14ac:dyDescent="0.25">
      <c r="B923" s="99"/>
      <c r="E923" s="99"/>
      <c r="F923" s="99"/>
    </row>
    <row r="924" spans="2:6" ht="12.75" customHeight="1" x14ac:dyDescent="0.25">
      <c r="B924" s="99"/>
      <c r="E924" s="99"/>
      <c r="F924" s="99"/>
    </row>
    <row r="925" spans="2:6" ht="12.75" customHeight="1" x14ac:dyDescent="0.25">
      <c r="B925" s="99"/>
      <c r="E925" s="99"/>
      <c r="F925" s="99"/>
    </row>
    <row r="926" spans="2:6" ht="12.75" customHeight="1" x14ac:dyDescent="0.25">
      <c r="B926" s="99"/>
      <c r="E926" s="99"/>
      <c r="F926" s="99"/>
    </row>
    <row r="927" spans="2:6" ht="12.75" customHeight="1" x14ac:dyDescent="0.25">
      <c r="B927" s="99"/>
      <c r="E927" s="99"/>
      <c r="F927" s="99"/>
    </row>
    <row r="928" spans="2:6" ht="12.75" customHeight="1" x14ac:dyDescent="0.25">
      <c r="B928" s="99"/>
      <c r="E928" s="99"/>
      <c r="F928" s="99"/>
    </row>
    <row r="929" spans="2:6" ht="12.75" customHeight="1" x14ac:dyDescent="0.25">
      <c r="B929" s="99"/>
      <c r="E929" s="99"/>
      <c r="F929" s="99"/>
    </row>
    <row r="930" spans="2:6" ht="12.75" customHeight="1" x14ac:dyDescent="0.25">
      <c r="B930" s="99"/>
      <c r="E930" s="99"/>
      <c r="F930" s="99"/>
    </row>
    <row r="931" spans="2:6" ht="12.75" customHeight="1" x14ac:dyDescent="0.25">
      <c r="B931" s="99"/>
      <c r="E931" s="99"/>
      <c r="F931" s="99"/>
    </row>
    <row r="932" spans="2:6" ht="12.75" customHeight="1" x14ac:dyDescent="0.25">
      <c r="B932" s="99"/>
      <c r="E932" s="99"/>
      <c r="F932" s="99"/>
    </row>
    <row r="933" spans="2:6" ht="12.75" customHeight="1" x14ac:dyDescent="0.25">
      <c r="B933" s="99"/>
      <c r="E933" s="99"/>
      <c r="F933" s="99"/>
    </row>
    <row r="934" spans="2:6" ht="12.75" customHeight="1" x14ac:dyDescent="0.25">
      <c r="B934" s="99"/>
      <c r="E934" s="99"/>
      <c r="F934" s="99"/>
    </row>
    <row r="935" spans="2:6" ht="12.75" customHeight="1" x14ac:dyDescent="0.25">
      <c r="B935" s="99"/>
      <c r="E935" s="99"/>
      <c r="F935" s="99"/>
    </row>
    <row r="936" spans="2:6" ht="12.75" customHeight="1" x14ac:dyDescent="0.25">
      <c r="B936" s="99"/>
      <c r="E936" s="99"/>
      <c r="F936" s="99"/>
    </row>
    <row r="937" spans="2:6" ht="12.75" customHeight="1" x14ac:dyDescent="0.25">
      <c r="B937" s="99"/>
      <c r="E937" s="99"/>
      <c r="F937" s="99"/>
    </row>
    <row r="938" spans="2:6" ht="12.75" customHeight="1" x14ac:dyDescent="0.25">
      <c r="B938" s="99"/>
      <c r="E938" s="99"/>
      <c r="F938" s="99"/>
    </row>
    <row r="939" spans="2:6" ht="12.75" customHeight="1" x14ac:dyDescent="0.25">
      <c r="B939" s="99"/>
      <c r="E939" s="99"/>
      <c r="F939" s="99"/>
    </row>
    <row r="940" spans="2:6" ht="12.75" customHeight="1" x14ac:dyDescent="0.25">
      <c r="B940" s="99"/>
      <c r="E940" s="99"/>
      <c r="F940" s="99"/>
    </row>
    <row r="941" spans="2:6" ht="12.75" customHeight="1" x14ac:dyDescent="0.25">
      <c r="B941" s="99"/>
      <c r="E941" s="99"/>
      <c r="F941" s="99"/>
    </row>
    <row r="942" spans="2:6" ht="12.75" customHeight="1" x14ac:dyDescent="0.25">
      <c r="B942" s="99"/>
      <c r="E942" s="99"/>
      <c r="F942" s="99"/>
    </row>
    <row r="943" spans="2:6" ht="12.75" customHeight="1" x14ac:dyDescent="0.25">
      <c r="B943" s="99"/>
      <c r="E943" s="99"/>
      <c r="F943" s="99"/>
    </row>
    <row r="944" spans="2:6" ht="12.75" customHeight="1" x14ac:dyDescent="0.25">
      <c r="B944" s="99"/>
      <c r="E944" s="99"/>
      <c r="F944" s="99"/>
    </row>
    <row r="945" spans="2:6" ht="12.75" customHeight="1" x14ac:dyDescent="0.25">
      <c r="B945" s="99"/>
      <c r="E945" s="99"/>
      <c r="F945" s="99"/>
    </row>
    <row r="946" spans="2:6" ht="12.75" customHeight="1" x14ac:dyDescent="0.25">
      <c r="B946" s="99"/>
      <c r="E946" s="99"/>
      <c r="F946" s="99"/>
    </row>
    <row r="947" spans="2:6" ht="12.75" customHeight="1" x14ac:dyDescent="0.25">
      <c r="B947" s="99"/>
      <c r="E947" s="99"/>
      <c r="F947" s="99"/>
    </row>
    <row r="948" spans="2:6" ht="12.75" customHeight="1" x14ac:dyDescent="0.25">
      <c r="B948" s="99"/>
      <c r="E948" s="99"/>
      <c r="F948" s="99"/>
    </row>
    <row r="949" spans="2:6" ht="12.75" customHeight="1" x14ac:dyDescent="0.25">
      <c r="B949" s="99"/>
      <c r="E949" s="99"/>
      <c r="F949" s="99"/>
    </row>
    <row r="950" spans="2:6" ht="12.75" customHeight="1" x14ac:dyDescent="0.25">
      <c r="B950" s="99"/>
      <c r="E950" s="99"/>
      <c r="F950" s="99"/>
    </row>
    <row r="951" spans="2:6" ht="12.75" customHeight="1" x14ac:dyDescent="0.25">
      <c r="B951" s="99"/>
      <c r="E951" s="99"/>
      <c r="F951" s="99"/>
    </row>
    <row r="952" spans="2:6" ht="12.75" customHeight="1" x14ac:dyDescent="0.25">
      <c r="B952" s="99"/>
      <c r="E952" s="99"/>
      <c r="F952" s="99"/>
    </row>
    <row r="953" spans="2:6" ht="12.75" customHeight="1" x14ac:dyDescent="0.25">
      <c r="B953" s="99"/>
      <c r="E953" s="99"/>
      <c r="F953" s="99"/>
    </row>
    <row r="954" spans="2:6" ht="12.75" customHeight="1" x14ac:dyDescent="0.25">
      <c r="B954" s="99"/>
      <c r="E954" s="99"/>
      <c r="F954" s="99"/>
    </row>
    <row r="955" spans="2:6" ht="12.75" customHeight="1" x14ac:dyDescent="0.25">
      <c r="B955" s="99"/>
      <c r="E955" s="99"/>
      <c r="F955" s="99"/>
    </row>
    <row r="956" spans="2:6" ht="12.75" customHeight="1" x14ac:dyDescent="0.25">
      <c r="B956" s="99"/>
      <c r="E956" s="99"/>
      <c r="F956" s="99"/>
    </row>
    <row r="957" spans="2:6" ht="12.75" customHeight="1" x14ac:dyDescent="0.25">
      <c r="B957" s="99"/>
      <c r="E957" s="99"/>
      <c r="F957" s="99"/>
    </row>
    <row r="958" spans="2:6" ht="12.75" customHeight="1" x14ac:dyDescent="0.25">
      <c r="B958" s="99"/>
      <c r="E958" s="99"/>
      <c r="F958" s="99"/>
    </row>
    <row r="959" spans="2:6" ht="12.75" customHeight="1" x14ac:dyDescent="0.25">
      <c r="B959" s="99"/>
      <c r="E959" s="99"/>
      <c r="F959" s="99"/>
    </row>
    <row r="960" spans="2:6" ht="12.75" customHeight="1" x14ac:dyDescent="0.25">
      <c r="B960" s="99"/>
      <c r="E960" s="99"/>
      <c r="F960" s="99"/>
    </row>
    <row r="961" spans="2:6" ht="12.75" customHeight="1" x14ac:dyDescent="0.25">
      <c r="B961" s="99"/>
      <c r="E961" s="99"/>
      <c r="F961" s="99"/>
    </row>
    <row r="962" spans="2:6" ht="12.75" customHeight="1" x14ac:dyDescent="0.25">
      <c r="B962" s="99"/>
      <c r="E962" s="99"/>
      <c r="F962" s="99"/>
    </row>
    <row r="963" spans="2:6" ht="12.75" customHeight="1" x14ac:dyDescent="0.25">
      <c r="B963" s="99"/>
      <c r="E963" s="99"/>
      <c r="F963" s="99"/>
    </row>
    <row r="964" spans="2:6" ht="12.75" customHeight="1" x14ac:dyDescent="0.25">
      <c r="B964" s="99"/>
      <c r="E964" s="99"/>
      <c r="F964" s="99"/>
    </row>
    <row r="965" spans="2:6" ht="12.75" customHeight="1" x14ac:dyDescent="0.25">
      <c r="B965" s="99"/>
      <c r="E965" s="99"/>
      <c r="F965" s="99"/>
    </row>
    <row r="966" spans="2:6" ht="12.75" customHeight="1" x14ac:dyDescent="0.25">
      <c r="B966" s="99"/>
      <c r="E966" s="99"/>
      <c r="F966" s="99"/>
    </row>
    <row r="967" spans="2:6" ht="12.75" customHeight="1" x14ac:dyDescent="0.25">
      <c r="B967" s="99"/>
      <c r="E967" s="99"/>
      <c r="F967" s="99"/>
    </row>
    <row r="968" spans="2:6" ht="12.75" customHeight="1" x14ac:dyDescent="0.25">
      <c r="B968" s="99"/>
      <c r="E968" s="99"/>
      <c r="F968" s="99"/>
    </row>
    <row r="969" spans="2:6" ht="12.75" customHeight="1" x14ac:dyDescent="0.25">
      <c r="B969" s="99"/>
      <c r="E969" s="99"/>
      <c r="F969" s="99"/>
    </row>
    <row r="970" spans="2:6" ht="12.75" customHeight="1" x14ac:dyDescent="0.25">
      <c r="B970" s="99"/>
      <c r="E970" s="99"/>
      <c r="F970" s="99"/>
    </row>
    <row r="971" spans="2:6" ht="12.75" customHeight="1" x14ac:dyDescent="0.25">
      <c r="B971" s="99"/>
      <c r="E971" s="99"/>
      <c r="F971" s="99"/>
    </row>
    <row r="972" spans="2:6" ht="12.75" customHeight="1" x14ac:dyDescent="0.25">
      <c r="B972" s="99"/>
      <c r="E972" s="99"/>
      <c r="F972" s="99"/>
    </row>
    <row r="973" spans="2:6" ht="12.75" customHeight="1" x14ac:dyDescent="0.25"/>
  </sheetData>
  <mergeCells count="12">
    <mergeCell ref="B61:H61"/>
    <mergeCell ref="B80:H80"/>
    <mergeCell ref="B62:H62"/>
    <mergeCell ref="B79:H79"/>
    <mergeCell ref="B42:J42"/>
    <mergeCell ref="B56:J56"/>
    <mergeCell ref="B35:J35"/>
    <mergeCell ref="B36:J36"/>
    <mergeCell ref="B2:H3"/>
    <mergeCell ref="B41:J41"/>
    <mergeCell ref="R25:U25"/>
    <mergeCell ref="R26:U26"/>
  </mergeCells>
  <printOptions horizontalCentered="1"/>
  <pageMargins left="0.5" right="0.5" top="1" bottom="0.5" header="0.3" footer="0.511811023622047"/>
  <pageSetup paperSize="9" scale="30" orientation="portrait" r:id="rId1"/>
  <legacyDrawing r:id="rId2"/>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FB36CA-2F54-4F3A-9110-69D13A526155}">
  <sheetPr codeName="Sheet85">
    <tabColor rgb="FFFFFF00"/>
    <outlinePr summaryBelow="0" summaryRight="0"/>
    <pageSetUpPr fitToPage="1"/>
  </sheetPr>
  <dimension ref="A1:AD962"/>
  <sheetViews>
    <sheetView topLeftCell="H1" zoomScale="55" zoomScaleNormal="55" workbookViewId="0">
      <selection activeCell="Q43" sqref="Q43:T44"/>
    </sheetView>
  </sheetViews>
  <sheetFormatPr defaultColWidth="12.5" defaultRowHeight="13" x14ac:dyDescent="0.3"/>
  <cols>
    <col min="1" max="1" width="12.5" style="662"/>
    <col min="2" max="2" width="31.33203125" style="662" bestFit="1" customWidth="1"/>
    <col min="3" max="3" width="24" style="662" customWidth="1"/>
    <col min="4" max="4" width="19" style="662" customWidth="1"/>
    <col min="5" max="5" width="16.1640625" style="662" bestFit="1" customWidth="1"/>
    <col min="6" max="6" width="23" style="662" customWidth="1"/>
    <col min="7" max="7" width="25.1640625" style="662" customWidth="1"/>
    <col min="8" max="8" width="36.1640625" style="662" bestFit="1" customWidth="1"/>
    <col min="9" max="10" width="12.5" style="662"/>
    <col min="11" max="11" width="10.9140625" style="662" customWidth="1"/>
    <col min="12" max="12" width="8.33203125" style="662" customWidth="1"/>
    <col min="13" max="17" width="3.58203125" style="662" customWidth="1"/>
    <col min="18" max="19" width="12.5" style="662"/>
    <col min="20" max="24" width="4.4140625" style="662" customWidth="1"/>
    <col min="25" max="16384" width="12.5" style="662"/>
  </cols>
  <sheetData>
    <row r="1" spans="1:30" ht="28.5" customHeight="1" x14ac:dyDescent="0.3">
      <c r="A1" s="14"/>
      <c r="B1" s="653" t="s">
        <v>235</v>
      </c>
      <c r="C1" s="658">
        <v>1000</v>
      </c>
      <c r="D1" s="659" t="s">
        <v>236</v>
      </c>
      <c r="E1" s="660">
        <f>S29</f>
        <v>16710</v>
      </c>
      <c r="F1" s="653" t="s">
        <v>237</v>
      </c>
      <c r="G1" s="660">
        <f>E1/C1</f>
        <v>16.71</v>
      </c>
      <c r="H1" s="653" t="s">
        <v>238</v>
      </c>
      <c r="I1" s="764">
        <f>G1/K1</f>
        <v>16.544554455445546</v>
      </c>
      <c r="J1" s="765" t="s">
        <v>239</v>
      </c>
      <c r="K1" s="766">
        <v>1.01</v>
      </c>
      <c r="L1" s="661"/>
      <c r="M1" s="661"/>
      <c r="N1" s="661"/>
      <c r="O1" s="661"/>
      <c r="P1" s="661"/>
      <c r="Q1" s="661"/>
      <c r="R1" s="661"/>
      <c r="S1" s="661"/>
      <c r="T1" s="661"/>
      <c r="U1" s="661"/>
      <c r="V1" s="661"/>
      <c r="Y1" s="90" t="s">
        <v>463</v>
      </c>
      <c r="Z1" s="835">
        <v>16710</v>
      </c>
      <c r="AA1" s="90" t="s">
        <v>578</v>
      </c>
      <c r="AB1" s="835">
        <v>0</v>
      </c>
      <c r="AC1" s="90" t="s">
        <v>567</v>
      </c>
      <c r="AD1" s="835">
        <v>115</v>
      </c>
    </row>
    <row r="2" spans="1:30" ht="12.75" customHeight="1" x14ac:dyDescent="0.3">
      <c r="A2" s="329"/>
      <c r="B2" s="1478" t="s">
        <v>536</v>
      </c>
      <c r="C2" s="1478"/>
      <c r="D2" s="1478"/>
      <c r="E2" s="1478"/>
      <c r="F2" s="1478"/>
      <c r="G2" s="1478"/>
      <c r="H2" s="1478"/>
      <c r="I2" s="767"/>
      <c r="J2" s="767"/>
      <c r="K2" s="767"/>
      <c r="L2" s="661"/>
      <c r="M2" s="661"/>
      <c r="N2" s="661"/>
      <c r="O2" s="661"/>
      <c r="P2" s="661"/>
      <c r="Q2" s="661"/>
      <c r="R2" s="661"/>
      <c r="S2" s="661"/>
      <c r="T2" s="661"/>
      <c r="U2" s="661"/>
    </row>
    <row r="3" spans="1:30" ht="12.75" customHeight="1" x14ac:dyDescent="0.3">
      <c r="A3" s="329"/>
      <c r="B3" s="1479"/>
      <c r="C3" s="1479"/>
      <c r="D3" s="1479"/>
      <c r="E3" s="1479"/>
      <c r="F3" s="1479"/>
      <c r="G3" s="1479"/>
      <c r="H3" s="1479"/>
      <c r="I3" s="767"/>
      <c r="J3" s="767"/>
      <c r="K3" s="767"/>
      <c r="L3" s="661"/>
      <c r="M3" s="661"/>
      <c r="N3" s="661"/>
      <c r="O3" s="661"/>
      <c r="P3" s="661"/>
      <c r="Q3" s="661"/>
      <c r="R3" s="661"/>
      <c r="S3" s="661"/>
      <c r="T3" s="661"/>
      <c r="U3" s="661"/>
    </row>
    <row r="4" spans="1:30" ht="68.75" customHeight="1" x14ac:dyDescent="0.3">
      <c r="A4" s="90" t="s">
        <v>1</v>
      </c>
      <c r="B4" s="663" t="s">
        <v>245</v>
      </c>
      <c r="C4" s="664" t="s">
        <v>246</v>
      </c>
      <c r="D4" s="663" t="s">
        <v>235</v>
      </c>
      <c r="E4" s="665" t="s">
        <v>238</v>
      </c>
      <c r="F4" s="666" t="s">
        <v>247</v>
      </c>
      <c r="G4" s="663" t="s">
        <v>248</v>
      </c>
      <c r="H4" s="762" t="s">
        <v>532</v>
      </c>
      <c r="I4" s="90" t="s">
        <v>250</v>
      </c>
      <c r="J4" s="90" t="s">
        <v>251</v>
      </c>
      <c r="K4" s="90" t="s">
        <v>252</v>
      </c>
      <c r="L4" s="90" t="s">
        <v>253</v>
      </c>
      <c r="M4" s="661"/>
      <c r="N4" s="661"/>
      <c r="O4" s="661"/>
      <c r="P4" s="661"/>
      <c r="Q4" s="661"/>
      <c r="R4" s="661"/>
      <c r="S4" s="661"/>
      <c r="T4" s="661"/>
      <c r="U4" s="661"/>
    </row>
    <row r="5" spans="1:30" x14ac:dyDescent="0.3">
      <c r="A5" s="370"/>
      <c r="B5" s="768"/>
      <c r="C5" s="769"/>
      <c r="D5" s="768"/>
      <c r="E5" s="770"/>
      <c r="F5" s="768"/>
      <c r="G5" s="768"/>
      <c r="H5" s="771"/>
      <c r="I5" s="80"/>
      <c r="J5" s="118"/>
      <c r="K5" s="121"/>
      <c r="L5" s="121"/>
    </row>
    <row r="6" spans="1:30" ht="14.5" x14ac:dyDescent="0.3">
      <c r="B6" s="667" t="s">
        <v>537</v>
      </c>
      <c r="C6" s="668" t="s">
        <v>14</v>
      </c>
      <c r="D6" s="1109">
        <v>330</v>
      </c>
      <c r="E6" s="670">
        <f>$I$1</f>
        <v>16.544554455445546</v>
      </c>
      <c r="F6" s="671">
        <v>1</v>
      </c>
      <c r="G6" s="672">
        <f>D6*E6</f>
        <v>5459.7029702970303</v>
      </c>
      <c r="H6" s="763">
        <f>G6*F6</f>
        <v>5459.7029702970303</v>
      </c>
      <c r="I6" s="80">
        <f>VLOOKUP(B6,All_Ingredients!$A$1:$F$149,6,FALSE())</f>
        <v>1</v>
      </c>
      <c r="J6" s="118">
        <f>VLOOKUP(B6,All_Ingredients!$A$1:$J$149,10,FALSE())</f>
        <v>9.0740740740740726</v>
      </c>
      <c r="K6" s="121">
        <f t="shared" ref="K6" si="0">(H6/I6)/1000</f>
        <v>5.4597029702970303</v>
      </c>
      <c r="L6" s="121">
        <f t="shared" ref="L6" si="1">K6*J6</f>
        <v>49.541749174917491</v>
      </c>
    </row>
    <row r="7" spans="1:30" ht="14.5" x14ac:dyDescent="0.3">
      <c r="B7" s="667" t="s">
        <v>205</v>
      </c>
      <c r="C7" s="1369" t="s">
        <v>161</v>
      </c>
      <c r="D7" s="669">
        <v>8000</v>
      </c>
      <c r="E7" s="669">
        <f>$I$1</f>
        <v>16.544554455445546</v>
      </c>
      <c r="F7" s="671">
        <v>1</v>
      </c>
      <c r="G7" s="672">
        <f>D7*E7</f>
        <v>132356.43564356436</v>
      </c>
      <c r="H7" s="763">
        <f>G7*F7</f>
        <v>132356.43564356436</v>
      </c>
      <c r="I7" s="80">
        <f>VLOOKUP(B7,All_Ingredients!$A$1:$F$149,6,FALSE())</f>
        <v>1</v>
      </c>
      <c r="J7" s="118">
        <f>VLOOKUP(B7,All_Ingredients!$A$1:$J$149,10,FALSE())</f>
        <v>0</v>
      </c>
      <c r="K7" s="121">
        <f t="shared" ref="K7:K9" si="2">(H7/I7)/1000</f>
        <v>132.35643564356437</v>
      </c>
      <c r="L7" s="121">
        <f t="shared" ref="L7:L9" si="3">K7*J7</f>
        <v>0</v>
      </c>
    </row>
    <row r="8" spans="1:30" ht="14.5" x14ac:dyDescent="0.3">
      <c r="B8" s="667" t="s">
        <v>94</v>
      </c>
      <c r="C8" s="668" t="s">
        <v>14</v>
      </c>
      <c r="D8" s="669">
        <v>10</v>
      </c>
      <c r="E8" s="669">
        <f>$I$1</f>
        <v>16.544554455445546</v>
      </c>
      <c r="F8" s="671">
        <v>1</v>
      </c>
      <c r="G8" s="672">
        <f>D8*E8</f>
        <v>165.44554455445547</v>
      </c>
      <c r="H8" s="763">
        <f>G8*F8</f>
        <v>165.44554455445547</v>
      </c>
      <c r="I8" s="80">
        <f>VLOOKUP(B8,All_Ingredients!$A$1:$F$149,6,FALSE())</f>
        <v>1</v>
      </c>
      <c r="J8" s="118">
        <f>VLOOKUP(B8,All_Ingredients!$A$1:$J$149,10,FALSE())</f>
        <v>0.74</v>
      </c>
      <c r="K8" s="121">
        <f t="shared" si="2"/>
        <v>0.16544554455445545</v>
      </c>
      <c r="L8" s="121">
        <f t="shared" si="3"/>
        <v>0.12242970297029704</v>
      </c>
    </row>
    <row r="9" spans="1:30" ht="14.5" x14ac:dyDescent="0.3">
      <c r="B9" s="667" t="s">
        <v>213</v>
      </c>
      <c r="C9" s="668" t="s">
        <v>14</v>
      </c>
      <c r="D9" s="669">
        <v>5</v>
      </c>
      <c r="E9" s="669">
        <f>$I$1</f>
        <v>16.544554455445546</v>
      </c>
      <c r="F9" s="671">
        <v>1</v>
      </c>
      <c r="G9" s="672">
        <f>D9*E9</f>
        <v>82.722772277227733</v>
      </c>
      <c r="H9" s="763">
        <f>G9*F9</f>
        <v>82.722772277227733</v>
      </c>
      <c r="I9" s="80">
        <f>VLOOKUP(B9,All_Ingredients!$A$1:$F$149,6,FALSE())</f>
        <v>1</v>
      </c>
      <c r="J9" s="118">
        <f>VLOOKUP(B9,All_Ingredients!$A$1:$J$149,10,FALSE())</f>
        <v>15.5</v>
      </c>
      <c r="K9" s="121">
        <f t="shared" si="2"/>
        <v>8.2722772277227727E-2</v>
      </c>
      <c r="L9" s="121">
        <f t="shared" si="3"/>
        <v>1.2822029702970297</v>
      </c>
    </row>
    <row r="10" spans="1:30" ht="14.5" x14ac:dyDescent="0.3">
      <c r="B10" s="674"/>
      <c r="C10" s="675"/>
      <c r="D10" s="676"/>
      <c r="E10" s="677"/>
      <c r="F10" s="678"/>
      <c r="G10" s="679"/>
      <c r="H10" s="680"/>
    </row>
    <row r="11" spans="1:30" x14ac:dyDescent="0.3">
      <c r="E11" s="661"/>
      <c r="F11" s="661"/>
    </row>
    <row r="12" spans="1:30" x14ac:dyDescent="0.3">
      <c r="E12" s="661"/>
      <c r="F12" s="661"/>
    </row>
    <row r="13" spans="1:30" x14ac:dyDescent="0.3">
      <c r="E13" s="661"/>
      <c r="F13" s="661"/>
    </row>
    <row r="14" spans="1:30" x14ac:dyDescent="0.3">
      <c r="E14" s="661"/>
      <c r="F14" s="661"/>
    </row>
    <row r="15" spans="1:30" x14ac:dyDescent="0.3">
      <c r="E15" s="661"/>
      <c r="F15" s="661"/>
    </row>
    <row r="16" spans="1:30" x14ac:dyDescent="0.3">
      <c r="E16" s="661"/>
      <c r="F16" s="661"/>
    </row>
    <row r="17" spans="2:29" x14ac:dyDescent="0.3">
      <c r="E17" s="661"/>
      <c r="F17" s="661"/>
    </row>
    <row r="18" spans="2:29" x14ac:dyDescent="0.3">
      <c r="B18" s="661"/>
      <c r="E18" s="661"/>
      <c r="F18" s="661"/>
    </row>
    <row r="24" spans="2:29" x14ac:dyDescent="0.3">
      <c r="Z24" s="1271"/>
    </row>
    <row r="25" spans="2:29" ht="14" x14ac:dyDescent="0.3">
      <c r="R25" s="1480" t="s">
        <v>538</v>
      </c>
      <c r="S25" s="1480"/>
      <c r="Z25" s="140" t="s">
        <v>14</v>
      </c>
      <c r="AA25" s="141">
        <v>1</v>
      </c>
      <c r="AB25" s="140" t="s">
        <v>253</v>
      </c>
      <c r="AC25" s="142">
        <f>(S32/S29)*AA25</f>
        <v>3.0488558855885587E-3</v>
      </c>
    </row>
    <row r="26" spans="2:29" ht="14" x14ac:dyDescent="0.3">
      <c r="R26" s="682" t="s">
        <v>258</v>
      </c>
      <c r="S26" s="682" t="s">
        <v>839</v>
      </c>
    </row>
    <row r="27" spans="2:29" ht="14" x14ac:dyDescent="0.3">
      <c r="R27" s="682" t="s">
        <v>531</v>
      </c>
      <c r="S27" s="789">
        <f>Z1</f>
        <v>16710</v>
      </c>
    </row>
    <row r="28" spans="2:29" ht="14" x14ac:dyDescent="0.3">
      <c r="R28" s="682" t="s">
        <v>269</v>
      </c>
      <c r="S28" s="788">
        <f>AB1</f>
        <v>0</v>
      </c>
    </row>
    <row r="29" spans="2:29" ht="14.5" x14ac:dyDescent="0.3">
      <c r="R29" s="682" t="s">
        <v>261</v>
      </c>
      <c r="S29" s="684">
        <f>S27+S28</f>
        <v>16710</v>
      </c>
    </row>
    <row r="31" spans="2:29" ht="13.5" thickBot="1" x14ac:dyDescent="0.35"/>
    <row r="32" spans="2:29" ht="13.5" thickBot="1" x14ac:dyDescent="0.35">
      <c r="R32" s="162" t="s">
        <v>253</v>
      </c>
      <c r="S32" s="1125">
        <f>SUM(L5:L9)</f>
        <v>50.946381848184814</v>
      </c>
    </row>
    <row r="35" ht="14" customHeight="1" x14ac:dyDescent="0.3"/>
    <row r="36" ht="14" customHeight="1" x14ac:dyDescent="0.3"/>
    <row r="50" spans="1:8" ht="14.5" x14ac:dyDescent="0.35">
      <c r="B50" s="681"/>
      <c r="C50" s="681" t="s">
        <v>237</v>
      </c>
      <c r="D50" s="681" t="s">
        <v>283</v>
      </c>
    </row>
    <row r="51" spans="1:8" ht="14" x14ac:dyDescent="0.3">
      <c r="B51" s="179" t="s">
        <v>287</v>
      </c>
      <c r="C51" s="180">
        <f>10/$K$1</f>
        <v>9.9009900990099009</v>
      </c>
      <c r="D51" s="181">
        <f>$C$1*10</f>
        <v>10000</v>
      </c>
    </row>
    <row r="52" spans="1:8" ht="14.5" x14ac:dyDescent="0.35">
      <c r="B52" s="683" t="s">
        <v>261</v>
      </c>
      <c r="C52" s="654">
        <f>G1</f>
        <v>16.71</v>
      </c>
      <c r="D52" s="654">
        <f>E1</f>
        <v>16710</v>
      </c>
    </row>
    <row r="53" spans="1:8" ht="14.5" x14ac:dyDescent="0.35">
      <c r="B53" s="683" t="s">
        <v>288</v>
      </c>
      <c r="C53" s="655">
        <f>MIN($C$52, C51)</f>
        <v>9.9009900990099009</v>
      </c>
      <c r="D53" s="913">
        <f>(C53*$K$1)*$C$1</f>
        <v>10000</v>
      </c>
    </row>
    <row r="54" spans="1:8" ht="14.5" x14ac:dyDescent="0.35">
      <c r="B54" s="683" t="s">
        <v>289</v>
      </c>
      <c r="C54" s="655">
        <f>MIN(MAX($C$52-C53,0),$C$51)</f>
        <v>6.8090099009901</v>
      </c>
      <c r="D54" s="913">
        <f>(C54*$K$1)*$C$1</f>
        <v>6877.1000000000013</v>
      </c>
    </row>
    <row r="55" spans="1:8" ht="14.5" x14ac:dyDescent="0.35">
      <c r="B55" s="683" t="s">
        <v>290</v>
      </c>
      <c r="C55" s="655">
        <f>MIN(MAX($C$52-C53-C54,0),$C$51)</f>
        <v>0</v>
      </c>
      <c r="D55" s="913">
        <f>(C55*$K$1)*$C$1</f>
        <v>0</v>
      </c>
    </row>
    <row r="56" spans="1:8" ht="14.5" x14ac:dyDescent="0.35">
      <c r="B56" s="683" t="s">
        <v>297</v>
      </c>
      <c r="C56" s="655">
        <f>MIN(MAX($C$52-C53-C54-C55,0),$C$51)</f>
        <v>0</v>
      </c>
      <c r="D56" s="656">
        <f>C56*$K$1</f>
        <v>0</v>
      </c>
    </row>
    <row r="57" spans="1:8" ht="14" customHeight="1" x14ac:dyDescent="0.3"/>
    <row r="58" spans="1:8" ht="14" customHeight="1" x14ac:dyDescent="0.3"/>
    <row r="62" spans="1:8" ht="14" x14ac:dyDescent="0.3">
      <c r="A62" s="927"/>
      <c r="B62" s="1438" t="s">
        <v>813</v>
      </c>
      <c r="C62" s="1439"/>
      <c r="D62" s="1439"/>
      <c r="E62" s="1439"/>
      <c r="F62" s="1439"/>
      <c r="G62" s="1439"/>
      <c r="H62" s="1439"/>
    </row>
    <row r="63" spans="1:8" ht="14" x14ac:dyDescent="0.3">
      <c r="A63" s="927"/>
      <c r="B63" s="1438" t="s">
        <v>814</v>
      </c>
      <c r="C63" s="1439"/>
      <c r="D63" s="1439"/>
      <c r="E63" s="1439"/>
      <c r="F63" s="1439"/>
      <c r="G63" s="1439"/>
      <c r="H63" s="1439"/>
    </row>
    <row r="64" spans="1:8" ht="46.25" customHeight="1" x14ac:dyDescent="0.3">
      <c r="A64" s="90" t="s">
        <v>1</v>
      </c>
      <c r="B64" s="242" t="s">
        <v>245</v>
      </c>
      <c r="C64" s="243" t="s">
        <v>246</v>
      </c>
      <c r="D64" s="244" t="s">
        <v>235</v>
      </c>
      <c r="E64" s="217" t="s">
        <v>238</v>
      </c>
      <c r="F64" s="217" t="s">
        <v>247</v>
      </c>
      <c r="G64" s="244" t="s">
        <v>248</v>
      </c>
      <c r="H64" s="217" t="s">
        <v>249</v>
      </c>
    </row>
    <row r="65" spans="1:8" ht="14.5" x14ac:dyDescent="0.3">
      <c r="A65" s="920"/>
      <c r="B65" s="667" t="str">
        <f t="shared" ref="B65:D68" si="4">B6</f>
        <v>Pasta Spaghettini  - مكرونة اسباجيتي</v>
      </c>
      <c r="C65" s="668" t="str">
        <f t="shared" si="4"/>
        <v>gm</v>
      </c>
      <c r="D65" s="685">
        <f t="shared" si="4"/>
        <v>330</v>
      </c>
      <c r="E65" s="669">
        <f>$C$52</f>
        <v>16.71</v>
      </c>
      <c r="F65" s="671">
        <f>F6</f>
        <v>1</v>
      </c>
      <c r="G65" s="672">
        <f>D65*E65</f>
        <v>5514.3</v>
      </c>
      <c r="H65" s="673">
        <f>G65*F65</f>
        <v>5514.3</v>
      </c>
    </row>
    <row r="66" spans="1:8" ht="14.5" x14ac:dyDescent="0.3">
      <c r="A66" s="920"/>
      <c r="B66" s="667" t="str">
        <f t="shared" si="4"/>
        <v>Water - ماء</v>
      </c>
      <c r="C66" s="668" t="str">
        <f t="shared" si="4"/>
        <v>ml</v>
      </c>
      <c r="D66" s="685">
        <f t="shared" si="4"/>
        <v>8000</v>
      </c>
      <c r="E66" s="669">
        <f t="shared" ref="E66:E68" si="5">$C$52</f>
        <v>16.71</v>
      </c>
      <c r="F66" s="671">
        <f>F7</f>
        <v>1</v>
      </c>
      <c r="G66" s="672">
        <f>D66*E66</f>
        <v>133680</v>
      </c>
      <c r="H66" s="673">
        <f>G66*F66</f>
        <v>133680</v>
      </c>
    </row>
    <row r="67" spans="1:8" ht="14.5" x14ac:dyDescent="0.3">
      <c r="A67" s="920"/>
      <c r="B67" s="667" t="str">
        <f t="shared" si="4"/>
        <v>Salt - ملح</v>
      </c>
      <c r="C67" s="668" t="str">
        <f t="shared" si="4"/>
        <v>gm</v>
      </c>
      <c r="D67" s="685">
        <f t="shared" si="4"/>
        <v>10</v>
      </c>
      <c r="E67" s="669">
        <f t="shared" si="5"/>
        <v>16.71</v>
      </c>
      <c r="F67" s="671">
        <f>F8</f>
        <v>1</v>
      </c>
      <c r="G67" s="672">
        <f>D67*E67</f>
        <v>167.10000000000002</v>
      </c>
      <c r="H67" s="673">
        <f>G67*F67</f>
        <v>167.10000000000002</v>
      </c>
    </row>
    <row r="68" spans="1:8" ht="14.5" x14ac:dyDescent="0.3">
      <c r="A68" s="920"/>
      <c r="B68" s="667" t="str">
        <f t="shared" si="4"/>
        <v>Olive Oil - زيت زيتون</v>
      </c>
      <c r="C68" s="668" t="str">
        <f t="shared" si="4"/>
        <v>gm</v>
      </c>
      <c r="D68" s="685">
        <f t="shared" si="4"/>
        <v>5</v>
      </c>
      <c r="E68" s="669">
        <f t="shared" si="5"/>
        <v>16.71</v>
      </c>
      <c r="F68" s="671">
        <f>F9</f>
        <v>1</v>
      </c>
      <c r="G68" s="672">
        <f>D68*E68</f>
        <v>83.550000000000011</v>
      </c>
      <c r="H68" s="673">
        <f>G68*F68</f>
        <v>83.550000000000011</v>
      </c>
    </row>
    <row r="69" spans="1:8" ht="15.5" x14ac:dyDescent="0.3">
      <c r="B69" s="197" t="s">
        <v>736</v>
      </c>
      <c r="C69" s="661"/>
      <c r="D69" s="661"/>
      <c r="E69" s="661"/>
      <c r="F69" s="661"/>
    </row>
    <row r="70" spans="1:8" ht="20" x14ac:dyDescent="0.4">
      <c r="B70" s="198">
        <f>$D$52</f>
        <v>16710</v>
      </c>
      <c r="F70" s="686"/>
    </row>
    <row r="71" spans="1:8" x14ac:dyDescent="0.3">
      <c r="B71" s="661"/>
      <c r="E71" s="661"/>
      <c r="F71" s="661"/>
    </row>
    <row r="72" spans="1:8" x14ac:dyDescent="0.3">
      <c r="B72" s="661"/>
      <c r="C72" s="661"/>
      <c r="D72" s="661"/>
      <c r="E72" s="661"/>
      <c r="F72" s="661"/>
      <c r="G72" s="661"/>
      <c r="H72" s="661"/>
    </row>
    <row r="73" spans="1:8" ht="18" x14ac:dyDescent="0.3">
      <c r="A73" s="14"/>
      <c r="B73" s="1465"/>
      <c r="C73" s="1458"/>
      <c r="D73" s="1458"/>
      <c r="E73" s="1458"/>
      <c r="F73" s="1458"/>
      <c r="G73" s="1458"/>
      <c r="H73" s="1458"/>
    </row>
    <row r="74" spans="1:8" ht="18" x14ac:dyDescent="0.3">
      <c r="A74" s="14"/>
      <c r="B74" s="1465"/>
      <c r="C74" s="1458"/>
      <c r="D74" s="1458"/>
      <c r="E74" s="1458"/>
      <c r="F74" s="1458"/>
      <c r="G74" s="1458"/>
      <c r="H74" s="1458"/>
    </row>
    <row r="75" spans="1:8" x14ac:dyDescent="0.3">
      <c r="A75" s="370"/>
      <c r="B75" s="1155"/>
      <c r="C75" s="1156"/>
      <c r="D75" s="1155"/>
      <c r="E75" s="1155"/>
      <c r="F75" s="1155"/>
      <c r="G75" s="1155"/>
      <c r="H75" s="1155"/>
    </row>
    <row r="76" spans="1:8" ht="14.5" x14ac:dyDescent="0.3">
      <c r="B76" s="674"/>
      <c r="C76" s="674"/>
      <c r="D76" s="674"/>
      <c r="E76" s="1157"/>
      <c r="F76" s="678"/>
      <c r="G76" s="1158"/>
      <c r="H76" s="680"/>
    </row>
    <row r="77" spans="1:8" ht="14.5" x14ac:dyDescent="0.3">
      <c r="B77" s="674"/>
      <c r="C77" s="674"/>
      <c r="D77" s="674"/>
      <c r="E77" s="1157"/>
      <c r="F77" s="678"/>
      <c r="G77" s="1158"/>
      <c r="H77" s="680"/>
    </row>
    <row r="78" spans="1:8" ht="14.5" x14ac:dyDescent="0.3">
      <c r="B78" s="674"/>
      <c r="C78" s="674"/>
      <c r="D78" s="674"/>
      <c r="E78" s="1157"/>
      <c r="F78" s="678"/>
      <c r="G78" s="1158"/>
      <c r="H78" s="680"/>
    </row>
    <row r="79" spans="1:8" ht="14.5" x14ac:dyDescent="0.3">
      <c r="B79" s="674"/>
      <c r="C79" s="674"/>
      <c r="D79" s="674"/>
      <c r="E79" s="1157"/>
      <c r="F79" s="678"/>
      <c r="G79" s="1158"/>
      <c r="H79" s="680"/>
    </row>
    <row r="80" spans="1:8" ht="15.5" x14ac:dyDescent="0.3">
      <c r="B80" s="203"/>
      <c r="E80" s="661"/>
      <c r="F80" s="661"/>
    </row>
    <row r="81" spans="1:8" ht="20" x14ac:dyDescent="0.4">
      <c r="B81" s="481"/>
      <c r="C81" s="661"/>
      <c r="D81" s="661"/>
      <c r="E81" s="661"/>
      <c r="F81" s="686"/>
    </row>
    <row r="82" spans="1:8" x14ac:dyDescent="0.3">
      <c r="B82" s="661"/>
      <c r="C82" s="661"/>
      <c r="D82" s="661"/>
      <c r="E82" s="661"/>
      <c r="F82" s="661"/>
      <c r="G82" s="661"/>
      <c r="H82" s="661"/>
    </row>
    <row r="83" spans="1:8" x14ac:dyDescent="0.3">
      <c r="B83" s="661"/>
      <c r="C83" s="661"/>
      <c r="D83" s="661"/>
      <c r="E83" s="661"/>
      <c r="F83" s="661"/>
      <c r="G83" s="661"/>
      <c r="H83" s="661"/>
    </row>
    <row r="84" spans="1:8" ht="18" x14ac:dyDescent="0.3">
      <c r="A84" s="14"/>
      <c r="B84" s="1465"/>
      <c r="C84" s="1458"/>
      <c r="D84" s="1458"/>
      <c r="E84" s="1458"/>
      <c r="F84" s="1458"/>
      <c r="G84" s="1458"/>
      <c r="H84" s="1458"/>
    </row>
    <row r="85" spans="1:8" ht="18" x14ac:dyDescent="0.3">
      <c r="A85" s="14"/>
      <c r="B85" s="1465"/>
      <c r="C85" s="1458"/>
      <c r="D85" s="1458"/>
      <c r="E85" s="1458"/>
      <c r="F85" s="1458"/>
      <c r="G85" s="1458"/>
      <c r="H85" s="1458"/>
    </row>
    <row r="86" spans="1:8" x14ac:dyDescent="0.3">
      <c r="A86" s="370"/>
      <c r="B86" s="1155"/>
      <c r="C86" s="1156"/>
      <c r="D86" s="1155"/>
      <c r="E86" s="1155"/>
      <c r="F86" s="1155"/>
      <c r="G86" s="1155"/>
      <c r="H86" s="1155"/>
    </row>
    <row r="87" spans="1:8" ht="14.5" x14ac:dyDescent="0.3">
      <c r="B87" s="674"/>
      <c r="C87" s="674"/>
      <c r="D87" s="674"/>
      <c r="E87" s="1159"/>
      <c r="F87" s="1160"/>
      <c r="G87" s="1158"/>
      <c r="H87" s="680"/>
    </row>
    <row r="88" spans="1:8" ht="14.5" x14ac:dyDescent="0.3">
      <c r="B88" s="674"/>
      <c r="C88" s="674"/>
      <c r="D88" s="674"/>
      <c r="E88" s="1159"/>
      <c r="F88" s="1160"/>
      <c r="G88" s="1158"/>
      <c r="H88" s="680"/>
    </row>
    <row r="89" spans="1:8" ht="14.5" x14ac:dyDescent="0.3">
      <c r="B89" s="674"/>
      <c r="C89" s="674"/>
      <c r="D89" s="674"/>
      <c r="E89" s="1159"/>
      <c r="F89" s="1160"/>
      <c r="G89" s="1158"/>
      <c r="H89" s="680"/>
    </row>
    <row r="90" spans="1:8" ht="14.5" x14ac:dyDescent="0.3">
      <c r="B90" s="674"/>
      <c r="C90" s="674"/>
      <c r="D90" s="674"/>
      <c r="E90" s="1159"/>
      <c r="F90" s="1160"/>
      <c r="G90" s="1158"/>
      <c r="H90" s="680"/>
    </row>
    <row r="91" spans="1:8" ht="15.5" x14ac:dyDescent="0.3">
      <c r="B91" s="203"/>
      <c r="E91" s="661"/>
      <c r="F91" s="661"/>
    </row>
    <row r="92" spans="1:8" ht="20" x14ac:dyDescent="0.4">
      <c r="B92" s="481"/>
    </row>
    <row r="93" spans="1:8" ht="18" x14ac:dyDescent="0.3">
      <c r="A93" s="14"/>
      <c r="B93" s="1465"/>
      <c r="C93" s="1458"/>
      <c r="D93" s="1458"/>
      <c r="E93" s="1458"/>
      <c r="F93" s="1458"/>
      <c r="G93" s="1458"/>
      <c r="H93" s="1458"/>
    </row>
    <row r="94" spans="1:8" ht="18" x14ac:dyDescent="0.3">
      <c r="A94" s="14"/>
      <c r="B94" s="1465"/>
      <c r="C94" s="1458"/>
      <c r="D94" s="1458"/>
      <c r="E94" s="1458"/>
      <c r="F94" s="1458"/>
      <c r="G94" s="1458"/>
      <c r="H94" s="1458"/>
    </row>
    <row r="95" spans="1:8" x14ac:dyDescent="0.3">
      <c r="A95" s="370"/>
      <c r="B95" s="1155"/>
      <c r="C95" s="1156"/>
      <c r="D95" s="1155"/>
      <c r="E95" s="1155"/>
      <c r="F95" s="1155"/>
      <c r="G95" s="1155"/>
      <c r="H95" s="1155"/>
    </row>
    <row r="96" spans="1:8" ht="14.5" x14ac:dyDescent="0.3">
      <c r="B96" s="674"/>
      <c r="C96" s="674"/>
      <c r="D96" s="674"/>
      <c r="E96" s="1159"/>
      <c r="F96" s="1160"/>
      <c r="G96" s="1158"/>
      <c r="H96" s="680"/>
    </row>
    <row r="97" spans="2:8" ht="14.5" x14ac:dyDescent="0.3">
      <c r="B97" s="674"/>
      <c r="C97" s="674"/>
      <c r="D97" s="674"/>
      <c r="E97" s="1159"/>
      <c r="F97" s="1160"/>
      <c r="G97" s="1158"/>
      <c r="H97" s="680"/>
    </row>
    <row r="98" spans="2:8" ht="14.5" x14ac:dyDescent="0.3">
      <c r="B98" s="674"/>
      <c r="C98" s="674"/>
      <c r="D98" s="674"/>
      <c r="E98" s="1159"/>
      <c r="F98" s="1160"/>
      <c r="G98" s="1158"/>
      <c r="H98" s="680"/>
    </row>
    <row r="99" spans="2:8" ht="14.5" x14ac:dyDescent="0.3">
      <c r="B99" s="674"/>
      <c r="C99" s="674"/>
      <c r="D99" s="674"/>
      <c r="E99" s="1159"/>
      <c r="F99" s="1160"/>
      <c r="G99" s="1158"/>
      <c r="H99" s="680"/>
    </row>
    <row r="100" spans="2:8" ht="15.5" x14ac:dyDescent="0.3">
      <c r="B100" s="203"/>
      <c r="E100" s="661"/>
      <c r="F100" s="661"/>
    </row>
    <row r="101" spans="2:8" ht="20" x14ac:dyDescent="0.4">
      <c r="B101" s="481"/>
      <c r="E101" s="661"/>
      <c r="F101" s="661"/>
    </row>
    <row r="102" spans="2:8" x14ac:dyDescent="0.3">
      <c r="B102" s="661"/>
      <c r="E102" s="661"/>
      <c r="F102" s="661"/>
    </row>
    <row r="103" spans="2:8" x14ac:dyDescent="0.3">
      <c r="B103" s="661"/>
      <c r="E103" s="661"/>
      <c r="F103" s="661"/>
    </row>
    <row r="104" spans="2:8" x14ac:dyDescent="0.3">
      <c r="B104" s="661"/>
      <c r="E104" s="661"/>
      <c r="F104" s="661"/>
    </row>
    <row r="105" spans="2:8" x14ac:dyDescent="0.3">
      <c r="B105" s="661"/>
      <c r="E105" s="661"/>
      <c r="F105" s="661"/>
    </row>
    <row r="106" spans="2:8" x14ac:dyDescent="0.3">
      <c r="B106" s="661"/>
      <c r="E106" s="661"/>
      <c r="F106" s="661"/>
    </row>
    <row r="107" spans="2:8" x14ac:dyDescent="0.3">
      <c r="B107" s="661"/>
      <c r="E107" s="661"/>
      <c r="F107" s="661"/>
    </row>
    <row r="108" spans="2:8" x14ac:dyDescent="0.3">
      <c r="B108" s="661"/>
      <c r="E108" s="661"/>
      <c r="F108" s="661"/>
    </row>
    <row r="109" spans="2:8" x14ac:dyDescent="0.3">
      <c r="B109" s="661"/>
      <c r="E109" s="661"/>
      <c r="F109" s="661"/>
    </row>
    <row r="110" spans="2:8" x14ac:dyDescent="0.3">
      <c r="B110" s="661"/>
      <c r="E110" s="661"/>
      <c r="F110" s="661"/>
    </row>
    <row r="111" spans="2:8" x14ac:dyDescent="0.3">
      <c r="B111" s="661"/>
      <c r="E111" s="661"/>
      <c r="F111" s="661"/>
    </row>
    <row r="112" spans="2:8" x14ac:dyDescent="0.3">
      <c r="B112" s="661"/>
      <c r="E112" s="661"/>
      <c r="F112" s="661"/>
    </row>
    <row r="113" spans="2:6" x14ac:dyDescent="0.3">
      <c r="B113" s="661"/>
      <c r="E113" s="661"/>
      <c r="F113" s="661"/>
    </row>
    <row r="114" spans="2:6" x14ac:dyDescent="0.3">
      <c r="B114" s="661"/>
      <c r="E114" s="661"/>
      <c r="F114" s="661"/>
    </row>
    <row r="115" spans="2:6" x14ac:dyDescent="0.3">
      <c r="B115" s="661"/>
      <c r="E115" s="661"/>
      <c r="F115" s="661"/>
    </row>
    <row r="116" spans="2:6" x14ac:dyDescent="0.3">
      <c r="B116" s="661"/>
      <c r="E116" s="661"/>
      <c r="F116" s="661"/>
    </row>
    <row r="117" spans="2:6" x14ac:dyDescent="0.3">
      <c r="B117" s="661"/>
      <c r="E117" s="661"/>
      <c r="F117" s="661"/>
    </row>
    <row r="118" spans="2:6" x14ac:dyDescent="0.3">
      <c r="B118" s="661"/>
      <c r="E118" s="661"/>
      <c r="F118" s="661"/>
    </row>
    <row r="119" spans="2:6" x14ac:dyDescent="0.3">
      <c r="B119" s="661"/>
      <c r="E119" s="661"/>
      <c r="F119" s="661"/>
    </row>
    <row r="120" spans="2:6" x14ac:dyDescent="0.3">
      <c r="B120" s="661"/>
      <c r="E120" s="661"/>
      <c r="F120" s="661"/>
    </row>
    <row r="121" spans="2:6" x14ac:dyDescent="0.3">
      <c r="B121" s="661"/>
      <c r="E121" s="661"/>
      <c r="F121" s="661"/>
    </row>
    <row r="122" spans="2:6" x14ac:dyDescent="0.3">
      <c r="B122" s="661"/>
      <c r="E122" s="661"/>
      <c r="F122" s="661"/>
    </row>
    <row r="123" spans="2:6" x14ac:dyDescent="0.3">
      <c r="B123" s="661"/>
      <c r="E123" s="661"/>
      <c r="F123" s="661"/>
    </row>
    <row r="124" spans="2:6" x14ac:dyDescent="0.3">
      <c r="B124" s="661"/>
      <c r="E124" s="661"/>
      <c r="F124" s="661"/>
    </row>
    <row r="125" spans="2:6" x14ac:dyDescent="0.3">
      <c r="B125" s="661"/>
      <c r="E125" s="661"/>
      <c r="F125" s="661"/>
    </row>
    <row r="126" spans="2:6" x14ac:dyDescent="0.3">
      <c r="B126" s="661"/>
      <c r="E126" s="661"/>
      <c r="F126" s="661"/>
    </row>
    <row r="127" spans="2:6" x14ac:dyDescent="0.3">
      <c r="B127" s="661"/>
      <c r="E127" s="661"/>
      <c r="F127" s="661"/>
    </row>
    <row r="128" spans="2:6" x14ac:dyDescent="0.3">
      <c r="B128" s="661"/>
      <c r="E128" s="661"/>
      <c r="F128" s="661"/>
    </row>
    <row r="129" spans="2:6" x14ac:dyDescent="0.3">
      <c r="B129" s="661"/>
      <c r="E129" s="661"/>
      <c r="F129" s="661"/>
    </row>
    <row r="130" spans="2:6" x14ac:dyDescent="0.3">
      <c r="B130" s="661"/>
      <c r="E130" s="661"/>
      <c r="F130" s="661"/>
    </row>
    <row r="131" spans="2:6" x14ac:dyDescent="0.3">
      <c r="B131" s="661"/>
      <c r="E131" s="661"/>
      <c r="F131" s="661"/>
    </row>
    <row r="132" spans="2:6" x14ac:dyDescent="0.3">
      <c r="B132" s="661"/>
      <c r="E132" s="661"/>
      <c r="F132" s="661"/>
    </row>
    <row r="133" spans="2:6" x14ac:dyDescent="0.3">
      <c r="B133" s="661"/>
      <c r="E133" s="661"/>
      <c r="F133" s="661"/>
    </row>
    <row r="134" spans="2:6" x14ac:dyDescent="0.3">
      <c r="B134" s="661"/>
      <c r="E134" s="661"/>
      <c r="F134" s="661"/>
    </row>
    <row r="135" spans="2:6" x14ac:dyDescent="0.3">
      <c r="B135" s="661"/>
      <c r="E135" s="661"/>
      <c r="F135" s="661"/>
    </row>
    <row r="136" spans="2:6" x14ac:dyDescent="0.3">
      <c r="B136" s="661"/>
      <c r="E136" s="661"/>
      <c r="F136" s="661"/>
    </row>
    <row r="137" spans="2:6" x14ac:dyDescent="0.3">
      <c r="B137" s="661"/>
      <c r="E137" s="661"/>
      <c r="F137" s="661"/>
    </row>
    <row r="138" spans="2:6" x14ac:dyDescent="0.3">
      <c r="B138" s="661"/>
      <c r="E138" s="661"/>
      <c r="F138" s="661"/>
    </row>
    <row r="139" spans="2:6" x14ac:dyDescent="0.3">
      <c r="B139" s="661"/>
      <c r="E139" s="661"/>
      <c r="F139" s="661"/>
    </row>
    <row r="140" spans="2:6" x14ac:dyDescent="0.3">
      <c r="B140" s="661"/>
      <c r="E140" s="661"/>
      <c r="F140" s="661"/>
    </row>
    <row r="141" spans="2:6" x14ac:dyDescent="0.3">
      <c r="B141" s="661"/>
      <c r="E141" s="661"/>
      <c r="F141" s="661"/>
    </row>
    <row r="142" spans="2:6" x14ac:dyDescent="0.3">
      <c r="B142" s="661"/>
      <c r="E142" s="661"/>
      <c r="F142" s="661"/>
    </row>
    <row r="143" spans="2:6" x14ac:dyDescent="0.3">
      <c r="B143" s="661"/>
      <c r="E143" s="661"/>
      <c r="F143" s="661"/>
    </row>
    <row r="144" spans="2:6" x14ac:dyDescent="0.3">
      <c r="B144" s="661"/>
      <c r="E144" s="661"/>
      <c r="F144" s="661"/>
    </row>
    <row r="145" spans="2:6" x14ac:dyDescent="0.3">
      <c r="B145" s="661"/>
      <c r="E145" s="661"/>
      <c r="F145" s="661"/>
    </row>
    <row r="146" spans="2:6" x14ac:dyDescent="0.3">
      <c r="B146" s="661"/>
      <c r="E146" s="661"/>
      <c r="F146" s="661"/>
    </row>
    <row r="147" spans="2:6" x14ac:dyDescent="0.3">
      <c r="B147" s="661"/>
      <c r="E147" s="661"/>
      <c r="F147" s="661"/>
    </row>
    <row r="148" spans="2:6" x14ac:dyDescent="0.3">
      <c r="B148" s="661"/>
      <c r="E148" s="661"/>
      <c r="F148" s="661"/>
    </row>
    <row r="149" spans="2:6" x14ac:dyDescent="0.3">
      <c r="B149" s="661"/>
      <c r="E149" s="661"/>
      <c r="F149" s="661"/>
    </row>
    <row r="150" spans="2:6" x14ac:dyDescent="0.3">
      <c r="B150" s="661"/>
      <c r="E150" s="661"/>
      <c r="F150" s="661"/>
    </row>
    <row r="151" spans="2:6" x14ac:dyDescent="0.3">
      <c r="B151" s="661"/>
      <c r="E151" s="661"/>
      <c r="F151" s="661"/>
    </row>
    <row r="152" spans="2:6" x14ac:dyDescent="0.3">
      <c r="B152" s="661"/>
      <c r="E152" s="661"/>
      <c r="F152" s="661"/>
    </row>
    <row r="153" spans="2:6" x14ac:dyDescent="0.3">
      <c r="B153" s="661"/>
      <c r="E153" s="661"/>
      <c r="F153" s="661"/>
    </row>
    <row r="154" spans="2:6" x14ac:dyDescent="0.3">
      <c r="B154" s="661"/>
      <c r="E154" s="661"/>
      <c r="F154" s="661"/>
    </row>
    <row r="155" spans="2:6" x14ac:dyDescent="0.3">
      <c r="B155" s="661"/>
      <c r="E155" s="661"/>
      <c r="F155" s="661"/>
    </row>
    <row r="156" spans="2:6" x14ac:dyDescent="0.3">
      <c r="B156" s="661"/>
      <c r="E156" s="661"/>
      <c r="F156" s="661"/>
    </row>
    <row r="157" spans="2:6" x14ac:dyDescent="0.3">
      <c r="B157" s="661"/>
      <c r="E157" s="661"/>
      <c r="F157" s="661"/>
    </row>
    <row r="158" spans="2:6" x14ac:dyDescent="0.3">
      <c r="B158" s="661"/>
      <c r="E158" s="661"/>
      <c r="F158" s="661"/>
    </row>
    <row r="159" spans="2:6" x14ac:dyDescent="0.3">
      <c r="B159" s="661"/>
      <c r="E159" s="661"/>
      <c r="F159" s="661"/>
    </row>
    <row r="160" spans="2:6" x14ac:dyDescent="0.3">
      <c r="B160" s="661"/>
      <c r="E160" s="661"/>
      <c r="F160" s="661"/>
    </row>
    <row r="161" spans="2:6" x14ac:dyDescent="0.3">
      <c r="B161" s="661"/>
      <c r="E161" s="661"/>
      <c r="F161" s="661"/>
    </row>
    <row r="162" spans="2:6" x14ac:dyDescent="0.3">
      <c r="B162" s="661"/>
      <c r="E162" s="661"/>
      <c r="F162" s="661"/>
    </row>
    <row r="163" spans="2:6" x14ac:dyDescent="0.3">
      <c r="B163" s="661"/>
      <c r="E163" s="661"/>
      <c r="F163" s="661"/>
    </row>
    <row r="164" spans="2:6" x14ac:dyDescent="0.3">
      <c r="B164" s="661"/>
      <c r="E164" s="661"/>
      <c r="F164" s="661"/>
    </row>
    <row r="165" spans="2:6" x14ac:dyDescent="0.3">
      <c r="B165" s="661"/>
      <c r="E165" s="661"/>
      <c r="F165" s="661"/>
    </row>
    <row r="166" spans="2:6" x14ac:dyDescent="0.3">
      <c r="B166" s="661"/>
      <c r="E166" s="661"/>
      <c r="F166" s="661"/>
    </row>
    <row r="167" spans="2:6" x14ac:dyDescent="0.3">
      <c r="B167" s="661"/>
      <c r="E167" s="661"/>
      <c r="F167" s="661"/>
    </row>
    <row r="168" spans="2:6" x14ac:dyDescent="0.3">
      <c r="B168" s="661"/>
      <c r="E168" s="661"/>
      <c r="F168" s="661"/>
    </row>
    <row r="169" spans="2:6" x14ac:dyDescent="0.3">
      <c r="B169" s="661"/>
      <c r="E169" s="661"/>
      <c r="F169" s="661"/>
    </row>
    <row r="170" spans="2:6" x14ac:dyDescent="0.3">
      <c r="B170" s="661"/>
      <c r="E170" s="661"/>
      <c r="F170" s="661"/>
    </row>
    <row r="171" spans="2:6" x14ac:dyDescent="0.3">
      <c r="B171" s="661"/>
      <c r="E171" s="661"/>
      <c r="F171" s="661"/>
    </row>
    <row r="172" spans="2:6" x14ac:dyDescent="0.3">
      <c r="B172" s="661"/>
      <c r="E172" s="661"/>
      <c r="F172" s="661"/>
    </row>
    <row r="173" spans="2:6" x14ac:dyDescent="0.3">
      <c r="B173" s="661"/>
      <c r="E173" s="661"/>
      <c r="F173" s="661"/>
    </row>
    <row r="174" spans="2:6" x14ac:dyDescent="0.3">
      <c r="B174" s="661"/>
      <c r="E174" s="661"/>
      <c r="F174" s="661"/>
    </row>
    <row r="175" spans="2:6" x14ac:dyDescent="0.3">
      <c r="B175" s="661"/>
      <c r="E175" s="661"/>
      <c r="F175" s="661"/>
    </row>
    <row r="176" spans="2:6" x14ac:dyDescent="0.3">
      <c r="B176" s="661"/>
      <c r="E176" s="661"/>
      <c r="F176" s="661"/>
    </row>
    <row r="177" spans="2:6" x14ac:dyDescent="0.3">
      <c r="B177" s="661"/>
      <c r="E177" s="661"/>
      <c r="F177" s="661"/>
    </row>
    <row r="178" spans="2:6" x14ac:dyDescent="0.3">
      <c r="B178" s="661"/>
      <c r="E178" s="661"/>
      <c r="F178" s="661"/>
    </row>
    <row r="179" spans="2:6" x14ac:dyDescent="0.3">
      <c r="B179" s="661"/>
      <c r="E179" s="661"/>
      <c r="F179" s="661"/>
    </row>
    <row r="180" spans="2:6" x14ac:dyDescent="0.3">
      <c r="B180" s="661"/>
      <c r="E180" s="661"/>
      <c r="F180" s="661"/>
    </row>
    <row r="181" spans="2:6" x14ac:dyDescent="0.3">
      <c r="B181" s="661"/>
      <c r="E181" s="661"/>
      <c r="F181" s="661"/>
    </row>
    <row r="182" spans="2:6" x14ac:dyDescent="0.3">
      <c r="B182" s="661"/>
      <c r="E182" s="661"/>
      <c r="F182" s="661"/>
    </row>
    <row r="183" spans="2:6" x14ac:dyDescent="0.3">
      <c r="B183" s="661"/>
      <c r="E183" s="661"/>
      <c r="F183" s="661"/>
    </row>
    <row r="184" spans="2:6" x14ac:dyDescent="0.3">
      <c r="B184" s="661"/>
      <c r="E184" s="661"/>
      <c r="F184" s="661"/>
    </row>
    <row r="185" spans="2:6" x14ac:dyDescent="0.3">
      <c r="B185" s="661"/>
      <c r="E185" s="661"/>
      <c r="F185" s="661"/>
    </row>
    <row r="186" spans="2:6" x14ac:dyDescent="0.3">
      <c r="B186" s="661"/>
      <c r="E186" s="661"/>
      <c r="F186" s="661"/>
    </row>
    <row r="187" spans="2:6" x14ac:dyDescent="0.3">
      <c r="B187" s="661"/>
      <c r="E187" s="661"/>
      <c r="F187" s="661"/>
    </row>
    <row r="188" spans="2:6" x14ac:dyDescent="0.3">
      <c r="B188" s="661"/>
      <c r="E188" s="661"/>
      <c r="F188" s="661"/>
    </row>
    <row r="189" spans="2:6" x14ac:dyDescent="0.3">
      <c r="B189" s="661"/>
      <c r="E189" s="661"/>
      <c r="F189" s="661"/>
    </row>
    <row r="190" spans="2:6" x14ac:dyDescent="0.3">
      <c r="B190" s="661"/>
      <c r="E190" s="661"/>
      <c r="F190" s="661"/>
    </row>
    <row r="191" spans="2:6" x14ac:dyDescent="0.3">
      <c r="B191" s="661"/>
      <c r="E191" s="661"/>
      <c r="F191" s="661"/>
    </row>
    <row r="192" spans="2:6" x14ac:dyDescent="0.3">
      <c r="B192" s="661"/>
      <c r="E192" s="661"/>
      <c r="F192" s="661"/>
    </row>
    <row r="193" spans="2:6" x14ac:dyDescent="0.3">
      <c r="B193" s="661"/>
      <c r="E193" s="661"/>
      <c r="F193" s="661"/>
    </row>
    <row r="194" spans="2:6" x14ac:dyDescent="0.3">
      <c r="B194" s="661"/>
      <c r="E194" s="661"/>
      <c r="F194" s="661"/>
    </row>
    <row r="195" spans="2:6" x14ac:dyDescent="0.3">
      <c r="B195" s="661"/>
      <c r="E195" s="661"/>
      <c r="F195" s="661"/>
    </row>
    <row r="196" spans="2:6" x14ac:dyDescent="0.3">
      <c r="B196" s="661"/>
      <c r="E196" s="661"/>
      <c r="F196" s="661"/>
    </row>
    <row r="197" spans="2:6" x14ac:dyDescent="0.3">
      <c r="B197" s="661"/>
      <c r="E197" s="661"/>
      <c r="F197" s="661"/>
    </row>
    <row r="198" spans="2:6" x14ac:dyDescent="0.3">
      <c r="B198" s="661"/>
      <c r="E198" s="661"/>
      <c r="F198" s="661"/>
    </row>
    <row r="199" spans="2:6" x14ac:dyDescent="0.3">
      <c r="B199" s="661"/>
      <c r="E199" s="661"/>
      <c r="F199" s="661"/>
    </row>
    <row r="200" spans="2:6" x14ac:dyDescent="0.3">
      <c r="B200" s="661"/>
      <c r="E200" s="661"/>
      <c r="F200" s="661"/>
    </row>
    <row r="201" spans="2:6" x14ac:dyDescent="0.3">
      <c r="B201" s="661"/>
      <c r="E201" s="661"/>
      <c r="F201" s="661"/>
    </row>
    <row r="202" spans="2:6" x14ac:dyDescent="0.3">
      <c r="B202" s="661"/>
      <c r="E202" s="661"/>
      <c r="F202" s="661"/>
    </row>
    <row r="203" spans="2:6" x14ac:dyDescent="0.3">
      <c r="B203" s="661"/>
      <c r="E203" s="661"/>
      <c r="F203" s="661"/>
    </row>
    <row r="204" spans="2:6" x14ac:dyDescent="0.3">
      <c r="B204" s="661"/>
      <c r="E204" s="661"/>
      <c r="F204" s="661"/>
    </row>
    <row r="205" spans="2:6" x14ac:dyDescent="0.3">
      <c r="B205" s="661"/>
      <c r="E205" s="661"/>
      <c r="F205" s="661"/>
    </row>
    <row r="206" spans="2:6" x14ac:dyDescent="0.3">
      <c r="B206" s="661"/>
      <c r="E206" s="661"/>
      <c r="F206" s="661"/>
    </row>
    <row r="207" spans="2:6" x14ac:dyDescent="0.3">
      <c r="B207" s="661"/>
      <c r="E207" s="661"/>
      <c r="F207" s="661"/>
    </row>
    <row r="208" spans="2:6" x14ac:dyDescent="0.3">
      <c r="B208" s="661"/>
      <c r="E208" s="661"/>
      <c r="F208" s="661"/>
    </row>
    <row r="209" spans="2:6" x14ac:dyDescent="0.3">
      <c r="B209" s="661"/>
      <c r="E209" s="661"/>
      <c r="F209" s="661"/>
    </row>
    <row r="210" spans="2:6" x14ac:dyDescent="0.3">
      <c r="B210" s="661"/>
      <c r="E210" s="661"/>
      <c r="F210" s="661"/>
    </row>
    <row r="211" spans="2:6" x14ac:dyDescent="0.3">
      <c r="B211" s="661"/>
      <c r="E211" s="661"/>
      <c r="F211" s="661"/>
    </row>
    <row r="212" spans="2:6" x14ac:dyDescent="0.3">
      <c r="B212" s="661"/>
      <c r="E212" s="661"/>
      <c r="F212" s="661"/>
    </row>
    <row r="213" spans="2:6" x14ac:dyDescent="0.3">
      <c r="B213" s="661"/>
      <c r="E213" s="661"/>
      <c r="F213" s="661"/>
    </row>
    <row r="214" spans="2:6" x14ac:dyDescent="0.3">
      <c r="B214" s="661"/>
      <c r="E214" s="661"/>
      <c r="F214" s="661"/>
    </row>
    <row r="215" spans="2:6" x14ac:dyDescent="0.3">
      <c r="B215" s="661"/>
      <c r="E215" s="661"/>
      <c r="F215" s="661"/>
    </row>
    <row r="216" spans="2:6" x14ac:dyDescent="0.3">
      <c r="B216" s="661"/>
      <c r="E216" s="661"/>
      <c r="F216" s="661"/>
    </row>
    <row r="217" spans="2:6" x14ac:dyDescent="0.3">
      <c r="B217" s="661"/>
      <c r="E217" s="661"/>
      <c r="F217" s="661"/>
    </row>
    <row r="218" spans="2:6" x14ac:dyDescent="0.3">
      <c r="B218" s="661"/>
      <c r="E218" s="661"/>
      <c r="F218" s="661"/>
    </row>
    <row r="219" spans="2:6" x14ac:dyDescent="0.3">
      <c r="B219" s="661"/>
      <c r="E219" s="661"/>
      <c r="F219" s="661"/>
    </row>
    <row r="220" spans="2:6" x14ac:dyDescent="0.3">
      <c r="B220" s="661"/>
      <c r="E220" s="661"/>
      <c r="F220" s="661"/>
    </row>
    <row r="221" spans="2:6" x14ac:dyDescent="0.3">
      <c r="B221" s="661"/>
      <c r="E221" s="661"/>
      <c r="F221" s="661"/>
    </row>
    <row r="222" spans="2:6" x14ac:dyDescent="0.3">
      <c r="B222" s="661"/>
      <c r="E222" s="661"/>
      <c r="F222" s="661"/>
    </row>
    <row r="223" spans="2:6" x14ac:dyDescent="0.3">
      <c r="B223" s="661"/>
      <c r="E223" s="661"/>
      <c r="F223" s="661"/>
    </row>
    <row r="224" spans="2:6" x14ac:dyDescent="0.3">
      <c r="B224" s="661"/>
      <c r="E224" s="661"/>
      <c r="F224" s="661"/>
    </row>
    <row r="225" spans="2:6" x14ac:dyDescent="0.3">
      <c r="B225" s="661"/>
      <c r="E225" s="661"/>
      <c r="F225" s="661"/>
    </row>
    <row r="226" spans="2:6" x14ac:dyDescent="0.3">
      <c r="B226" s="661"/>
      <c r="E226" s="661"/>
      <c r="F226" s="661"/>
    </row>
    <row r="227" spans="2:6" x14ac:dyDescent="0.3">
      <c r="B227" s="661"/>
      <c r="E227" s="661"/>
      <c r="F227" s="661"/>
    </row>
    <row r="228" spans="2:6" x14ac:dyDescent="0.3">
      <c r="B228" s="661"/>
      <c r="E228" s="661"/>
      <c r="F228" s="661"/>
    </row>
    <row r="229" spans="2:6" x14ac:dyDescent="0.3">
      <c r="B229" s="661"/>
      <c r="E229" s="661"/>
      <c r="F229" s="661"/>
    </row>
    <row r="230" spans="2:6" x14ac:dyDescent="0.3">
      <c r="B230" s="661"/>
      <c r="E230" s="661"/>
      <c r="F230" s="661"/>
    </row>
    <row r="231" spans="2:6" x14ac:dyDescent="0.3">
      <c r="B231" s="661"/>
      <c r="E231" s="661"/>
      <c r="F231" s="661"/>
    </row>
    <row r="232" spans="2:6" x14ac:dyDescent="0.3">
      <c r="B232" s="661"/>
      <c r="E232" s="661"/>
      <c r="F232" s="661"/>
    </row>
    <row r="233" spans="2:6" x14ac:dyDescent="0.3">
      <c r="B233" s="661"/>
      <c r="E233" s="661"/>
      <c r="F233" s="661"/>
    </row>
    <row r="234" spans="2:6" x14ac:dyDescent="0.3">
      <c r="B234" s="661"/>
      <c r="E234" s="661"/>
      <c r="F234" s="661"/>
    </row>
    <row r="235" spans="2:6" x14ac:dyDescent="0.3">
      <c r="B235" s="661"/>
      <c r="E235" s="661"/>
      <c r="F235" s="661"/>
    </row>
    <row r="236" spans="2:6" x14ac:dyDescent="0.3">
      <c r="B236" s="661"/>
      <c r="E236" s="661"/>
      <c r="F236" s="661"/>
    </row>
    <row r="237" spans="2:6" x14ac:dyDescent="0.3">
      <c r="B237" s="661"/>
      <c r="E237" s="661"/>
      <c r="F237" s="661"/>
    </row>
    <row r="238" spans="2:6" x14ac:dyDescent="0.3">
      <c r="B238" s="661"/>
      <c r="E238" s="661"/>
      <c r="F238" s="661"/>
    </row>
    <row r="239" spans="2:6" x14ac:dyDescent="0.3">
      <c r="B239" s="661"/>
      <c r="E239" s="661"/>
      <c r="F239" s="661"/>
    </row>
    <row r="240" spans="2:6" x14ac:dyDescent="0.3">
      <c r="B240" s="661"/>
      <c r="E240" s="661"/>
      <c r="F240" s="661"/>
    </row>
    <row r="241" spans="2:6" x14ac:dyDescent="0.3">
      <c r="B241" s="661"/>
      <c r="E241" s="661"/>
      <c r="F241" s="661"/>
    </row>
    <row r="242" spans="2:6" x14ac:dyDescent="0.3">
      <c r="B242" s="661"/>
      <c r="E242" s="661"/>
      <c r="F242" s="661"/>
    </row>
    <row r="243" spans="2:6" x14ac:dyDescent="0.3">
      <c r="B243" s="661"/>
      <c r="E243" s="661"/>
      <c r="F243" s="661"/>
    </row>
    <row r="244" spans="2:6" x14ac:dyDescent="0.3">
      <c r="B244" s="661"/>
      <c r="E244" s="661"/>
      <c r="F244" s="661"/>
    </row>
    <row r="245" spans="2:6" x14ac:dyDescent="0.3">
      <c r="B245" s="661"/>
      <c r="E245" s="661"/>
      <c r="F245" s="661"/>
    </row>
    <row r="246" spans="2:6" x14ac:dyDescent="0.3">
      <c r="B246" s="661"/>
      <c r="E246" s="661"/>
      <c r="F246" s="661"/>
    </row>
    <row r="247" spans="2:6" x14ac:dyDescent="0.3">
      <c r="B247" s="661"/>
      <c r="E247" s="661"/>
      <c r="F247" s="661"/>
    </row>
    <row r="248" spans="2:6" x14ac:dyDescent="0.3">
      <c r="B248" s="661"/>
      <c r="E248" s="661"/>
      <c r="F248" s="661"/>
    </row>
    <row r="249" spans="2:6" x14ac:dyDescent="0.3">
      <c r="B249" s="661"/>
      <c r="E249" s="661"/>
      <c r="F249" s="661"/>
    </row>
    <row r="250" spans="2:6" x14ac:dyDescent="0.3">
      <c r="B250" s="661"/>
      <c r="E250" s="661"/>
      <c r="F250" s="661"/>
    </row>
    <row r="251" spans="2:6" x14ac:dyDescent="0.3">
      <c r="B251" s="661"/>
      <c r="E251" s="661"/>
      <c r="F251" s="661"/>
    </row>
    <row r="252" spans="2:6" x14ac:dyDescent="0.3">
      <c r="B252" s="661"/>
      <c r="E252" s="661"/>
      <c r="F252" s="661"/>
    </row>
    <row r="253" spans="2:6" x14ac:dyDescent="0.3">
      <c r="B253" s="661"/>
      <c r="E253" s="661"/>
      <c r="F253" s="661"/>
    </row>
    <row r="254" spans="2:6" x14ac:dyDescent="0.3">
      <c r="B254" s="661"/>
      <c r="E254" s="661"/>
      <c r="F254" s="661"/>
    </row>
    <row r="255" spans="2:6" x14ac:dyDescent="0.3">
      <c r="B255" s="661"/>
      <c r="E255" s="661"/>
      <c r="F255" s="661"/>
    </row>
    <row r="256" spans="2:6" x14ac:dyDescent="0.3">
      <c r="B256" s="661"/>
      <c r="E256" s="661"/>
      <c r="F256" s="661"/>
    </row>
    <row r="257" spans="2:6" x14ac:dyDescent="0.3">
      <c r="B257" s="661"/>
      <c r="E257" s="661"/>
      <c r="F257" s="661"/>
    </row>
    <row r="258" spans="2:6" x14ac:dyDescent="0.3">
      <c r="B258" s="661"/>
      <c r="E258" s="661"/>
      <c r="F258" s="661"/>
    </row>
    <row r="259" spans="2:6" x14ac:dyDescent="0.3">
      <c r="B259" s="661"/>
      <c r="E259" s="661"/>
      <c r="F259" s="661"/>
    </row>
    <row r="260" spans="2:6" x14ac:dyDescent="0.3">
      <c r="B260" s="661"/>
      <c r="E260" s="661"/>
      <c r="F260" s="661"/>
    </row>
    <row r="261" spans="2:6" x14ac:dyDescent="0.3">
      <c r="B261" s="661"/>
      <c r="E261" s="661"/>
      <c r="F261" s="661"/>
    </row>
    <row r="262" spans="2:6" x14ac:dyDescent="0.3">
      <c r="B262" s="661"/>
      <c r="E262" s="661"/>
      <c r="F262" s="661"/>
    </row>
    <row r="263" spans="2:6" x14ac:dyDescent="0.3">
      <c r="B263" s="661"/>
      <c r="E263" s="661"/>
      <c r="F263" s="661"/>
    </row>
    <row r="264" spans="2:6" x14ac:dyDescent="0.3">
      <c r="B264" s="661"/>
      <c r="E264" s="661"/>
      <c r="F264" s="661"/>
    </row>
    <row r="265" spans="2:6" x14ac:dyDescent="0.3">
      <c r="B265" s="661"/>
      <c r="E265" s="661"/>
      <c r="F265" s="661"/>
    </row>
    <row r="266" spans="2:6" x14ac:dyDescent="0.3">
      <c r="B266" s="661"/>
      <c r="E266" s="661"/>
      <c r="F266" s="661"/>
    </row>
    <row r="267" spans="2:6" x14ac:dyDescent="0.3">
      <c r="B267" s="661"/>
      <c r="E267" s="661"/>
      <c r="F267" s="661"/>
    </row>
    <row r="268" spans="2:6" x14ac:dyDescent="0.3">
      <c r="B268" s="661"/>
      <c r="E268" s="661"/>
      <c r="F268" s="661"/>
    </row>
    <row r="269" spans="2:6" x14ac:dyDescent="0.3">
      <c r="B269" s="661"/>
      <c r="E269" s="661"/>
      <c r="F269" s="661"/>
    </row>
    <row r="270" spans="2:6" x14ac:dyDescent="0.3">
      <c r="B270" s="661"/>
      <c r="E270" s="661"/>
      <c r="F270" s="661"/>
    </row>
    <row r="271" spans="2:6" x14ac:dyDescent="0.3">
      <c r="B271" s="661"/>
      <c r="E271" s="661"/>
      <c r="F271" s="661"/>
    </row>
    <row r="272" spans="2:6" x14ac:dyDescent="0.3">
      <c r="B272" s="661"/>
      <c r="E272" s="661"/>
      <c r="F272" s="661"/>
    </row>
    <row r="273" spans="2:6" x14ac:dyDescent="0.3">
      <c r="B273" s="661"/>
      <c r="E273" s="661"/>
      <c r="F273" s="661"/>
    </row>
    <row r="274" spans="2:6" x14ac:dyDescent="0.3">
      <c r="B274" s="661"/>
      <c r="E274" s="661"/>
      <c r="F274" s="661"/>
    </row>
    <row r="275" spans="2:6" x14ac:dyDescent="0.3">
      <c r="B275" s="661"/>
      <c r="E275" s="661"/>
      <c r="F275" s="661"/>
    </row>
    <row r="276" spans="2:6" x14ac:dyDescent="0.3">
      <c r="B276" s="661"/>
      <c r="E276" s="661"/>
      <c r="F276" s="661"/>
    </row>
    <row r="277" spans="2:6" x14ac:dyDescent="0.3">
      <c r="B277" s="661"/>
      <c r="E277" s="661"/>
      <c r="F277" s="661"/>
    </row>
    <row r="278" spans="2:6" x14ac:dyDescent="0.3">
      <c r="B278" s="661"/>
      <c r="E278" s="661"/>
      <c r="F278" s="661"/>
    </row>
    <row r="279" spans="2:6" x14ac:dyDescent="0.3">
      <c r="B279" s="661"/>
      <c r="E279" s="661"/>
      <c r="F279" s="661"/>
    </row>
    <row r="280" spans="2:6" x14ac:dyDescent="0.3">
      <c r="B280" s="661"/>
      <c r="E280" s="661"/>
      <c r="F280" s="661"/>
    </row>
    <row r="281" spans="2:6" x14ac:dyDescent="0.3">
      <c r="B281" s="661"/>
      <c r="E281" s="661"/>
      <c r="F281" s="661"/>
    </row>
    <row r="282" spans="2:6" x14ac:dyDescent="0.3">
      <c r="B282" s="661"/>
      <c r="E282" s="661"/>
      <c r="F282" s="661"/>
    </row>
    <row r="283" spans="2:6" x14ac:dyDescent="0.3">
      <c r="B283" s="661"/>
      <c r="E283" s="661"/>
      <c r="F283" s="661"/>
    </row>
    <row r="284" spans="2:6" x14ac:dyDescent="0.3">
      <c r="B284" s="661"/>
      <c r="E284" s="661"/>
      <c r="F284" s="661"/>
    </row>
    <row r="285" spans="2:6" x14ac:dyDescent="0.3">
      <c r="B285" s="661"/>
      <c r="E285" s="661"/>
      <c r="F285" s="661"/>
    </row>
    <row r="286" spans="2:6" x14ac:dyDescent="0.3">
      <c r="B286" s="661"/>
      <c r="E286" s="661"/>
      <c r="F286" s="661"/>
    </row>
    <row r="287" spans="2:6" x14ac:dyDescent="0.3">
      <c r="B287" s="661"/>
      <c r="E287" s="661"/>
      <c r="F287" s="661"/>
    </row>
    <row r="288" spans="2:6" x14ac:dyDescent="0.3">
      <c r="B288" s="661"/>
      <c r="E288" s="661"/>
      <c r="F288" s="661"/>
    </row>
    <row r="289" spans="2:6" x14ac:dyDescent="0.3">
      <c r="B289" s="661"/>
      <c r="E289" s="661"/>
      <c r="F289" s="661"/>
    </row>
    <row r="290" spans="2:6" x14ac:dyDescent="0.3">
      <c r="B290" s="661"/>
      <c r="E290" s="661"/>
      <c r="F290" s="661"/>
    </row>
    <row r="291" spans="2:6" x14ac:dyDescent="0.3">
      <c r="B291" s="661"/>
      <c r="E291" s="661"/>
      <c r="F291" s="661"/>
    </row>
    <row r="292" spans="2:6" x14ac:dyDescent="0.3">
      <c r="B292" s="661"/>
      <c r="E292" s="661"/>
      <c r="F292" s="661"/>
    </row>
    <row r="293" spans="2:6" x14ac:dyDescent="0.3">
      <c r="B293" s="661"/>
      <c r="E293" s="661"/>
      <c r="F293" s="661"/>
    </row>
    <row r="294" spans="2:6" x14ac:dyDescent="0.3">
      <c r="B294" s="661"/>
      <c r="E294" s="661"/>
      <c r="F294" s="661"/>
    </row>
    <row r="295" spans="2:6" x14ac:dyDescent="0.3">
      <c r="B295" s="661"/>
      <c r="E295" s="661"/>
      <c r="F295" s="661"/>
    </row>
    <row r="296" spans="2:6" x14ac:dyDescent="0.3">
      <c r="B296" s="661"/>
      <c r="E296" s="661"/>
      <c r="F296" s="661"/>
    </row>
    <row r="297" spans="2:6" x14ac:dyDescent="0.3">
      <c r="B297" s="661"/>
      <c r="E297" s="661"/>
      <c r="F297" s="661"/>
    </row>
    <row r="298" spans="2:6" x14ac:dyDescent="0.3">
      <c r="B298" s="661"/>
      <c r="E298" s="661"/>
      <c r="F298" s="661"/>
    </row>
    <row r="299" spans="2:6" x14ac:dyDescent="0.3">
      <c r="B299" s="661"/>
      <c r="E299" s="661"/>
      <c r="F299" s="661"/>
    </row>
    <row r="300" spans="2:6" x14ac:dyDescent="0.3">
      <c r="B300" s="661"/>
      <c r="E300" s="661"/>
      <c r="F300" s="661"/>
    </row>
    <row r="301" spans="2:6" x14ac:dyDescent="0.3">
      <c r="B301" s="661"/>
      <c r="E301" s="661"/>
      <c r="F301" s="661"/>
    </row>
    <row r="302" spans="2:6" x14ac:dyDescent="0.3">
      <c r="B302" s="661"/>
      <c r="E302" s="661"/>
      <c r="F302" s="661"/>
    </row>
    <row r="303" spans="2:6" x14ac:dyDescent="0.3">
      <c r="B303" s="661"/>
      <c r="E303" s="661"/>
      <c r="F303" s="661"/>
    </row>
    <row r="304" spans="2:6" x14ac:dyDescent="0.3">
      <c r="B304" s="661"/>
      <c r="E304" s="661"/>
      <c r="F304" s="661"/>
    </row>
    <row r="305" spans="2:6" x14ac:dyDescent="0.3">
      <c r="B305" s="661"/>
      <c r="E305" s="661"/>
      <c r="F305" s="661"/>
    </row>
    <row r="306" spans="2:6" x14ac:dyDescent="0.3">
      <c r="B306" s="661"/>
      <c r="E306" s="661"/>
      <c r="F306" s="661"/>
    </row>
    <row r="307" spans="2:6" x14ac:dyDescent="0.3">
      <c r="B307" s="661"/>
      <c r="E307" s="661"/>
      <c r="F307" s="661"/>
    </row>
    <row r="308" spans="2:6" x14ac:dyDescent="0.3">
      <c r="B308" s="661"/>
      <c r="E308" s="661"/>
      <c r="F308" s="661"/>
    </row>
    <row r="309" spans="2:6" x14ac:dyDescent="0.3">
      <c r="B309" s="661"/>
      <c r="E309" s="661"/>
      <c r="F309" s="661"/>
    </row>
    <row r="310" spans="2:6" x14ac:dyDescent="0.3">
      <c r="B310" s="661"/>
      <c r="E310" s="661"/>
      <c r="F310" s="661"/>
    </row>
    <row r="311" spans="2:6" x14ac:dyDescent="0.3">
      <c r="B311" s="661"/>
      <c r="E311" s="661"/>
      <c r="F311" s="661"/>
    </row>
    <row r="312" spans="2:6" x14ac:dyDescent="0.3">
      <c r="B312" s="661"/>
      <c r="E312" s="661"/>
      <c r="F312" s="661"/>
    </row>
    <row r="313" spans="2:6" x14ac:dyDescent="0.3">
      <c r="B313" s="661"/>
      <c r="E313" s="661"/>
      <c r="F313" s="661"/>
    </row>
    <row r="314" spans="2:6" x14ac:dyDescent="0.3">
      <c r="B314" s="661"/>
      <c r="E314" s="661"/>
      <c r="F314" s="661"/>
    </row>
    <row r="315" spans="2:6" x14ac:dyDescent="0.3">
      <c r="B315" s="661"/>
      <c r="E315" s="661"/>
      <c r="F315" s="661"/>
    </row>
    <row r="316" spans="2:6" x14ac:dyDescent="0.3">
      <c r="B316" s="661"/>
      <c r="E316" s="661"/>
      <c r="F316" s="661"/>
    </row>
    <row r="317" spans="2:6" x14ac:dyDescent="0.3">
      <c r="B317" s="661"/>
      <c r="E317" s="661"/>
      <c r="F317" s="661"/>
    </row>
    <row r="318" spans="2:6" x14ac:dyDescent="0.3">
      <c r="B318" s="661"/>
      <c r="E318" s="661"/>
      <c r="F318" s="661"/>
    </row>
    <row r="319" spans="2:6" x14ac:dyDescent="0.3">
      <c r="B319" s="661"/>
      <c r="E319" s="661"/>
      <c r="F319" s="661"/>
    </row>
    <row r="320" spans="2:6" x14ac:dyDescent="0.3">
      <c r="B320" s="661"/>
      <c r="E320" s="661"/>
      <c r="F320" s="661"/>
    </row>
    <row r="321" spans="2:6" x14ac:dyDescent="0.3">
      <c r="B321" s="661"/>
      <c r="E321" s="661"/>
      <c r="F321" s="661"/>
    </row>
    <row r="322" spans="2:6" x14ac:dyDescent="0.3">
      <c r="B322" s="661"/>
      <c r="E322" s="661"/>
      <c r="F322" s="661"/>
    </row>
    <row r="323" spans="2:6" x14ac:dyDescent="0.3">
      <c r="B323" s="661"/>
      <c r="E323" s="661"/>
      <c r="F323" s="661"/>
    </row>
    <row r="324" spans="2:6" x14ac:dyDescent="0.3">
      <c r="B324" s="661"/>
      <c r="E324" s="661"/>
      <c r="F324" s="661"/>
    </row>
    <row r="325" spans="2:6" x14ac:dyDescent="0.3">
      <c r="B325" s="661"/>
      <c r="E325" s="661"/>
      <c r="F325" s="661"/>
    </row>
    <row r="326" spans="2:6" x14ac:dyDescent="0.3">
      <c r="B326" s="661"/>
      <c r="E326" s="661"/>
      <c r="F326" s="661"/>
    </row>
    <row r="327" spans="2:6" x14ac:dyDescent="0.3">
      <c r="B327" s="661"/>
      <c r="E327" s="661"/>
      <c r="F327" s="661"/>
    </row>
    <row r="328" spans="2:6" x14ac:dyDescent="0.3">
      <c r="B328" s="661"/>
      <c r="E328" s="661"/>
      <c r="F328" s="661"/>
    </row>
    <row r="329" spans="2:6" x14ac:dyDescent="0.3">
      <c r="B329" s="661"/>
      <c r="E329" s="661"/>
      <c r="F329" s="661"/>
    </row>
    <row r="330" spans="2:6" x14ac:dyDescent="0.3">
      <c r="B330" s="661"/>
      <c r="E330" s="661"/>
      <c r="F330" s="661"/>
    </row>
    <row r="331" spans="2:6" x14ac:dyDescent="0.3">
      <c r="B331" s="661"/>
      <c r="E331" s="661"/>
      <c r="F331" s="661"/>
    </row>
    <row r="332" spans="2:6" x14ac:dyDescent="0.3">
      <c r="B332" s="661"/>
      <c r="E332" s="661"/>
      <c r="F332" s="661"/>
    </row>
    <row r="333" spans="2:6" x14ac:dyDescent="0.3">
      <c r="B333" s="661"/>
      <c r="E333" s="661"/>
      <c r="F333" s="661"/>
    </row>
    <row r="334" spans="2:6" x14ac:dyDescent="0.3">
      <c r="B334" s="661"/>
      <c r="E334" s="661"/>
      <c r="F334" s="661"/>
    </row>
    <row r="335" spans="2:6" x14ac:dyDescent="0.3">
      <c r="B335" s="661"/>
      <c r="E335" s="661"/>
      <c r="F335" s="661"/>
    </row>
    <row r="336" spans="2:6" x14ac:dyDescent="0.3">
      <c r="B336" s="661"/>
      <c r="E336" s="661"/>
      <c r="F336" s="661"/>
    </row>
    <row r="337" spans="2:6" x14ac:dyDescent="0.3">
      <c r="B337" s="661"/>
      <c r="E337" s="661"/>
      <c r="F337" s="661"/>
    </row>
    <row r="338" spans="2:6" x14ac:dyDescent="0.3">
      <c r="B338" s="661"/>
      <c r="E338" s="661"/>
      <c r="F338" s="661"/>
    </row>
    <row r="339" spans="2:6" x14ac:dyDescent="0.3">
      <c r="B339" s="661"/>
      <c r="E339" s="661"/>
      <c r="F339" s="661"/>
    </row>
    <row r="340" spans="2:6" x14ac:dyDescent="0.3">
      <c r="B340" s="661"/>
      <c r="E340" s="661"/>
      <c r="F340" s="661"/>
    </row>
    <row r="341" spans="2:6" x14ac:dyDescent="0.3">
      <c r="B341" s="661"/>
      <c r="E341" s="661"/>
      <c r="F341" s="661"/>
    </row>
    <row r="342" spans="2:6" x14ac:dyDescent="0.3">
      <c r="B342" s="661"/>
      <c r="E342" s="661"/>
      <c r="F342" s="661"/>
    </row>
    <row r="343" spans="2:6" x14ac:dyDescent="0.3">
      <c r="B343" s="661"/>
      <c r="E343" s="661"/>
      <c r="F343" s="661"/>
    </row>
    <row r="344" spans="2:6" x14ac:dyDescent="0.3">
      <c r="B344" s="661"/>
      <c r="E344" s="661"/>
      <c r="F344" s="661"/>
    </row>
    <row r="345" spans="2:6" x14ac:dyDescent="0.3">
      <c r="B345" s="661"/>
      <c r="E345" s="661"/>
      <c r="F345" s="661"/>
    </row>
    <row r="346" spans="2:6" x14ac:dyDescent="0.3">
      <c r="B346" s="661"/>
      <c r="E346" s="661"/>
      <c r="F346" s="661"/>
    </row>
    <row r="347" spans="2:6" x14ac:dyDescent="0.3">
      <c r="B347" s="661"/>
      <c r="E347" s="661"/>
      <c r="F347" s="661"/>
    </row>
    <row r="348" spans="2:6" x14ac:dyDescent="0.3">
      <c r="B348" s="661"/>
      <c r="E348" s="661"/>
      <c r="F348" s="661"/>
    </row>
    <row r="349" spans="2:6" x14ac:dyDescent="0.3">
      <c r="B349" s="661"/>
      <c r="E349" s="661"/>
      <c r="F349" s="661"/>
    </row>
    <row r="350" spans="2:6" x14ac:dyDescent="0.3">
      <c r="B350" s="661"/>
      <c r="E350" s="661"/>
      <c r="F350" s="661"/>
    </row>
    <row r="351" spans="2:6" x14ac:dyDescent="0.3">
      <c r="B351" s="661"/>
      <c r="E351" s="661"/>
      <c r="F351" s="661"/>
    </row>
    <row r="352" spans="2:6" x14ac:dyDescent="0.3">
      <c r="B352" s="661"/>
      <c r="E352" s="661"/>
      <c r="F352" s="661"/>
    </row>
    <row r="353" spans="2:6" x14ac:dyDescent="0.3">
      <c r="B353" s="661"/>
      <c r="E353" s="661"/>
      <c r="F353" s="661"/>
    </row>
    <row r="354" spans="2:6" x14ac:dyDescent="0.3">
      <c r="B354" s="661"/>
      <c r="E354" s="661"/>
      <c r="F354" s="661"/>
    </row>
    <row r="355" spans="2:6" x14ac:dyDescent="0.3">
      <c r="B355" s="661"/>
      <c r="E355" s="661"/>
      <c r="F355" s="661"/>
    </row>
    <row r="356" spans="2:6" x14ac:dyDescent="0.3">
      <c r="B356" s="661"/>
      <c r="E356" s="661"/>
      <c r="F356" s="661"/>
    </row>
    <row r="357" spans="2:6" x14ac:dyDescent="0.3">
      <c r="B357" s="661"/>
      <c r="E357" s="661"/>
      <c r="F357" s="661"/>
    </row>
    <row r="358" spans="2:6" x14ac:dyDescent="0.3">
      <c r="B358" s="661"/>
      <c r="E358" s="661"/>
      <c r="F358" s="661"/>
    </row>
    <row r="359" spans="2:6" x14ac:dyDescent="0.3">
      <c r="B359" s="661"/>
      <c r="E359" s="661"/>
      <c r="F359" s="661"/>
    </row>
    <row r="360" spans="2:6" x14ac:dyDescent="0.3">
      <c r="B360" s="661"/>
      <c r="E360" s="661"/>
      <c r="F360" s="661"/>
    </row>
    <row r="361" spans="2:6" x14ac:dyDescent="0.3">
      <c r="B361" s="661"/>
      <c r="E361" s="661"/>
      <c r="F361" s="661"/>
    </row>
    <row r="362" spans="2:6" x14ac:dyDescent="0.3">
      <c r="B362" s="661"/>
      <c r="E362" s="661"/>
      <c r="F362" s="661"/>
    </row>
    <row r="363" spans="2:6" x14ac:dyDescent="0.3">
      <c r="B363" s="661"/>
      <c r="E363" s="661"/>
      <c r="F363" s="661"/>
    </row>
    <row r="364" spans="2:6" x14ac:dyDescent="0.3">
      <c r="B364" s="661"/>
      <c r="E364" s="661"/>
      <c r="F364" s="661"/>
    </row>
    <row r="365" spans="2:6" x14ac:dyDescent="0.3">
      <c r="B365" s="661"/>
      <c r="E365" s="661"/>
      <c r="F365" s="661"/>
    </row>
    <row r="366" spans="2:6" x14ac:dyDescent="0.3">
      <c r="B366" s="661"/>
      <c r="E366" s="661"/>
      <c r="F366" s="661"/>
    </row>
    <row r="367" spans="2:6" x14ac:dyDescent="0.3">
      <c r="B367" s="661"/>
      <c r="E367" s="661"/>
      <c r="F367" s="661"/>
    </row>
    <row r="368" spans="2:6" x14ac:dyDescent="0.3">
      <c r="B368" s="661"/>
      <c r="E368" s="661"/>
      <c r="F368" s="661"/>
    </row>
    <row r="369" spans="2:6" x14ac:dyDescent="0.3">
      <c r="B369" s="661"/>
      <c r="E369" s="661"/>
      <c r="F369" s="661"/>
    </row>
    <row r="370" spans="2:6" x14ac:dyDescent="0.3">
      <c r="B370" s="661"/>
      <c r="E370" s="661"/>
      <c r="F370" s="661"/>
    </row>
    <row r="371" spans="2:6" x14ac:dyDescent="0.3">
      <c r="B371" s="661"/>
      <c r="E371" s="661"/>
      <c r="F371" s="661"/>
    </row>
    <row r="372" spans="2:6" x14ac:dyDescent="0.3">
      <c r="B372" s="661"/>
      <c r="E372" s="661"/>
      <c r="F372" s="661"/>
    </row>
    <row r="373" spans="2:6" x14ac:dyDescent="0.3">
      <c r="B373" s="661"/>
      <c r="E373" s="661"/>
      <c r="F373" s="661"/>
    </row>
    <row r="374" spans="2:6" x14ac:dyDescent="0.3">
      <c r="B374" s="661"/>
      <c r="E374" s="661"/>
      <c r="F374" s="661"/>
    </row>
    <row r="375" spans="2:6" x14ac:dyDescent="0.3">
      <c r="B375" s="661"/>
      <c r="E375" s="661"/>
      <c r="F375" s="661"/>
    </row>
    <row r="376" spans="2:6" x14ac:dyDescent="0.3">
      <c r="B376" s="661"/>
      <c r="E376" s="661"/>
      <c r="F376" s="661"/>
    </row>
    <row r="377" spans="2:6" x14ac:dyDescent="0.3">
      <c r="B377" s="661"/>
      <c r="E377" s="661"/>
      <c r="F377" s="661"/>
    </row>
    <row r="378" spans="2:6" x14ac:dyDescent="0.3">
      <c r="B378" s="661"/>
      <c r="E378" s="661"/>
      <c r="F378" s="661"/>
    </row>
    <row r="379" spans="2:6" x14ac:dyDescent="0.3">
      <c r="B379" s="661"/>
      <c r="E379" s="661"/>
      <c r="F379" s="661"/>
    </row>
    <row r="380" spans="2:6" x14ac:dyDescent="0.3">
      <c r="B380" s="661"/>
      <c r="E380" s="661"/>
      <c r="F380" s="661"/>
    </row>
    <row r="381" spans="2:6" x14ac:dyDescent="0.3">
      <c r="B381" s="661"/>
      <c r="E381" s="661"/>
      <c r="F381" s="661"/>
    </row>
    <row r="382" spans="2:6" x14ac:dyDescent="0.3">
      <c r="B382" s="661"/>
      <c r="E382" s="661"/>
      <c r="F382" s="661"/>
    </row>
    <row r="383" spans="2:6" x14ac:dyDescent="0.3">
      <c r="B383" s="661"/>
      <c r="E383" s="661"/>
      <c r="F383" s="661"/>
    </row>
    <row r="384" spans="2:6" x14ac:dyDescent="0.3">
      <c r="B384" s="661"/>
      <c r="E384" s="661"/>
      <c r="F384" s="661"/>
    </row>
    <row r="385" spans="2:6" x14ac:dyDescent="0.3">
      <c r="B385" s="661"/>
      <c r="E385" s="661"/>
      <c r="F385" s="661"/>
    </row>
    <row r="386" spans="2:6" x14ac:dyDescent="0.3">
      <c r="B386" s="661"/>
      <c r="E386" s="661"/>
      <c r="F386" s="661"/>
    </row>
    <row r="387" spans="2:6" x14ac:dyDescent="0.3">
      <c r="B387" s="661"/>
      <c r="E387" s="661"/>
      <c r="F387" s="661"/>
    </row>
    <row r="388" spans="2:6" x14ac:dyDescent="0.3">
      <c r="B388" s="661"/>
      <c r="E388" s="661"/>
      <c r="F388" s="661"/>
    </row>
    <row r="389" spans="2:6" x14ac:dyDescent="0.3">
      <c r="B389" s="661"/>
      <c r="E389" s="661"/>
      <c r="F389" s="661"/>
    </row>
    <row r="390" spans="2:6" x14ac:dyDescent="0.3">
      <c r="B390" s="661"/>
      <c r="E390" s="661"/>
      <c r="F390" s="661"/>
    </row>
    <row r="391" spans="2:6" x14ac:dyDescent="0.3">
      <c r="B391" s="661"/>
      <c r="E391" s="661"/>
      <c r="F391" s="661"/>
    </row>
    <row r="392" spans="2:6" x14ac:dyDescent="0.3">
      <c r="B392" s="661"/>
      <c r="E392" s="661"/>
      <c r="F392" s="661"/>
    </row>
    <row r="393" spans="2:6" x14ac:dyDescent="0.3">
      <c r="B393" s="661"/>
      <c r="E393" s="661"/>
      <c r="F393" s="661"/>
    </row>
    <row r="394" spans="2:6" x14ac:dyDescent="0.3">
      <c r="B394" s="661"/>
      <c r="E394" s="661"/>
      <c r="F394" s="661"/>
    </row>
    <row r="395" spans="2:6" x14ac:dyDescent="0.3">
      <c r="B395" s="661"/>
      <c r="E395" s="661"/>
      <c r="F395" s="661"/>
    </row>
    <row r="396" spans="2:6" x14ac:dyDescent="0.3">
      <c r="B396" s="661"/>
      <c r="E396" s="661"/>
      <c r="F396" s="661"/>
    </row>
    <row r="397" spans="2:6" x14ac:dyDescent="0.3">
      <c r="B397" s="661"/>
      <c r="E397" s="661"/>
      <c r="F397" s="661"/>
    </row>
    <row r="398" spans="2:6" x14ac:dyDescent="0.3">
      <c r="B398" s="661"/>
      <c r="E398" s="661"/>
      <c r="F398" s="661"/>
    </row>
    <row r="399" spans="2:6" x14ac:dyDescent="0.3">
      <c r="B399" s="661"/>
      <c r="E399" s="661"/>
      <c r="F399" s="661"/>
    </row>
    <row r="400" spans="2:6" x14ac:dyDescent="0.3">
      <c r="B400" s="661"/>
      <c r="E400" s="661"/>
      <c r="F400" s="661"/>
    </row>
    <row r="401" spans="2:6" x14ac:dyDescent="0.3">
      <c r="B401" s="661"/>
      <c r="E401" s="661"/>
      <c r="F401" s="661"/>
    </row>
    <row r="402" spans="2:6" x14ac:dyDescent="0.3">
      <c r="B402" s="661"/>
      <c r="E402" s="661"/>
      <c r="F402" s="661"/>
    </row>
    <row r="403" spans="2:6" x14ac:dyDescent="0.3">
      <c r="B403" s="661"/>
      <c r="E403" s="661"/>
      <c r="F403" s="661"/>
    </row>
    <row r="404" spans="2:6" x14ac:dyDescent="0.3">
      <c r="B404" s="661"/>
      <c r="E404" s="661"/>
      <c r="F404" s="661"/>
    </row>
    <row r="405" spans="2:6" x14ac:dyDescent="0.3">
      <c r="B405" s="661"/>
      <c r="E405" s="661"/>
      <c r="F405" s="661"/>
    </row>
    <row r="406" spans="2:6" x14ac:dyDescent="0.3">
      <c r="B406" s="661"/>
      <c r="E406" s="661"/>
      <c r="F406" s="661"/>
    </row>
    <row r="407" spans="2:6" x14ac:dyDescent="0.3">
      <c r="B407" s="661"/>
      <c r="E407" s="661"/>
      <c r="F407" s="661"/>
    </row>
    <row r="408" spans="2:6" x14ac:dyDescent="0.3">
      <c r="B408" s="661"/>
      <c r="E408" s="661"/>
      <c r="F408" s="661"/>
    </row>
    <row r="409" spans="2:6" x14ac:dyDescent="0.3">
      <c r="B409" s="661"/>
      <c r="E409" s="661"/>
      <c r="F409" s="661"/>
    </row>
    <row r="410" spans="2:6" x14ac:dyDescent="0.3">
      <c r="B410" s="661"/>
      <c r="E410" s="661"/>
      <c r="F410" s="661"/>
    </row>
    <row r="411" spans="2:6" x14ac:dyDescent="0.3">
      <c r="B411" s="661"/>
      <c r="E411" s="661"/>
      <c r="F411" s="661"/>
    </row>
    <row r="412" spans="2:6" x14ac:dyDescent="0.3">
      <c r="B412" s="661"/>
      <c r="E412" s="661"/>
      <c r="F412" s="661"/>
    </row>
    <row r="413" spans="2:6" x14ac:dyDescent="0.3">
      <c r="B413" s="661"/>
      <c r="E413" s="661"/>
      <c r="F413" s="661"/>
    </row>
    <row r="414" spans="2:6" x14ac:dyDescent="0.3">
      <c r="B414" s="661"/>
      <c r="E414" s="661"/>
      <c r="F414" s="661"/>
    </row>
    <row r="415" spans="2:6" x14ac:dyDescent="0.3">
      <c r="B415" s="661"/>
      <c r="E415" s="661"/>
      <c r="F415" s="661"/>
    </row>
    <row r="416" spans="2:6" x14ac:dyDescent="0.3">
      <c r="B416" s="661"/>
      <c r="E416" s="661"/>
      <c r="F416" s="661"/>
    </row>
    <row r="417" spans="2:6" x14ac:dyDescent="0.3">
      <c r="B417" s="661"/>
      <c r="E417" s="661"/>
      <c r="F417" s="661"/>
    </row>
    <row r="418" spans="2:6" x14ac:dyDescent="0.3">
      <c r="B418" s="661"/>
      <c r="E418" s="661"/>
      <c r="F418" s="661"/>
    </row>
    <row r="419" spans="2:6" x14ac:dyDescent="0.3">
      <c r="B419" s="661"/>
      <c r="E419" s="661"/>
      <c r="F419" s="661"/>
    </row>
    <row r="420" spans="2:6" x14ac:dyDescent="0.3">
      <c r="B420" s="661"/>
      <c r="E420" s="661"/>
      <c r="F420" s="661"/>
    </row>
    <row r="421" spans="2:6" x14ac:dyDescent="0.3">
      <c r="B421" s="661"/>
      <c r="E421" s="661"/>
      <c r="F421" s="661"/>
    </row>
    <row r="422" spans="2:6" x14ac:dyDescent="0.3">
      <c r="B422" s="661"/>
      <c r="E422" s="661"/>
      <c r="F422" s="661"/>
    </row>
    <row r="423" spans="2:6" x14ac:dyDescent="0.3">
      <c r="B423" s="661"/>
      <c r="E423" s="661"/>
      <c r="F423" s="661"/>
    </row>
    <row r="424" spans="2:6" x14ac:dyDescent="0.3">
      <c r="B424" s="661"/>
      <c r="E424" s="661"/>
      <c r="F424" s="661"/>
    </row>
    <row r="425" spans="2:6" x14ac:dyDescent="0.3">
      <c r="B425" s="661"/>
      <c r="E425" s="661"/>
      <c r="F425" s="661"/>
    </row>
    <row r="426" spans="2:6" x14ac:dyDescent="0.3">
      <c r="B426" s="661"/>
      <c r="E426" s="661"/>
      <c r="F426" s="661"/>
    </row>
    <row r="427" spans="2:6" x14ac:dyDescent="0.3">
      <c r="B427" s="661"/>
      <c r="E427" s="661"/>
      <c r="F427" s="661"/>
    </row>
    <row r="428" spans="2:6" x14ac:dyDescent="0.3">
      <c r="B428" s="661"/>
      <c r="E428" s="661"/>
      <c r="F428" s="661"/>
    </row>
    <row r="429" spans="2:6" x14ac:dyDescent="0.3">
      <c r="B429" s="661"/>
      <c r="E429" s="661"/>
      <c r="F429" s="661"/>
    </row>
    <row r="430" spans="2:6" x14ac:dyDescent="0.3">
      <c r="B430" s="661"/>
      <c r="E430" s="661"/>
      <c r="F430" s="661"/>
    </row>
    <row r="431" spans="2:6" x14ac:dyDescent="0.3">
      <c r="B431" s="661"/>
      <c r="E431" s="661"/>
      <c r="F431" s="661"/>
    </row>
    <row r="432" spans="2:6" x14ac:dyDescent="0.3">
      <c r="B432" s="661"/>
      <c r="E432" s="661"/>
      <c r="F432" s="661"/>
    </row>
    <row r="433" spans="2:6" x14ac:dyDescent="0.3">
      <c r="B433" s="661"/>
      <c r="E433" s="661"/>
      <c r="F433" s="661"/>
    </row>
    <row r="434" spans="2:6" x14ac:dyDescent="0.3">
      <c r="B434" s="661"/>
      <c r="E434" s="661"/>
      <c r="F434" s="661"/>
    </row>
    <row r="435" spans="2:6" x14ac:dyDescent="0.3">
      <c r="B435" s="661"/>
      <c r="E435" s="661"/>
      <c r="F435" s="661"/>
    </row>
    <row r="436" spans="2:6" x14ac:dyDescent="0.3">
      <c r="B436" s="661"/>
      <c r="E436" s="661"/>
      <c r="F436" s="661"/>
    </row>
    <row r="437" spans="2:6" x14ac:dyDescent="0.3">
      <c r="B437" s="661"/>
      <c r="E437" s="661"/>
      <c r="F437" s="661"/>
    </row>
    <row r="438" spans="2:6" x14ac:dyDescent="0.3">
      <c r="B438" s="661"/>
      <c r="E438" s="661"/>
      <c r="F438" s="661"/>
    </row>
    <row r="439" spans="2:6" x14ac:dyDescent="0.3">
      <c r="B439" s="661"/>
      <c r="E439" s="661"/>
      <c r="F439" s="661"/>
    </row>
    <row r="440" spans="2:6" x14ac:dyDescent="0.3">
      <c r="B440" s="661"/>
      <c r="E440" s="661"/>
      <c r="F440" s="661"/>
    </row>
    <row r="441" spans="2:6" x14ac:dyDescent="0.3">
      <c r="B441" s="661"/>
      <c r="E441" s="661"/>
      <c r="F441" s="661"/>
    </row>
    <row r="442" spans="2:6" x14ac:dyDescent="0.3">
      <c r="B442" s="661"/>
      <c r="E442" s="661"/>
      <c r="F442" s="661"/>
    </row>
    <row r="443" spans="2:6" x14ac:dyDescent="0.3">
      <c r="B443" s="661"/>
      <c r="E443" s="661"/>
      <c r="F443" s="661"/>
    </row>
    <row r="444" spans="2:6" x14ac:dyDescent="0.3">
      <c r="B444" s="661"/>
      <c r="E444" s="661"/>
      <c r="F444" s="661"/>
    </row>
    <row r="445" spans="2:6" x14ac:dyDescent="0.3">
      <c r="B445" s="661"/>
      <c r="E445" s="661"/>
      <c r="F445" s="661"/>
    </row>
    <row r="446" spans="2:6" x14ac:dyDescent="0.3">
      <c r="B446" s="661"/>
      <c r="E446" s="661"/>
      <c r="F446" s="661"/>
    </row>
    <row r="447" spans="2:6" x14ac:dyDescent="0.3">
      <c r="B447" s="661"/>
      <c r="E447" s="661"/>
      <c r="F447" s="661"/>
    </row>
    <row r="448" spans="2:6" x14ac:dyDescent="0.3">
      <c r="B448" s="661"/>
      <c r="E448" s="661"/>
      <c r="F448" s="661"/>
    </row>
    <row r="449" spans="2:6" x14ac:dyDescent="0.3">
      <c r="B449" s="661"/>
      <c r="E449" s="661"/>
      <c r="F449" s="661"/>
    </row>
    <row r="450" spans="2:6" x14ac:dyDescent="0.3">
      <c r="B450" s="661"/>
      <c r="E450" s="661"/>
      <c r="F450" s="661"/>
    </row>
    <row r="451" spans="2:6" x14ac:dyDescent="0.3">
      <c r="B451" s="661"/>
      <c r="E451" s="661"/>
      <c r="F451" s="661"/>
    </row>
    <row r="452" spans="2:6" x14ac:dyDescent="0.3">
      <c r="B452" s="661"/>
      <c r="E452" s="661"/>
      <c r="F452" s="661"/>
    </row>
    <row r="453" spans="2:6" x14ac:dyDescent="0.3">
      <c r="B453" s="661"/>
      <c r="E453" s="661"/>
      <c r="F453" s="661"/>
    </row>
    <row r="454" spans="2:6" x14ac:dyDescent="0.3">
      <c r="B454" s="661"/>
      <c r="E454" s="661"/>
      <c r="F454" s="661"/>
    </row>
    <row r="455" spans="2:6" x14ac:dyDescent="0.3">
      <c r="B455" s="661"/>
      <c r="E455" s="661"/>
      <c r="F455" s="661"/>
    </row>
    <row r="456" spans="2:6" x14ac:dyDescent="0.3">
      <c r="B456" s="661"/>
      <c r="E456" s="661"/>
      <c r="F456" s="661"/>
    </row>
    <row r="457" spans="2:6" x14ac:dyDescent="0.3">
      <c r="B457" s="661"/>
      <c r="E457" s="661"/>
      <c r="F457" s="661"/>
    </row>
    <row r="458" spans="2:6" x14ac:dyDescent="0.3">
      <c r="B458" s="661"/>
      <c r="E458" s="661"/>
      <c r="F458" s="661"/>
    </row>
    <row r="459" spans="2:6" x14ac:dyDescent="0.3">
      <c r="B459" s="661"/>
      <c r="E459" s="661"/>
      <c r="F459" s="661"/>
    </row>
    <row r="460" spans="2:6" x14ac:dyDescent="0.3">
      <c r="B460" s="661"/>
      <c r="E460" s="661"/>
      <c r="F460" s="661"/>
    </row>
    <row r="461" spans="2:6" x14ac:dyDescent="0.3">
      <c r="B461" s="661"/>
      <c r="E461" s="661"/>
      <c r="F461" s="661"/>
    </row>
    <row r="462" spans="2:6" x14ac:dyDescent="0.3">
      <c r="B462" s="661"/>
      <c r="E462" s="661"/>
      <c r="F462" s="661"/>
    </row>
    <row r="463" spans="2:6" x14ac:dyDescent="0.3">
      <c r="B463" s="661"/>
      <c r="E463" s="661"/>
      <c r="F463" s="661"/>
    </row>
    <row r="464" spans="2:6" x14ac:dyDescent="0.3">
      <c r="B464" s="661"/>
      <c r="E464" s="661"/>
      <c r="F464" s="661"/>
    </row>
    <row r="465" spans="2:6" x14ac:dyDescent="0.3">
      <c r="B465" s="661"/>
      <c r="E465" s="661"/>
      <c r="F465" s="661"/>
    </row>
    <row r="466" spans="2:6" x14ac:dyDescent="0.3">
      <c r="B466" s="661"/>
      <c r="E466" s="661"/>
      <c r="F466" s="661"/>
    </row>
    <row r="467" spans="2:6" x14ac:dyDescent="0.3">
      <c r="B467" s="661"/>
      <c r="E467" s="661"/>
      <c r="F467" s="661"/>
    </row>
    <row r="468" spans="2:6" x14ac:dyDescent="0.3">
      <c r="B468" s="661"/>
      <c r="E468" s="661"/>
      <c r="F468" s="661"/>
    </row>
    <row r="469" spans="2:6" x14ac:dyDescent="0.3">
      <c r="B469" s="661"/>
      <c r="E469" s="661"/>
      <c r="F469" s="661"/>
    </row>
    <row r="470" spans="2:6" x14ac:dyDescent="0.3">
      <c r="B470" s="661"/>
      <c r="E470" s="661"/>
      <c r="F470" s="661"/>
    </row>
    <row r="471" spans="2:6" x14ac:dyDescent="0.3">
      <c r="B471" s="661"/>
      <c r="E471" s="661"/>
      <c r="F471" s="661"/>
    </row>
    <row r="472" spans="2:6" x14ac:dyDescent="0.3">
      <c r="B472" s="661"/>
      <c r="E472" s="661"/>
      <c r="F472" s="661"/>
    </row>
    <row r="473" spans="2:6" x14ac:dyDescent="0.3">
      <c r="B473" s="661"/>
      <c r="E473" s="661"/>
      <c r="F473" s="661"/>
    </row>
    <row r="474" spans="2:6" x14ac:dyDescent="0.3">
      <c r="B474" s="661"/>
      <c r="E474" s="661"/>
      <c r="F474" s="661"/>
    </row>
    <row r="475" spans="2:6" x14ac:dyDescent="0.3">
      <c r="B475" s="661"/>
      <c r="E475" s="661"/>
      <c r="F475" s="661"/>
    </row>
    <row r="476" spans="2:6" x14ac:dyDescent="0.3">
      <c r="B476" s="661"/>
      <c r="E476" s="661"/>
      <c r="F476" s="661"/>
    </row>
    <row r="477" spans="2:6" x14ac:dyDescent="0.3">
      <c r="B477" s="661"/>
      <c r="E477" s="661"/>
      <c r="F477" s="661"/>
    </row>
    <row r="478" spans="2:6" x14ac:dyDescent="0.3">
      <c r="B478" s="661"/>
      <c r="E478" s="661"/>
      <c r="F478" s="661"/>
    </row>
    <row r="479" spans="2:6" x14ac:dyDescent="0.3">
      <c r="B479" s="661"/>
      <c r="E479" s="661"/>
      <c r="F479" s="661"/>
    </row>
    <row r="480" spans="2:6" x14ac:dyDescent="0.3">
      <c r="B480" s="661"/>
      <c r="E480" s="661"/>
      <c r="F480" s="661"/>
    </row>
    <row r="481" spans="2:6" x14ac:dyDescent="0.3">
      <c r="B481" s="661"/>
      <c r="E481" s="661"/>
      <c r="F481" s="661"/>
    </row>
    <row r="482" spans="2:6" x14ac:dyDescent="0.3">
      <c r="B482" s="661"/>
      <c r="E482" s="661"/>
      <c r="F482" s="661"/>
    </row>
    <row r="483" spans="2:6" x14ac:dyDescent="0.3">
      <c r="B483" s="661"/>
      <c r="E483" s="661"/>
      <c r="F483" s="661"/>
    </row>
    <row r="484" spans="2:6" x14ac:dyDescent="0.3">
      <c r="B484" s="661"/>
      <c r="E484" s="661"/>
      <c r="F484" s="661"/>
    </row>
    <row r="485" spans="2:6" x14ac:dyDescent="0.3">
      <c r="B485" s="661"/>
      <c r="E485" s="661"/>
      <c r="F485" s="661"/>
    </row>
    <row r="486" spans="2:6" x14ac:dyDescent="0.3">
      <c r="B486" s="661"/>
      <c r="E486" s="661"/>
      <c r="F486" s="661"/>
    </row>
    <row r="487" spans="2:6" x14ac:dyDescent="0.3">
      <c r="B487" s="661"/>
      <c r="E487" s="661"/>
      <c r="F487" s="661"/>
    </row>
    <row r="488" spans="2:6" x14ac:dyDescent="0.3">
      <c r="B488" s="661"/>
      <c r="E488" s="661"/>
      <c r="F488" s="661"/>
    </row>
    <row r="489" spans="2:6" x14ac:dyDescent="0.3">
      <c r="B489" s="661"/>
      <c r="E489" s="661"/>
      <c r="F489" s="661"/>
    </row>
    <row r="490" spans="2:6" x14ac:dyDescent="0.3">
      <c r="B490" s="661"/>
      <c r="E490" s="661"/>
      <c r="F490" s="661"/>
    </row>
    <row r="491" spans="2:6" x14ac:dyDescent="0.3">
      <c r="B491" s="661"/>
      <c r="E491" s="661"/>
      <c r="F491" s="661"/>
    </row>
    <row r="492" spans="2:6" x14ac:dyDescent="0.3">
      <c r="B492" s="661"/>
      <c r="E492" s="661"/>
      <c r="F492" s="661"/>
    </row>
    <row r="493" spans="2:6" x14ac:dyDescent="0.3">
      <c r="B493" s="661"/>
      <c r="E493" s="661"/>
      <c r="F493" s="661"/>
    </row>
    <row r="494" spans="2:6" x14ac:dyDescent="0.3">
      <c r="B494" s="661"/>
      <c r="E494" s="661"/>
      <c r="F494" s="661"/>
    </row>
    <row r="495" spans="2:6" x14ac:dyDescent="0.3">
      <c r="B495" s="661"/>
      <c r="E495" s="661"/>
      <c r="F495" s="661"/>
    </row>
    <row r="496" spans="2:6" x14ac:dyDescent="0.3">
      <c r="B496" s="661"/>
      <c r="E496" s="661"/>
      <c r="F496" s="661"/>
    </row>
    <row r="497" spans="2:6" x14ac:dyDescent="0.3">
      <c r="B497" s="661"/>
      <c r="E497" s="661"/>
      <c r="F497" s="661"/>
    </row>
    <row r="498" spans="2:6" x14ac:dyDescent="0.3">
      <c r="B498" s="661"/>
      <c r="E498" s="661"/>
      <c r="F498" s="661"/>
    </row>
    <row r="499" spans="2:6" x14ac:dyDescent="0.3">
      <c r="B499" s="661"/>
      <c r="E499" s="661"/>
      <c r="F499" s="661"/>
    </row>
    <row r="500" spans="2:6" x14ac:dyDescent="0.3">
      <c r="B500" s="661"/>
      <c r="E500" s="661"/>
      <c r="F500" s="661"/>
    </row>
    <row r="501" spans="2:6" x14ac:dyDescent="0.3">
      <c r="B501" s="661"/>
      <c r="E501" s="661"/>
      <c r="F501" s="661"/>
    </row>
    <row r="502" spans="2:6" x14ac:dyDescent="0.3">
      <c r="B502" s="661"/>
      <c r="E502" s="661"/>
      <c r="F502" s="661"/>
    </row>
    <row r="503" spans="2:6" x14ac:dyDescent="0.3">
      <c r="B503" s="661"/>
      <c r="E503" s="661"/>
      <c r="F503" s="661"/>
    </row>
    <row r="504" spans="2:6" x14ac:dyDescent="0.3">
      <c r="B504" s="661"/>
      <c r="E504" s="661"/>
      <c r="F504" s="661"/>
    </row>
    <row r="505" spans="2:6" x14ac:dyDescent="0.3">
      <c r="B505" s="661"/>
      <c r="E505" s="661"/>
      <c r="F505" s="661"/>
    </row>
    <row r="506" spans="2:6" x14ac:dyDescent="0.3">
      <c r="B506" s="661"/>
      <c r="E506" s="661"/>
      <c r="F506" s="661"/>
    </row>
    <row r="507" spans="2:6" x14ac:dyDescent="0.3">
      <c r="B507" s="661"/>
      <c r="E507" s="661"/>
      <c r="F507" s="661"/>
    </row>
    <row r="508" spans="2:6" x14ac:dyDescent="0.3">
      <c r="B508" s="661"/>
      <c r="E508" s="661"/>
      <c r="F508" s="661"/>
    </row>
    <row r="509" spans="2:6" x14ac:dyDescent="0.3">
      <c r="B509" s="661"/>
      <c r="E509" s="661"/>
      <c r="F509" s="661"/>
    </row>
    <row r="510" spans="2:6" x14ac:dyDescent="0.3">
      <c r="B510" s="661"/>
      <c r="E510" s="661"/>
      <c r="F510" s="661"/>
    </row>
    <row r="511" spans="2:6" x14ac:dyDescent="0.3">
      <c r="B511" s="661"/>
      <c r="E511" s="661"/>
      <c r="F511" s="661"/>
    </row>
    <row r="512" spans="2:6" x14ac:dyDescent="0.3">
      <c r="B512" s="661"/>
      <c r="E512" s="661"/>
      <c r="F512" s="661"/>
    </row>
    <row r="513" spans="2:6" x14ac:dyDescent="0.3">
      <c r="B513" s="661"/>
      <c r="E513" s="661"/>
      <c r="F513" s="661"/>
    </row>
    <row r="514" spans="2:6" x14ac:dyDescent="0.3">
      <c r="B514" s="661"/>
      <c r="E514" s="661"/>
      <c r="F514" s="661"/>
    </row>
    <row r="515" spans="2:6" x14ac:dyDescent="0.3">
      <c r="B515" s="661"/>
      <c r="E515" s="661"/>
      <c r="F515" s="661"/>
    </row>
    <row r="516" spans="2:6" x14ac:dyDescent="0.3">
      <c r="B516" s="661"/>
      <c r="E516" s="661"/>
      <c r="F516" s="661"/>
    </row>
    <row r="517" spans="2:6" x14ac:dyDescent="0.3">
      <c r="B517" s="661"/>
      <c r="E517" s="661"/>
      <c r="F517" s="661"/>
    </row>
    <row r="518" spans="2:6" x14ac:dyDescent="0.3">
      <c r="B518" s="661"/>
      <c r="E518" s="661"/>
      <c r="F518" s="661"/>
    </row>
    <row r="519" spans="2:6" x14ac:dyDescent="0.3">
      <c r="B519" s="661"/>
      <c r="E519" s="661"/>
      <c r="F519" s="661"/>
    </row>
    <row r="520" spans="2:6" x14ac:dyDescent="0.3">
      <c r="B520" s="661"/>
      <c r="E520" s="661"/>
      <c r="F520" s="661"/>
    </row>
    <row r="521" spans="2:6" x14ac:dyDescent="0.3">
      <c r="B521" s="661"/>
      <c r="E521" s="661"/>
      <c r="F521" s="661"/>
    </row>
    <row r="522" spans="2:6" x14ac:dyDescent="0.3">
      <c r="B522" s="661"/>
      <c r="E522" s="661"/>
      <c r="F522" s="661"/>
    </row>
    <row r="523" spans="2:6" x14ac:dyDescent="0.3">
      <c r="B523" s="661"/>
      <c r="E523" s="661"/>
      <c r="F523" s="661"/>
    </row>
    <row r="524" spans="2:6" x14ac:dyDescent="0.3">
      <c r="B524" s="661"/>
      <c r="E524" s="661"/>
      <c r="F524" s="661"/>
    </row>
    <row r="525" spans="2:6" x14ac:dyDescent="0.3">
      <c r="B525" s="661"/>
      <c r="E525" s="661"/>
      <c r="F525" s="661"/>
    </row>
    <row r="526" spans="2:6" x14ac:dyDescent="0.3">
      <c r="B526" s="661"/>
      <c r="E526" s="661"/>
      <c r="F526" s="661"/>
    </row>
    <row r="527" spans="2:6" x14ac:dyDescent="0.3">
      <c r="B527" s="661"/>
      <c r="E527" s="661"/>
      <c r="F527" s="661"/>
    </row>
    <row r="528" spans="2:6" x14ac:dyDescent="0.3">
      <c r="B528" s="661"/>
      <c r="E528" s="661"/>
      <c r="F528" s="661"/>
    </row>
    <row r="529" spans="2:6" x14ac:dyDescent="0.3">
      <c r="B529" s="661"/>
      <c r="E529" s="661"/>
      <c r="F529" s="661"/>
    </row>
    <row r="530" spans="2:6" x14ac:dyDescent="0.3">
      <c r="B530" s="661"/>
      <c r="E530" s="661"/>
      <c r="F530" s="661"/>
    </row>
    <row r="531" spans="2:6" x14ac:dyDescent="0.3">
      <c r="B531" s="661"/>
      <c r="E531" s="661"/>
      <c r="F531" s="661"/>
    </row>
    <row r="532" spans="2:6" x14ac:dyDescent="0.3">
      <c r="B532" s="661"/>
      <c r="E532" s="661"/>
      <c r="F532" s="661"/>
    </row>
    <row r="533" spans="2:6" x14ac:dyDescent="0.3">
      <c r="B533" s="661"/>
      <c r="E533" s="661"/>
      <c r="F533" s="661"/>
    </row>
    <row r="534" spans="2:6" x14ac:dyDescent="0.3">
      <c r="B534" s="661"/>
      <c r="E534" s="661"/>
      <c r="F534" s="661"/>
    </row>
    <row r="535" spans="2:6" x14ac:dyDescent="0.3">
      <c r="B535" s="661"/>
      <c r="E535" s="661"/>
      <c r="F535" s="661"/>
    </row>
    <row r="536" spans="2:6" x14ac:dyDescent="0.3">
      <c r="B536" s="661"/>
      <c r="E536" s="661"/>
      <c r="F536" s="661"/>
    </row>
    <row r="537" spans="2:6" x14ac:dyDescent="0.3">
      <c r="B537" s="661"/>
      <c r="E537" s="661"/>
      <c r="F537" s="661"/>
    </row>
    <row r="538" spans="2:6" x14ac:dyDescent="0.3">
      <c r="B538" s="661"/>
      <c r="E538" s="661"/>
      <c r="F538" s="661"/>
    </row>
    <row r="539" spans="2:6" x14ac:dyDescent="0.3">
      <c r="B539" s="661"/>
      <c r="E539" s="661"/>
      <c r="F539" s="661"/>
    </row>
    <row r="540" spans="2:6" x14ac:dyDescent="0.3">
      <c r="B540" s="661"/>
      <c r="E540" s="661"/>
      <c r="F540" s="661"/>
    </row>
    <row r="541" spans="2:6" x14ac:dyDescent="0.3">
      <c r="B541" s="661"/>
      <c r="E541" s="661"/>
      <c r="F541" s="661"/>
    </row>
    <row r="542" spans="2:6" x14ac:dyDescent="0.3">
      <c r="B542" s="661"/>
      <c r="E542" s="661"/>
      <c r="F542" s="661"/>
    </row>
    <row r="543" spans="2:6" x14ac:dyDescent="0.3">
      <c r="B543" s="661"/>
      <c r="E543" s="661"/>
      <c r="F543" s="661"/>
    </row>
    <row r="544" spans="2:6" x14ac:dyDescent="0.3">
      <c r="B544" s="661"/>
      <c r="E544" s="661"/>
      <c r="F544" s="661"/>
    </row>
    <row r="545" spans="2:6" x14ac:dyDescent="0.3">
      <c r="B545" s="661"/>
      <c r="E545" s="661"/>
      <c r="F545" s="661"/>
    </row>
    <row r="546" spans="2:6" x14ac:dyDescent="0.3">
      <c r="B546" s="661"/>
      <c r="E546" s="661"/>
      <c r="F546" s="661"/>
    </row>
    <row r="547" spans="2:6" x14ac:dyDescent="0.3">
      <c r="B547" s="661"/>
      <c r="E547" s="661"/>
      <c r="F547" s="661"/>
    </row>
    <row r="548" spans="2:6" x14ac:dyDescent="0.3">
      <c r="B548" s="661"/>
      <c r="E548" s="661"/>
      <c r="F548" s="661"/>
    </row>
    <row r="549" spans="2:6" x14ac:dyDescent="0.3">
      <c r="B549" s="661"/>
      <c r="E549" s="661"/>
      <c r="F549" s="661"/>
    </row>
    <row r="550" spans="2:6" x14ac:dyDescent="0.3">
      <c r="B550" s="661"/>
      <c r="E550" s="661"/>
      <c r="F550" s="661"/>
    </row>
    <row r="551" spans="2:6" x14ac:dyDescent="0.3">
      <c r="B551" s="661"/>
      <c r="E551" s="661"/>
      <c r="F551" s="661"/>
    </row>
    <row r="552" spans="2:6" x14ac:dyDescent="0.3">
      <c r="B552" s="661"/>
      <c r="E552" s="661"/>
      <c r="F552" s="661"/>
    </row>
    <row r="553" spans="2:6" x14ac:dyDescent="0.3">
      <c r="B553" s="661"/>
      <c r="E553" s="661"/>
      <c r="F553" s="661"/>
    </row>
    <row r="554" spans="2:6" x14ac:dyDescent="0.3">
      <c r="B554" s="661"/>
      <c r="E554" s="661"/>
      <c r="F554" s="661"/>
    </row>
    <row r="555" spans="2:6" x14ac:dyDescent="0.3">
      <c r="B555" s="661"/>
      <c r="E555" s="661"/>
      <c r="F555" s="661"/>
    </row>
    <row r="556" spans="2:6" x14ac:dyDescent="0.3">
      <c r="B556" s="661"/>
      <c r="E556" s="661"/>
      <c r="F556" s="661"/>
    </row>
    <row r="557" spans="2:6" x14ac:dyDescent="0.3">
      <c r="B557" s="661"/>
      <c r="E557" s="661"/>
      <c r="F557" s="661"/>
    </row>
    <row r="558" spans="2:6" x14ac:dyDescent="0.3">
      <c r="B558" s="661"/>
      <c r="E558" s="661"/>
      <c r="F558" s="661"/>
    </row>
    <row r="559" spans="2:6" x14ac:dyDescent="0.3">
      <c r="B559" s="661"/>
      <c r="E559" s="661"/>
      <c r="F559" s="661"/>
    </row>
    <row r="560" spans="2:6" x14ac:dyDescent="0.3">
      <c r="B560" s="661"/>
      <c r="E560" s="661"/>
      <c r="F560" s="661"/>
    </row>
    <row r="561" spans="2:6" x14ac:dyDescent="0.3">
      <c r="B561" s="661"/>
      <c r="E561" s="661"/>
      <c r="F561" s="661"/>
    </row>
    <row r="562" spans="2:6" x14ac:dyDescent="0.3">
      <c r="B562" s="661"/>
      <c r="E562" s="661"/>
      <c r="F562" s="661"/>
    </row>
    <row r="563" spans="2:6" x14ac:dyDescent="0.3">
      <c r="B563" s="661"/>
      <c r="E563" s="661"/>
      <c r="F563" s="661"/>
    </row>
    <row r="564" spans="2:6" x14ac:dyDescent="0.3">
      <c r="B564" s="661"/>
      <c r="E564" s="661"/>
      <c r="F564" s="661"/>
    </row>
    <row r="565" spans="2:6" x14ac:dyDescent="0.3">
      <c r="B565" s="661"/>
      <c r="E565" s="661"/>
      <c r="F565" s="661"/>
    </row>
    <row r="566" spans="2:6" x14ac:dyDescent="0.3">
      <c r="B566" s="661"/>
      <c r="E566" s="661"/>
      <c r="F566" s="661"/>
    </row>
    <row r="567" spans="2:6" x14ac:dyDescent="0.3">
      <c r="B567" s="661"/>
      <c r="E567" s="661"/>
      <c r="F567" s="661"/>
    </row>
    <row r="568" spans="2:6" x14ac:dyDescent="0.3">
      <c r="B568" s="661"/>
      <c r="E568" s="661"/>
      <c r="F568" s="661"/>
    </row>
    <row r="569" spans="2:6" x14ac:dyDescent="0.3">
      <c r="B569" s="661"/>
      <c r="E569" s="661"/>
      <c r="F569" s="661"/>
    </row>
    <row r="570" spans="2:6" x14ac:dyDescent="0.3">
      <c r="B570" s="661"/>
      <c r="E570" s="661"/>
      <c r="F570" s="661"/>
    </row>
    <row r="571" spans="2:6" x14ac:dyDescent="0.3">
      <c r="B571" s="661"/>
      <c r="E571" s="661"/>
      <c r="F571" s="661"/>
    </row>
    <row r="572" spans="2:6" x14ac:dyDescent="0.3">
      <c r="B572" s="661"/>
      <c r="E572" s="661"/>
      <c r="F572" s="661"/>
    </row>
    <row r="573" spans="2:6" x14ac:dyDescent="0.3">
      <c r="B573" s="661"/>
      <c r="E573" s="661"/>
      <c r="F573" s="661"/>
    </row>
    <row r="574" spans="2:6" x14ac:dyDescent="0.3">
      <c r="B574" s="661"/>
      <c r="E574" s="661"/>
      <c r="F574" s="661"/>
    </row>
    <row r="575" spans="2:6" x14ac:dyDescent="0.3">
      <c r="B575" s="661"/>
      <c r="E575" s="661"/>
      <c r="F575" s="661"/>
    </row>
    <row r="576" spans="2:6" x14ac:dyDescent="0.3">
      <c r="B576" s="661"/>
      <c r="E576" s="661"/>
      <c r="F576" s="661"/>
    </row>
    <row r="577" spans="2:6" x14ac:dyDescent="0.3">
      <c r="B577" s="661"/>
      <c r="E577" s="661"/>
      <c r="F577" s="661"/>
    </row>
    <row r="578" spans="2:6" x14ac:dyDescent="0.3">
      <c r="B578" s="661"/>
      <c r="E578" s="661"/>
      <c r="F578" s="661"/>
    </row>
    <row r="579" spans="2:6" x14ac:dyDescent="0.3">
      <c r="B579" s="661"/>
      <c r="E579" s="661"/>
      <c r="F579" s="661"/>
    </row>
    <row r="580" spans="2:6" x14ac:dyDescent="0.3">
      <c r="B580" s="661"/>
      <c r="E580" s="661"/>
      <c r="F580" s="661"/>
    </row>
    <row r="581" spans="2:6" x14ac:dyDescent="0.3">
      <c r="B581" s="661"/>
      <c r="E581" s="661"/>
      <c r="F581" s="661"/>
    </row>
    <row r="582" spans="2:6" x14ac:dyDescent="0.3">
      <c r="B582" s="661"/>
      <c r="E582" s="661"/>
      <c r="F582" s="661"/>
    </row>
    <row r="583" spans="2:6" x14ac:dyDescent="0.3">
      <c r="B583" s="661"/>
      <c r="E583" s="661"/>
      <c r="F583" s="661"/>
    </row>
    <row r="584" spans="2:6" x14ac:dyDescent="0.3">
      <c r="B584" s="661"/>
      <c r="E584" s="661"/>
      <c r="F584" s="661"/>
    </row>
    <row r="585" spans="2:6" x14ac:dyDescent="0.3">
      <c r="B585" s="661"/>
      <c r="E585" s="661"/>
      <c r="F585" s="661"/>
    </row>
    <row r="586" spans="2:6" x14ac:dyDescent="0.3">
      <c r="B586" s="661"/>
      <c r="E586" s="661"/>
      <c r="F586" s="661"/>
    </row>
    <row r="587" spans="2:6" x14ac:dyDescent="0.3">
      <c r="B587" s="661"/>
      <c r="E587" s="661"/>
      <c r="F587" s="661"/>
    </row>
    <row r="588" spans="2:6" x14ac:dyDescent="0.3">
      <c r="B588" s="661"/>
      <c r="E588" s="661"/>
      <c r="F588" s="661"/>
    </row>
    <row r="589" spans="2:6" x14ac:dyDescent="0.3">
      <c r="B589" s="661"/>
      <c r="E589" s="661"/>
      <c r="F589" s="661"/>
    </row>
    <row r="590" spans="2:6" x14ac:dyDescent="0.3">
      <c r="B590" s="661"/>
      <c r="E590" s="661"/>
      <c r="F590" s="661"/>
    </row>
    <row r="591" spans="2:6" x14ac:dyDescent="0.3">
      <c r="B591" s="661"/>
      <c r="E591" s="661"/>
      <c r="F591" s="661"/>
    </row>
    <row r="592" spans="2:6" x14ac:dyDescent="0.3">
      <c r="B592" s="661"/>
      <c r="E592" s="661"/>
      <c r="F592" s="661"/>
    </row>
    <row r="593" spans="2:6" x14ac:dyDescent="0.3">
      <c r="B593" s="661"/>
      <c r="E593" s="661"/>
      <c r="F593" s="661"/>
    </row>
    <row r="594" spans="2:6" x14ac:dyDescent="0.3">
      <c r="B594" s="661"/>
      <c r="E594" s="661"/>
      <c r="F594" s="661"/>
    </row>
    <row r="595" spans="2:6" x14ac:dyDescent="0.3">
      <c r="B595" s="661"/>
      <c r="E595" s="661"/>
      <c r="F595" s="661"/>
    </row>
    <row r="596" spans="2:6" x14ac:dyDescent="0.3">
      <c r="B596" s="661"/>
      <c r="E596" s="661"/>
      <c r="F596" s="661"/>
    </row>
    <row r="597" spans="2:6" x14ac:dyDescent="0.3">
      <c r="B597" s="661"/>
      <c r="E597" s="661"/>
      <c r="F597" s="661"/>
    </row>
    <row r="598" spans="2:6" x14ac:dyDescent="0.3">
      <c r="B598" s="661"/>
      <c r="E598" s="661"/>
      <c r="F598" s="661"/>
    </row>
    <row r="599" spans="2:6" x14ac:dyDescent="0.3">
      <c r="B599" s="661"/>
      <c r="E599" s="661"/>
      <c r="F599" s="661"/>
    </row>
    <row r="600" spans="2:6" x14ac:dyDescent="0.3">
      <c r="B600" s="661"/>
      <c r="E600" s="661"/>
      <c r="F600" s="661"/>
    </row>
    <row r="601" spans="2:6" x14ac:dyDescent="0.3">
      <c r="B601" s="661"/>
      <c r="E601" s="661"/>
      <c r="F601" s="661"/>
    </row>
    <row r="602" spans="2:6" x14ac:dyDescent="0.3">
      <c r="B602" s="661"/>
      <c r="E602" s="661"/>
      <c r="F602" s="661"/>
    </row>
    <row r="603" spans="2:6" x14ac:dyDescent="0.3">
      <c r="B603" s="661"/>
      <c r="E603" s="661"/>
      <c r="F603" s="661"/>
    </row>
    <row r="604" spans="2:6" x14ac:dyDescent="0.3">
      <c r="B604" s="661"/>
      <c r="E604" s="661"/>
      <c r="F604" s="661"/>
    </row>
    <row r="605" spans="2:6" x14ac:dyDescent="0.3">
      <c r="B605" s="661"/>
      <c r="E605" s="661"/>
      <c r="F605" s="661"/>
    </row>
    <row r="606" spans="2:6" x14ac:dyDescent="0.3">
      <c r="B606" s="661"/>
      <c r="E606" s="661"/>
      <c r="F606" s="661"/>
    </row>
    <row r="607" spans="2:6" x14ac:dyDescent="0.3">
      <c r="B607" s="661"/>
      <c r="E607" s="661"/>
      <c r="F607" s="661"/>
    </row>
    <row r="608" spans="2:6" x14ac:dyDescent="0.3">
      <c r="B608" s="661"/>
      <c r="E608" s="661"/>
      <c r="F608" s="661"/>
    </row>
    <row r="609" spans="2:6" x14ac:dyDescent="0.3">
      <c r="B609" s="661"/>
      <c r="E609" s="661"/>
      <c r="F609" s="661"/>
    </row>
    <row r="610" spans="2:6" x14ac:dyDescent="0.3">
      <c r="B610" s="661"/>
      <c r="E610" s="661"/>
      <c r="F610" s="661"/>
    </row>
    <row r="611" spans="2:6" x14ac:dyDescent="0.3">
      <c r="B611" s="661"/>
      <c r="E611" s="661"/>
      <c r="F611" s="661"/>
    </row>
    <row r="612" spans="2:6" x14ac:dyDescent="0.3">
      <c r="B612" s="661"/>
      <c r="E612" s="661"/>
      <c r="F612" s="661"/>
    </row>
    <row r="613" spans="2:6" x14ac:dyDescent="0.3">
      <c r="B613" s="661"/>
      <c r="E613" s="661"/>
      <c r="F613" s="661"/>
    </row>
    <row r="614" spans="2:6" x14ac:dyDescent="0.3">
      <c r="B614" s="661"/>
      <c r="E614" s="661"/>
      <c r="F614" s="661"/>
    </row>
    <row r="615" spans="2:6" x14ac:dyDescent="0.3">
      <c r="B615" s="661"/>
      <c r="E615" s="661"/>
      <c r="F615" s="661"/>
    </row>
    <row r="616" spans="2:6" x14ac:dyDescent="0.3">
      <c r="B616" s="661"/>
      <c r="E616" s="661"/>
      <c r="F616" s="661"/>
    </row>
    <row r="617" spans="2:6" x14ac:dyDescent="0.3">
      <c r="B617" s="661"/>
      <c r="E617" s="661"/>
      <c r="F617" s="661"/>
    </row>
    <row r="618" spans="2:6" x14ac:dyDescent="0.3">
      <c r="B618" s="661"/>
      <c r="E618" s="661"/>
      <c r="F618" s="661"/>
    </row>
    <row r="619" spans="2:6" x14ac:dyDescent="0.3">
      <c r="B619" s="661"/>
      <c r="E619" s="661"/>
      <c r="F619" s="661"/>
    </row>
    <row r="620" spans="2:6" x14ac:dyDescent="0.3">
      <c r="B620" s="661"/>
      <c r="E620" s="661"/>
      <c r="F620" s="661"/>
    </row>
    <row r="621" spans="2:6" x14ac:dyDescent="0.3">
      <c r="B621" s="661"/>
      <c r="E621" s="661"/>
      <c r="F621" s="661"/>
    </row>
    <row r="622" spans="2:6" x14ac:dyDescent="0.3">
      <c r="B622" s="661"/>
      <c r="E622" s="661"/>
      <c r="F622" s="661"/>
    </row>
    <row r="623" spans="2:6" x14ac:dyDescent="0.3">
      <c r="B623" s="661"/>
      <c r="E623" s="661"/>
      <c r="F623" s="661"/>
    </row>
    <row r="624" spans="2:6" x14ac:dyDescent="0.3">
      <c r="B624" s="661"/>
      <c r="E624" s="661"/>
      <c r="F624" s="661"/>
    </row>
    <row r="625" spans="2:6" x14ac:dyDescent="0.3">
      <c r="B625" s="661"/>
      <c r="E625" s="661"/>
      <c r="F625" s="661"/>
    </row>
    <row r="626" spans="2:6" x14ac:dyDescent="0.3">
      <c r="B626" s="661"/>
      <c r="E626" s="661"/>
      <c r="F626" s="661"/>
    </row>
    <row r="627" spans="2:6" x14ac:dyDescent="0.3">
      <c r="B627" s="661"/>
      <c r="E627" s="661"/>
      <c r="F627" s="661"/>
    </row>
    <row r="628" spans="2:6" x14ac:dyDescent="0.3">
      <c r="B628" s="661"/>
      <c r="E628" s="661"/>
      <c r="F628" s="661"/>
    </row>
    <row r="629" spans="2:6" x14ac:dyDescent="0.3">
      <c r="B629" s="661"/>
      <c r="E629" s="661"/>
      <c r="F629" s="661"/>
    </row>
    <row r="630" spans="2:6" x14ac:dyDescent="0.3">
      <c r="B630" s="661"/>
      <c r="E630" s="661"/>
      <c r="F630" s="661"/>
    </row>
    <row r="631" spans="2:6" x14ac:dyDescent="0.3">
      <c r="B631" s="661"/>
      <c r="E631" s="661"/>
      <c r="F631" s="661"/>
    </row>
    <row r="632" spans="2:6" x14ac:dyDescent="0.3">
      <c r="B632" s="661"/>
      <c r="E632" s="661"/>
      <c r="F632" s="661"/>
    </row>
    <row r="633" spans="2:6" x14ac:dyDescent="0.3">
      <c r="B633" s="661"/>
      <c r="E633" s="661"/>
      <c r="F633" s="661"/>
    </row>
    <row r="634" spans="2:6" x14ac:dyDescent="0.3">
      <c r="B634" s="661"/>
      <c r="E634" s="661"/>
      <c r="F634" s="661"/>
    </row>
    <row r="635" spans="2:6" x14ac:dyDescent="0.3">
      <c r="B635" s="661"/>
      <c r="E635" s="661"/>
      <c r="F635" s="661"/>
    </row>
    <row r="636" spans="2:6" x14ac:dyDescent="0.3">
      <c r="B636" s="661"/>
      <c r="E636" s="661"/>
      <c r="F636" s="661"/>
    </row>
    <row r="637" spans="2:6" x14ac:dyDescent="0.3">
      <c r="B637" s="661"/>
      <c r="E637" s="661"/>
      <c r="F637" s="661"/>
    </row>
    <row r="638" spans="2:6" x14ac:dyDescent="0.3">
      <c r="B638" s="661"/>
      <c r="E638" s="661"/>
      <c r="F638" s="661"/>
    </row>
    <row r="639" spans="2:6" x14ac:dyDescent="0.3">
      <c r="B639" s="661"/>
      <c r="E639" s="661"/>
      <c r="F639" s="661"/>
    </row>
    <row r="640" spans="2:6" x14ac:dyDescent="0.3">
      <c r="B640" s="661"/>
      <c r="E640" s="661"/>
      <c r="F640" s="661"/>
    </row>
    <row r="641" spans="2:6" x14ac:dyDescent="0.3">
      <c r="B641" s="661"/>
      <c r="E641" s="661"/>
      <c r="F641" s="661"/>
    </row>
    <row r="642" spans="2:6" x14ac:dyDescent="0.3">
      <c r="B642" s="661"/>
      <c r="E642" s="661"/>
      <c r="F642" s="661"/>
    </row>
    <row r="643" spans="2:6" x14ac:dyDescent="0.3">
      <c r="B643" s="661"/>
      <c r="E643" s="661"/>
      <c r="F643" s="661"/>
    </row>
    <row r="644" spans="2:6" x14ac:dyDescent="0.3">
      <c r="B644" s="661"/>
      <c r="E644" s="661"/>
      <c r="F644" s="661"/>
    </row>
    <row r="645" spans="2:6" x14ac:dyDescent="0.3">
      <c r="B645" s="661"/>
      <c r="E645" s="661"/>
      <c r="F645" s="661"/>
    </row>
    <row r="646" spans="2:6" x14ac:dyDescent="0.3">
      <c r="B646" s="661"/>
      <c r="E646" s="661"/>
      <c r="F646" s="661"/>
    </row>
    <row r="647" spans="2:6" x14ac:dyDescent="0.3">
      <c r="B647" s="661"/>
      <c r="E647" s="661"/>
      <c r="F647" s="661"/>
    </row>
    <row r="648" spans="2:6" x14ac:dyDescent="0.3">
      <c r="B648" s="661"/>
      <c r="E648" s="661"/>
      <c r="F648" s="661"/>
    </row>
    <row r="649" spans="2:6" x14ac:dyDescent="0.3">
      <c r="B649" s="661"/>
      <c r="E649" s="661"/>
      <c r="F649" s="661"/>
    </row>
    <row r="650" spans="2:6" x14ac:dyDescent="0.3">
      <c r="B650" s="661"/>
      <c r="E650" s="661"/>
      <c r="F650" s="661"/>
    </row>
    <row r="651" spans="2:6" x14ac:dyDescent="0.3">
      <c r="B651" s="661"/>
      <c r="E651" s="661"/>
      <c r="F651" s="661"/>
    </row>
    <row r="652" spans="2:6" x14ac:dyDescent="0.3">
      <c r="B652" s="661"/>
      <c r="E652" s="661"/>
      <c r="F652" s="661"/>
    </row>
    <row r="653" spans="2:6" x14ac:dyDescent="0.3">
      <c r="B653" s="661"/>
      <c r="E653" s="661"/>
      <c r="F653" s="661"/>
    </row>
    <row r="654" spans="2:6" x14ac:dyDescent="0.3">
      <c r="B654" s="661"/>
      <c r="E654" s="661"/>
      <c r="F654" s="661"/>
    </row>
    <row r="655" spans="2:6" x14ac:dyDescent="0.3">
      <c r="B655" s="661"/>
      <c r="E655" s="661"/>
      <c r="F655" s="661"/>
    </row>
    <row r="656" spans="2:6" x14ac:dyDescent="0.3">
      <c r="B656" s="661"/>
      <c r="E656" s="661"/>
      <c r="F656" s="661"/>
    </row>
    <row r="657" spans="2:6" x14ac:dyDescent="0.3">
      <c r="B657" s="661"/>
      <c r="E657" s="661"/>
      <c r="F657" s="661"/>
    </row>
    <row r="658" spans="2:6" x14ac:dyDescent="0.3">
      <c r="B658" s="661"/>
      <c r="E658" s="661"/>
      <c r="F658" s="661"/>
    </row>
    <row r="659" spans="2:6" x14ac:dyDescent="0.3">
      <c r="B659" s="661"/>
      <c r="E659" s="661"/>
      <c r="F659" s="661"/>
    </row>
    <row r="660" spans="2:6" x14ac:dyDescent="0.3">
      <c r="B660" s="661"/>
      <c r="E660" s="661"/>
      <c r="F660" s="661"/>
    </row>
    <row r="661" spans="2:6" x14ac:dyDescent="0.3">
      <c r="B661" s="661"/>
      <c r="E661" s="661"/>
      <c r="F661" s="661"/>
    </row>
    <row r="662" spans="2:6" x14ac:dyDescent="0.3">
      <c r="B662" s="661"/>
      <c r="E662" s="661"/>
      <c r="F662" s="661"/>
    </row>
    <row r="663" spans="2:6" x14ac:dyDescent="0.3">
      <c r="B663" s="661"/>
      <c r="E663" s="661"/>
      <c r="F663" s="661"/>
    </row>
    <row r="664" spans="2:6" x14ac:dyDescent="0.3">
      <c r="B664" s="661"/>
      <c r="E664" s="661"/>
      <c r="F664" s="661"/>
    </row>
    <row r="665" spans="2:6" x14ac:dyDescent="0.3">
      <c r="B665" s="661"/>
      <c r="E665" s="661"/>
      <c r="F665" s="661"/>
    </row>
    <row r="666" spans="2:6" x14ac:dyDescent="0.3">
      <c r="B666" s="661"/>
      <c r="E666" s="661"/>
      <c r="F666" s="661"/>
    </row>
    <row r="667" spans="2:6" x14ac:dyDescent="0.3">
      <c r="B667" s="661"/>
      <c r="E667" s="661"/>
      <c r="F667" s="661"/>
    </row>
    <row r="668" spans="2:6" x14ac:dyDescent="0.3">
      <c r="B668" s="661"/>
      <c r="E668" s="661"/>
      <c r="F668" s="661"/>
    </row>
    <row r="669" spans="2:6" x14ac:dyDescent="0.3">
      <c r="B669" s="661"/>
      <c r="E669" s="661"/>
      <c r="F669" s="661"/>
    </row>
    <row r="670" spans="2:6" x14ac:dyDescent="0.3">
      <c r="B670" s="661"/>
      <c r="E670" s="661"/>
      <c r="F670" s="661"/>
    </row>
    <row r="671" spans="2:6" x14ac:dyDescent="0.3">
      <c r="B671" s="661"/>
      <c r="E671" s="661"/>
      <c r="F671" s="661"/>
    </row>
    <row r="672" spans="2:6" x14ac:dyDescent="0.3">
      <c r="B672" s="661"/>
      <c r="E672" s="661"/>
      <c r="F672" s="661"/>
    </row>
    <row r="673" spans="2:6" x14ac:dyDescent="0.3">
      <c r="B673" s="661"/>
      <c r="E673" s="661"/>
      <c r="F673" s="661"/>
    </row>
    <row r="674" spans="2:6" x14ac:dyDescent="0.3">
      <c r="B674" s="661"/>
      <c r="E674" s="661"/>
      <c r="F674" s="661"/>
    </row>
    <row r="675" spans="2:6" x14ac:dyDescent="0.3">
      <c r="B675" s="661"/>
      <c r="E675" s="661"/>
      <c r="F675" s="661"/>
    </row>
    <row r="676" spans="2:6" x14ac:dyDescent="0.3">
      <c r="B676" s="661"/>
      <c r="E676" s="661"/>
      <c r="F676" s="661"/>
    </row>
    <row r="677" spans="2:6" x14ac:dyDescent="0.3">
      <c r="B677" s="661"/>
      <c r="E677" s="661"/>
      <c r="F677" s="661"/>
    </row>
    <row r="678" spans="2:6" x14ac:dyDescent="0.3">
      <c r="B678" s="661"/>
      <c r="E678" s="661"/>
      <c r="F678" s="661"/>
    </row>
    <row r="679" spans="2:6" x14ac:dyDescent="0.3">
      <c r="B679" s="661"/>
      <c r="E679" s="661"/>
      <c r="F679" s="661"/>
    </row>
    <row r="680" spans="2:6" x14ac:dyDescent="0.3">
      <c r="B680" s="661"/>
      <c r="E680" s="661"/>
      <c r="F680" s="661"/>
    </row>
    <row r="681" spans="2:6" x14ac:dyDescent="0.3">
      <c r="B681" s="661"/>
      <c r="E681" s="661"/>
      <c r="F681" s="661"/>
    </row>
    <row r="682" spans="2:6" x14ac:dyDescent="0.3">
      <c r="B682" s="661"/>
      <c r="E682" s="661"/>
      <c r="F682" s="661"/>
    </row>
    <row r="683" spans="2:6" x14ac:dyDescent="0.3">
      <c r="B683" s="661"/>
      <c r="E683" s="661"/>
      <c r="F683" s="661"/>
    </row>
    <row r="684" spans="2:6" x14ac:dyDescent="0.3">
      <c r="B684" s="661"/>
      <c r="E684" s="661"/>
      <c r="F684" s="661"/>
    </row>
    <row r="685" spans="2:6" x14ac:dyDescent="0.3">
      <c r="B685" s="661"/>
      <c r="E685" s="661"/>
      <c r="F685" s="661"/>
    </row>
    <row r="686" spans="2:6" x14ac:dyDescent="0.3">
      <c r="B686" s="661"/>
      <c r="E686" s="661"/>
      <c r="F686" s="661"/>
    </row>
    <row r="687" spans="2:6" x14ac:dyDescent="0.3">
      <c r="B687" s="661"/>
      <c r="E687" s="661"/>
      <c r="F687" s="661"/>
    </row>
    <row r="688" spans="2:6" x14ac:dyDescent="0.3">
      <c r="B688" s="661"/>
      <c r="E688" s="661"/>
      <c r="F688" s="661"/>
    </row>
    <row r="689" spans="2:6" x14ac:dyDescent="0.3">
      <c r="B689" s="661"/>
      <c r="E689" s="661"/>
      <c r="F689" s="661"/>
    </row>
    <row r="690" spans="2:6" x14ac:dyDescent="0.3">
      <c r="B690" s="661"/>
      <c r="E690" s="661"/>
      <c r="F690" s="661"/>
    </row>
    <row r="691" spans="2:6" x14ac:dyDescent="0.3">
      <c r="B691" s="661"/>
      <c r="E691" s="661"/>
      <c r="F691" s="661"/>
    </row>
    <row r="692" spans="2:6" x14ac:dyDescent="0.3">
      <c r="B692" s="661"/>
      <c r="E692" s="661"/>
      <c r="F692" s="661"/>
    </row>
    <row r="693" spans="2:6" x14ac:dyDescent="0.3">
      <c r="B693" s="661"/>
      <c r="E693" s="661"/>
      <c r="F693" s="661"/>
    </row>
    <row r="694" spans="2:6" x14ac:dyDescent="0.3">
      <c r="B694" s="661"/>
      <c r="E694" s="661"/>
      <c r="F694" s="661"/>
    </row>
    <row r="695" spans="2:6" x14ac:dyDescent="0.3">
      <c r="B695" s="661"/>
      <c r="E695" s="661"/>
      <c r="F695" s="661"/>
    </row>
    <row r="696" spans="2:6" x14ac:dyDescent="0.3">
      <c r="B696" s="661"/>
      <c r="E696" s="661"/>
      <c r="F696" s="661"/>
    </row>
    <row r="697" spans="2:6" x14ac:dyDescent="0.3">
      <c r="B697" s="661"/>
      <c r="E697" s="661"/>
      <c r="F697" s="661"/>
    </row>
    <row r="698" spans="2:6" x14ac:dyDescent="0.3">
      <c r="B698" s="661"/>
      <c r="E698" s="661"/>
      <c r="F698" s="661"/>
    </row>
    <row r="699" spans="2:6" x14ac:dyDescent="0.3">
      <c r="B699" s="661"/>
      <c r="E699" s="661"/>
      <c r="F699" s="661"/>
    </row>
    <row r="700" spans="2:6" x14ac:dyDescent="0.3">
      <c r="B700" s="661"/>
      <c r="E700" s="661"/>
      <c r="F700" s="661"/>
    </row>
    <row r="701" spans="2:6" x14ac:dyDescent="0.3">
      <c r="B701" s="661"/>
      <c r="E701" s="661"/>
      <c r="F701" s="661"/>
    </row>
    <row r="702" spans="2:6" x14ac:dyDescent="0.3">
      <c r="B702" s="661"/>
      <c r="E702" s="661"/>
      <c r="F702" s="661"/>
    </row>
    <row r="703" spans="2:6" x14ac:dyDescent="0.3">
      <c r="B703" s="661"/>
      <c r="E703" s="661"/>
      <c r="F703" s="661"/>
    </row>
    <row r="704" spans="2:6" x14ac:dyDescent="0.3">
      <c r="B704" s="661"/>
      <c r="E704" s="661"/>
      <c r="F704" s="661"/>
    </row>
    <row r="705" spans="2:6" x14ac:dyDescent="0.3">
      <c r="B705" s="661"/>
      <c r="E705" s="661"/>
      <c r="F705" s="661"/>
    </row>
    <row r="706" spans="2:6" x14ac:dyDescent="0.3">
      <c r="B706" s="661"/>
      <c r="E706" s="661"/>
      <c r="F706" s="661"/>
    </row>
    <row r="707" spans="2:6" x14ac:dyDescent="0.3">
      <c r="B707" s="661"/>
      <c r="E707" s="661"/>
      <c r="F707" s="661"/>
    </row>
    <row r="708" spans="2:6" x14ac:dyDescent="0.3">
      <c r="B708" s="661"/>
      <c r="E708" s="661"/>
      <c r="F708" s="661"/>
    </row>
    <row r="709" spans="2:6" x14ac:dyDescent="0.3">
      <c r="B709" s="661"/>
      <c r="E709" s="661"/>
      <c r="F709" s="661"/>
    </row>
    <row r="710" spans="2:6" x14ac:dyDescent="0.3">
      <c r="B710" s="661"/>
      <c r="E710" s="661"/>
      <c r="F710" s="661"/>
    </row>
    <row r="711" spans="2:6" x14ac:dyDescent="0.3">
      <c r="B711" s="661"/>
      <c r="E711" s="661"/>
      <c r="F711" s="661"/>
    </row>
    <row r="712" spans="2:6" x14ac:dyDescent="0.3">
      <c r="B712" s="661"/>
      <c r="E712" s="661"/>
      <c r="F712" s="661"/>
    </row>
    <row r="713" spans="2:6" x14ac:dyDescent="0.3">
      <c r="B713" s="661"/>
      <c r="E713" s="661"/>
      <c r="F713" s="661"/>
    </row>
    <row r="714" spans="2:6" x14ac:dyDescent="0.3">
      <c r="B714" s="661"/>
      <c r="E714" s="661"/>
      <c r="F714" s="661"/>
    </row>
    <row r="715" spans="2:6" x14ac:dyDescent="0.3">
      <c r="B715" s="661"/>
      <c r="E715" s="661"/>
      <c r="F715" s="661"/>
    </row>
    <row r="716" spans="2:6" x14ac:dyDescent="0.3">
      <c r="B716" s="661"/>
      <c r="E716" s="661"/>
      <c r="F716" s="661"/>
    </row>
    <row r="717" spans="2:6" x14ac:dyDescent="0.3">
      <c r="B717" s="661"/>
      <c r="E717" s="661"/>
      <c r="F717" s="661"/>
    </row>
    <row r="718" spans="2:6" x14ac:dyDescent="0.3">
      <c r="B718" s="661"/>
      <c r="E718" s="661"/>
      <c r="F718" s="661"/>
    </row>
    <row r="719" spans="2:6" x14ac:dyDescent="0.3">
      <c r="B719" s="661"/>
      <c r="E719" s="661"/>
      <c r="F719" s="661"/>
    </row>
    <row r="720" spans="2:6" x14ac:dyDescent="0.3">
      <c r="B720" s="661"/>
      <c r="E720" s="661"/>
      <c r="F720" s="661"/>
    </row>
    <row r="721" spans="2:6" x14ac:dyDescent="0.3">
      <c r="B721" s="661"/>
      <c r="E721" s="661"/>
      <c r="F721" s="661"/>
    </row>
    <row r="722" spans="2:6" x14ac:dyDescent="0.3">
      <c r="B722" s="661"/>
      <c r="E722" s="661"/>
      <c r="F722" s="661"/>
    </row>
    <row r="723" spans="2:6" x14ac:dyDescent="0.3">
      <c r="B723" s="661"/>
      <c r="E723" s="661"/>
      <c r="F723" s="661"/>
    </row>
    <row r="724" spans="2:6" x14ac:dyDescent="0.3">
      <c r="B724" s="661"/>
      <c r="E724" s="661"/>
      <c r="F724" s="661"/>
    </row>
    <row r="725" spans="2:6" x14ac:dyDescent="0.3">
      <c r="B725" s="661"/>
      <c r="E725" s="661"/>
      <c r="F725" s="661"/>
    </row>
    <row r="726" spans="2:6" x14ac:dyDescent="0.3">
      <c r="B726" s="661"/>
      <c r="E726" s="661"/>
      <c r="F726" s="661"/>
    </row>
    <row r="727" spans="2:6" x14ac:dyDescent="0.3">
      <c r="B727" s="661"/>
      <c r="E727" s="661"/>
      <c r="F727" s="661"/>
    </row>
    <row r="728" spans="2:6" x14ac:dyDescent="0.3">
      <c r="B728" s="661"/>
      <c r="E728" s="661"/>
      <c r="F728" s="661"/>
    </row>
    <row r="729" spans="2:6" x14ac:dyDescent="0.3">
      <c r="B729" s="661"/>
      <c r="E729" s="661"/>
      <c r="F729" s="661"/>
    </row>
    <row r="730" spans="2:6" x14ac:dyDescent="0.3">
      <c r="B730" s="661"/>
      <c r="E730" s="661"/>
      <c r="F730" s="661"/>
    </row>
    <row r="731" spans="2:6" x14ac:dyDescent="0.3">
      <c r="B731" s="661"/>
      <c r="E731" s="661"/>
      <c r="F731" s="661"/>
    </row>
    <row r="732" spans="2:6" x14ac:dyDescent="0.3">
      <c r="B732" s="661"/>
      <c r="E732" s="661"/>
      <c r="F732" s="661"/>
    </row>
    <row r="733" spans="2:6" x14ac:dyDescent="0.3">
      <c r="B733" s="661"/>
      <c r="E733" s="661"/>
      <c r="F733" s="661"/>
    </row>
    <row r="734" spans="2:6" x14ac:dyDescent="0.3">
      <c r="B734" s="661"/>
      <c r="E734" s="661"/>
      <c r="F734" s="661"/>
    </row>
    <row r="735" spans="2:6" x14ac:dyDescent="0.3">
      <c r="B735" s="661"/>
      <c r="E735" s="661"/>
      <c r="F735" s="661"/>
    </row>
    <row r="736" spans="2:6" x14ac:dyDescent="0.3">
      <c r="B736" s="661"/>
      <c r="E736" s="661"/>
      <c r="F736" s="661"/>
    </row>
    <row r="737" spans="2:6" x14ac:dyDescent="0.3">
      <c r="B737" s="661"/>
      <c r="E737" s="661"/>
      <c r="F737" s="661"/>
    </row>
    <row r="738" spans="2:6" x14ac:dyDescent="0.3">
      <c r="B738" s="661"/>
      <c r="E738" s="661"/>
      <c r="F738" s="661"/>
    </row>
    <row r="739" spans="2:6" x14ac:dyDescent="0.3">
      <c r="B739" s="661"/>
      <c r="E739" s="661"/>
      <c r="F739" s="661"/>
    </row>
    <row r="740" spans="2:6" x14ac:dyDescent="0.3">
      <c r="B740" s="661"/>
      <c r="E740" s="661"/>
      <c r="F740" s="661"/>
    </row>
    <row r="741" spans="2:6" x14ac:dyDescent="0.3">
      <c r="B741" s="661"/>
      <c r="E741" s="661"/>
      <c r="F741" s="661"/>
    </row>
    <row r="742" spans="2:6" x14ac:dyDescent="0.3">
      <c r="B742" s="661"/>
      <c r="E742" s="661"/>
      <c r="F742" s="661"/>
    </row>
    <row r="743" spans="2:6" x14ac:dyDescent="0.3">
      <c r="B743" s="661"/>
      <c r="E743" s="661"/>
      <c r="F743" s="661"/>
    </row>
    <row r="744" spans="2:6" x14ac:dyDescent="0.3">
      <c r="B744" s="661"/>
      <c r="E744" s="661"/>
      <c r="F744" s="661"/>
    </row>
    <row r="745" spans="2:6" x14ac:dyDescent="0.3">
      <c r="B745" s="661"/>
      <c r="E745" s="661"/>
      <c r="F745" s="661"/>
    </row>
    <row r="746" spans="2:6" x14ac:dyDescent="0.3">
      <c r="B746" s="661"/>
      <c r="E746" s="661"/>
      <c r="F746" s="661"/>
    </row>
    <row r="747" spans="2:6" x14ac:dyDescent="0.3">
      <c r="B747" s="661"/>
      <c r="E747" s="661"/>
      <c r="F747" s="661"/>
    </row>
    <row r="748" spans="2:6" x14ac:dyDescent="0.3">
      <c r="B748" s="661"/>
      <c r="E748" s="661"/>
      <c r="F748" s="661"/>
    </row>
    <row r="749" spans="2:6" x14ac:dyDescent="0.3">
      <c r="B749" s="661"/>
      <c r="E749" s="661"/>
      <c r="F749" s="661"/>
    </row>
    <row r="750" spans="2:6" x14ac:dyDescent="0.3">
      <c r="B750" s="661"/>
      <c r="E750" s="661"/>
      <c r="F750" s="661"/>
    </row>
    <row r="751" spans="2:6" x14ac:dyDescent="0.3">
      <c r="B751" s="661"/>
      <c r="E751" s="661"/>
      <c r="F751" s="661"/>
    </row>
    <row r="752" spans="2:6" x14ac:dyDescent="0.3">
      <c r="B752" s="661"/>
      <c r="E752" s="661"/>
      <c r="F752" s="661"/>
    </row>
    <row r="753" spans="2:6" x14ac:dyDescent="0.3">
      <c r="B753" s="661"/>
      <c r="E753" s="661"/>
      <c r="F753" s="661"/>
    </row>
    <row r="754" spans="2:6" x14ac:dyDescent="0.3">
      <c r="B754" s="661"/>
      <c r="E754" s="661"/>
      <c r="F754" s="661"/>
    </row>
    <row r="755" spans="2:6" x14ac:dyDescent="0.3">
      <c r="B755" s="661"/>
      <c r="E755" s="661"/>
      <c r="F755" s="661"/>
    </row>
    <row r="756" spans="2:6" x14ac:dyDescent="0.3">
      <c r="B756" s="661"/>
      <c r="E756" s="661"/>
      <c r="F756" s="661"/>
    </row>
    <row r="757" spans="2:6" x14ac:dyDescent="0.3">
      <c r="B757" s="661"/>
      <c r="E757" s="661"/>
      <c r="F757" s="661"/>
    </row>
    <row r="758" spans="2:6" x14ac:dyDescent="0.3">
      <c r="B758" s="661"/>
      <c r="E758" s="661"/>
      <c r="F758" s="661"/>
    </row>
    <row r="759" spans="2:6" x14ac:dyDescent="0.3">
      <c r="B759" s="661"/>
      <c r="E759" s="661"/>
      <c r="F759" s="661"/>
    </row>
    <row r="760" spans="2:6" x14ac:dyDescent="0.3">
      <c r="B760" s="661"/>
      <c r="E760" s="661"/>
      <c r="F760" s="661"/>
    </row>
    <row r="761" spans="2:6" x14ac:dyDescent="0.3">
      <c r="B761" s="661"/>
      <c r="E761" s="661"/>
      <c r="F761" s="661"/>
    </row>
    <row r="762" spans="2:6" x14ac:dyDescent="0.3">
      <c r="B762" s="661"/>
      <c r="E762" s="661"/>
      <c r="F762" s="661"/>
    </row>
    <row r="763" spans="2:6" x14ac:dyDescent="0.3">
      <c r="B763" s="661"/>
      <c r="E763" s="661"/>
      <c r="F763" s="661"/>
    </row>
    <row r="764" spans="2:6" x14ac:dyDescent="0.3">
      <c r="B764" s="661"/>
      <c r="E764" s="661"/>
      <c r="F764" s="661"/>
    </row>
    <row r="765" spans="2:6" x14ac:dyDescent="0.3">
      <c r="B765" s="661"/>
      <c r="E765" s="661"/>
      <c r="F765" s="661"/>
    </row>
    <row r="766" spans="2:6" x14ac:dyDescent="0.3">
      <c r="B766" s="661"/>
      <c r="E766" s="661"/>
      <c r="F766" s="661"/>
    </row>
    <row r="767" spans="2:6" x14ac:dyDescent="0.3">
      <c r="B767" s="661"/>
      <c r="E767" s="661"/>
      <c r="F767" s="661"/>
    </row>
    <row r="768" spans="2:6" x14ac:dyDescent="0.3">
      <c r="B768" s="661"/>
      <c r="E768" s="661"/>
      <c r="F768" s="661"/>
    </row>
    <row r="769" spans="2:6" x14ac:dyDescent="0.3">
      <c r="B769" s="661"/>
      <c r="E769" s="661"/>
      <c r="F769" s="661"/>
    </row>
    <row r="770" spans="2:6" x14ac:dyDescent="0.3">
      <c r="B770" s="661"/>
      <c r="E770" s="661"/>
      <c r="F770" s="661"/>
    </row>
    <row r="771" spans="2:6" x14ac:dyDescent="0.3">
      <c r="B771" s="661"/>
      <c r="E771" s="661"/>
      <c r="F771" s="661"/>
    </row>
    <row r="772" spans="2:6" x14ac:dyDescent="0.3">
      <c r="B772" s="661"/>
      <c r="E772" s="661"/>
      <c r="F772" s="661"/>
    </row>
    <row r="773" spans="2:6" x14ac:dyDescent="0.3">
      <c r="B773" s="661"/>
      <c r="E773" s="661"/>
      <c r="F773" s="661"/>
    </row>
    <row r="774" spans="2:6" x14ac:dyDescent="0.3">
      <c r="B774" s="661"/>
      <c r="E774" s="661"/>
      <c r="F774" s="661"/>
    </row>
    <row r="775" spans="2:6" x14ac:dyDescent="0.3">
      <c r="B775" s="661"/>
      <c r="E775" s="661"/>
      <c r="F775" s="661"/>
    </row>
    <row r="776" spans="2:6" x14ac:dyDescent="0.3">
      <c r="B776" s="661"/>
      <c r="E776" s="661"/>
      <c r="F776" s="661"/>
    </row>
    <row r="777" spans="2:6" x14ac:dyDescent="0.3">
      <c r="B777" s="661"/>
      <c r="E777" s="661"/>
      <c r="F777" s="661"/>
    </row>
    <row r="778" spans="2:6" x14ac:dyDescent="0.3">
      <c r="B778" s="661"/>
      <c r="E778" s="661"/>
      <c r="F778" s="661"/>
    </row>
    <row r="779" spans="2:6" x14ac:dyDescent="0.3">
      <c r="B779" s="661"/>
      <c r="E779" s="661"/>
      <c r="F779" s="661"/>
    </row>
    <row r="780" spans="2:6" x14ac:dyDescent="0.3">
      <c r="B780" s="661"/>
      <c r="E780" s="661"/>
      <c r="F780" s="661"/>
    </row>
    <row r="781" spans="2:6" x14ac:dyDescent="0.3">
      <c r="B781" s="661"/>
      <c r="E781" s="661"/>
      <c r="F781" s="661"/>
    </row>
    <row r="782" spans="2:6" x14ac:dyDescent="0.3">
      <c r="B782" s="661"/>
      <c r="E782" s="661"/>
      <c r="F782" s="661"/>
    </row>
    <row r="783" spans="2:6" x14ac:dyDescent="0.3">
      <c r="B783" s="661"/>
      <c r="E783" s="661"/>
      <c r="F783" s="661"/>
    </row>
    <row r="784" spans="2:6" x14ac:dyDescent="0.3">
      <c r="B784" s="661"/>
      <c r="E784" s="661"/>
      <c r="F784" s="661"/>
    </row>
    <row r="785" spans="2:6" x14ac:dyDescent="0.3">
      <c r="B785" s="661"/>
      <c r="E785" s="661"/>
      <c r="F785" s="661"/>
    </row>
    <row r="786" spans="2:6" x14ac:dyDescent="0.3">
      <c r="B786" s="661"/>
      <c r="E786" s="661"/>
      <c r="F786" s="661"/>
    </row>
    <row r="787" spans="2:6" x14ac:dyDescent="0.3">
      <c r="B787" s="661"/>
      <c r="E787" s="661"/>
      <c r="F787" s="661"/>
    </row>
    <row r="788" spans="2:6" x14ac:dyDescent="0.3">
      <c r="B788" s="661"/>
      <c r="E788" s="661"/>
      <c r="F788" s="661"/>
    </row>
    <row r="789" spans="2:6" x14ac:dyDescent="0.3">
      <c r="B789" s="661"/>
      <c r="E789" s="661"/>
      <c r="F789" s="661"/>
    </row>
    <row r="790" spans="2:6" x14ac:dyDescent="0.3">
      <c r="B790" s="661"/>
      <c r="E790" s="661"/>
      <c r="F790" s="661"/>
    </row>
    <row r="791" spans="2:6" x14ac:dyDescent="0.3">
      <c r="B791" s="661"/>
      <c r="E791" s="661"/>
      <c r="F791" s="661"/>
    </row>
    <row r="792" spans="2:6" x14ac:dyDescent="0.3">
      <c r="B792" s="661"/>
      <c r="E792" s="661"/>
      <c r="F792" s="661"/>
    </row>
    <row r="793" spans="2:6" x14ac:dyDescent="0.3">
      <c r="B793" s="661"/>
      <c r="E793" s="661"/>
      <c r="F793" s="661"/>
    </row>
    <row r="794" spans="2:6" x14ac:dyDescent="0.3">
      <c r="B794" s="661"/>
      <c r="E794" s="661"/>
      <c r="F794" s="661"/>
    </row>
    <row r="795" spans="2:6" x14ac:dyDescent="0.3">
      <c r="B795" s="661"/>
      <c r="E795" s="661"/>
      <c r="F795" s="661"/>
    </row>
    <row r="796" spans="2:6" x14ac:dyDescent="0.3">
      <c r="B796" s="661"/>
      <c r="E796" s="661"/>
      <c r="F796" s="661"/>
    </row>
    <row r="797" spans="2:6" x14ac:dyDescent="0.3">
      <c r="B797" s="661"/>
      <c r="E797" s="661"/>
      <c r="F797" s="661"/>
    </row>
    <row r="798" spans="2:6" x14ac:dyDescent="0.3">
      <c r="B798" s="661"/>
      <c r="E798" s="661"/>
      <c r="F798" s="661"/>
    </row>
    <row r="799" spans="2:6" x14ac:dyDescent="0.3">
      <c r="B799" s="661"/>
      <c r="E799" s="661"/>
      <c r="F799" s="661"/>
    </row>
    <row r="800" spans="2:6" x14ac:dyDescent="0.3">
      <c r="B800" s="661"/>
      <c r="E800" s="661"/>
      <c r="F800" s="661"/>
    </row>
    <row r="801" spans="2:6" x14ac:dyDescent="0.3">
      <c r="B801" s="661"/>
      <c r="E801" s="661"/>
      <c r="F801" s="661"/>
    </row>
    <row r="802" spans="2:6" x14ac:dyDescent="0.3">
      <c r="B802" s="661"/>
      <c r="E802" s="661"/>
      <c r="F802" s="661"/>
    </row>
    <row r="803" spans="2:6" x14ac:dyDescent="0.3">
      <c r="B803" s="661"/>
      <c r="E803" s="661"/>
      <c r="F803" s="661"/>
    </row>
    <row r="804" spans="2:6" x14ac:dyDescent="0.3">
      <c r="B804" s="661"/>
      <c r="E804" s="661"/>
      <c r="F804" s="661"/>
    </row>
    <row r="805" spans="2:6" x14ac:dyDescent="0.3">
      <c r="B805" s="661"/>
      <c r="E805" s="661"/>
      <c r="F805" s="661"/>
    </row>
    <row r="806" spans="2:6" x14ac:dyDescent="0.3">
      <c r="B806" s="661"/>
      <c r="E806" s="661"/>
      <c r="F806" s="661"/>
    </row>
    <row r="807" spans="2:6" x14ac:dyDescent="0.3">
      <c r="B807" s="661"/>
      <c r="E807" s="661"/>
      <c r="F807" s="661"/>
    </row>
    <row r="808" spans="2:6" x14ac:dyDescent="0.3">
      <c r="B808" s="661"/>
      <c r="E808" s="661"/>
      <c r="F808" s="661"/>
    </row>
    <row r="809" spans="2:6" x14ac:dyDescent="0.3">
      <c r="B809" s="661"/>
      <c r="E809" s="661"/>
      <c r="F809" s="661"/>
    </row>
    <row r="810" spans="2:6" x14ac:dyDescent="0.3">
      <c r="B810" s="661"/>
      <c r="E810" s="661"/>
      <c r="F810" s="661"/>
    </row>
    <row r="811" spans="2:6" x14ac:dyDescent="0.3">
      <c r="B811" s="661"/>
      <c r="E811" s="661"/>
      <c r="F811" s="661"/>
    </row>
    <row r="812" spans="2:6" x14ac:dyDescent="0.3">
      <c r="B812" s="661"/>
      <c r="E812" s="661"/>
      <c r="F812" s="661"/>
    </row>
    <row r="813" spans="2:6" x14ac:dyDescent="0.3">
      <c r="B813" s="661"/>
      <c r="E813" s="661"/>
      <c r="F813" s="661"/>
    </row>
    <row r="814" spans="2:6" x14ac:dyDescent="0.3">
      <c r="B814" s="661"/>
      <c r="E814" s="661"/>
      <c r="F814" s="661"/>
    </row>
    <row r="815" spans="2:6" x14ac:dyDescent="0.3">
      <c r="B815" s="661"/>
      <c r="E815" s="661"/>
      <c r="F815" s="661"/>
    </row>
    <row r="816" spans="2:6" x14ac:dyDescent="0.3">
      <c r="B816" s="661"/>
      <c r="E816" s="661"/>
      <c r="F816" s="661"/>
    </row>
    <row r="817" spans="2:6" x14ac:dyDescent="0.3">
      <c r="B817" s="661"/>
      <c r="E817" s="661"/>
      <c r="F817" s="661"/>
    </row>
    <row r="818" spans="2:6" x14ac:dyDescent="0.3">
      <c r="B818" s="661"/>
      <c r="E818" s="661"/>
      <c r="F818" s="661"/>
    </row>
    <row r="819" spans="2:6" x14ac:dyDescent="0.3">
      <c r="B819" s="661"/>
      <c r="E819" s="661"/>
      <c r="F819" s="661"/>
    </row>
    <row r="820" spans="2:6" x14ac:dyDescent="0.3">
      <c r="B820" s="661"/>
      <c r="E820" s="661"/>
      <c r="F820" s="661"/>
    </row>
    <row r="821" spans="2:6" x14ac:dyDescent="0.3">
      <c r="B821" s="661"/>
      <c r="E821" s="661"/>
      <c r="F821" s="661"/>
    </row>
    <row r="822" spans="2:6" x14ac:dyDescent="0.3">
      <c r="B822" s="661"/>
      <c r="E822" s="661"/>
      <c r="F822" s="661"/>
    </row>
    <row r="823" spans="2:6" x14ac:dyDescent="0.3">
      <c r="B823" s="661"/>
      <c r="E823" s="661"/>
      <c r="F823" s="661"/>
    </row>
    <row r="824" spans="2:6" x14ac:dyDescent="0.3">
      <c r="B824" s="661"/>
      <c r="E824" s="661"/>
      <c r="F824" s="661"/>
    </row>
    <row r="825" spans="2:6" x14ac:dyDescent="0.3">
      <c r="B825" s="661"/>
      <c r="E825" s="661"/>
      <c r="F825" s="661"/>
    </row>
    <row r="826" spans="2:6" x14ac:dyDescent="0.3">
      <c r="B826" s="661"/>
      <c r="E826" s="661"/>
      <c r="F826" s="661"/>
    </row>
    <row r="827" spans="2:6" x14ac:dyDescent="0.3">
      <c r="B827" s="661"/>
      <c r="E827" s="661"/>
      <c r="F827" s="661"/>
    </row>
    <row r="828" spans="2:6" x14ac:dyDescent="0.3">
      <c r="B828" s="661"/>
      <c r="E828" s="661"/>
      <c r="F828" s="661"/>
    </row>
    <row r="829" spans="2:6" x14ac:dyDescent="0.3">
      <c r="B829" s="661"/>
      <c r="E829" s="661"/>
      <c r="F829" s="661"/>
    </row>
    <row r="830" spans="2:6" x14ac:dyDescent="0.3">
      <c r="B830" s="661"/>
      <c r="E830" s="661"/>
      <c r="F830" s="661"/>
    </row>
    <row r="831" spans="2:6" x14ac:dyDescent="0.3">
      <c r="B831" s="661"/>
      <c r="E831" s="661"/>
      <c r="F831" s="661"/>
    </row>
    <row r="832" spans="2:6" x14ac:dyDescent="0.3">
      <c r="B832" s="661"/>
      <c r="E832" s="661"/>
      <c r="F832" s="661"/>
    </row>
    <row r="833" spans="2:6" x14ac:dyDescent="0.3">
      <c r="B833" s="661"/>
      <c r="E833" s="661"/>
      <c r="F833" s="661"/>
    </row>
    <row r="834" spans="2:6" x14ac:dyDescent="0.3">
      <c r="B834" s="661"/>
      <c r="E834" s="661"/>
      <c r="F834" s="661"/>
    </row>
    <row r="835" spans="2:6" x14ac:dyDescent="0.3">
      <c r="B835" s="661"/>
      <c r="E835" s="661"/>
      <c r="F835" s="661"/>
    </row>
    <row r="836" spans="2:6" x14ac:dyDescent="0.3">
      <c r="B836" s="661"/>
      <c r="E836" s="661"/>
      <c r="F836" s="661"/>
    </row>
    <row r="837" spans="2:6" x14ac:dyDescent="0.3">
      <c r="B837" s="661"/>
      <c r="E837" s="661"/>
      <c r="F837" s="661"/>
    </row>
    <row r="838" spans="2:6" x14ac:dyDescent="0.3">
      <c r="B838" s="661"/>
      <c r="E838" s="661"/>
      <c r="F838" s="661"/>
    </row>
    <row r="839" spans="2:6" x14ac:dyDescent="0.3">
      <c r="B839" s="661"/>
      <c r="E839" s="661"/>
      <c r="F839" s="661"/>
    </row>
    <row r="840" spans="2:6" x14ac:dyDescent="0.3">
      <c r="B840" s="661"/>
      <c r="E840" s="661"/>
      <c r="F840" s="661"/>
    </row>
    <row r="841" spans="2:6" x14ac:dyDescent="0.3">
      <c r="B841" s="661"/>
      <c r="E841" s="661"/>
      <c r="F841" s="661"/>
    </row>
    <row r="842" spans="2:6" x14ac:dyDescent="0.3">
      <c r="B842" s="661"/>
      <c r="E842" s="661"/>
      <c r="F842" s="661"/>
    </row>
    <row r="843" spans="2:6" x14ac:dyDescent="0.3">
      <c r="B843" s="661"/>
      <c r="E843" s="661"/>
      <c r="F843" s="661"/>
    </row>
    <row r="844" spans="2:6" x14ac:dyDescent="0.3">
      <c r="B844" s="661"/>
      <c r="E844" s="661"/>
      <c r="F844" s="661"/>
    </row>
    <row r="845" spans="2:6" x14ac:dyDescent="0.3">
      <c r="B845" s="661"/>
      <c r="E845" s="661"/>
      <c r="F845" s="661"/>
    </row>
    <row r="846" spans="2:6" x14ac:dyDescent="0.3">
      <c r="B846" s="661"/>
      <c r="E846" s="661"/>
      <c r="F846" s="661"/>
    </row>
    <row r="847" spans="2:6" x14ac:dyDescent="0.3">
      <c r="B847" s="661"/>
      <c r="E847" s="661"/>
      <c r="F847" s="661"/>
    </row>
    <row r="848" spans="2:6" x14ac:dyDescent="0.3">
      <c r="B848" s="661"/>
      <c r="E848" s="661"/>
      <c r="F848" s="661"/>
    </row>
    <row r="849" spans="2:6" x14ac:dyDescent="0.3">
      <c r="B849" s="661"/>
      <c r="E849" s="661"/>
      <c r="F849" s="661"/>
    </row>
    <row r="850" spans="2:6" x14ac:dyDescent="0.3">
      <c r="B850" s="661"/>
      <c r="E850" s="661"/>
      <c r="F850" s="661"/>
    </row>
    <row r="851" spans="2:6" x14ac:dyDescent="0.3">
      <c r="B851" s="661"/>
      <c r="E851" s="661"/>
      <c r="F851" s="661"/>
    </row>
    <row r="852" spans="2:6" x14ac:dyDescent="0.3">
      <c r="B852" s="661"/>
      <c r="E852" s="661"/>
      <c r="F852" s="661"/>
    </row>
    <row r="853" spans="2:6" x14ac:dyDescent="0.3">
      <c r="B853" s="661"/>
      <c r="E853" s="661"/>
      <c r="F853" s="661"/>
    </row>
    <row r="854" spans="2:6" x14ac:dyDescent="0.3">
      <c r="B854" s="661"/>
      <c r="E854" s="661"/>
      <c r="F854" s="661"/>
    </row>
    <row r="855" spans="2:6" x14ac:dyDescent="0.3">
      <c r="B855" s="661"/>
      <c r="E855" s="661"/>
      <c r="F855" s="661"/>
    </row>
    <row r="856" spans="2:6" x14ac:dyDescent="0.3">
      <c r="B856" s="661"/>
      <c r="E856" s="661"/>
      <c r="F856" s="661"/>
    </row>
    <row r="857" spans="2:6" x14ac:dyDescent="0.3">
      <c r="B857" s="661"/>
      <c r="E857" s="661"/>
      <c r="F857" s="661"/>
    </row>
    <row r="858" spans="2:6" x14ac:dyDescent="0.3">
      <c r="B858" s="661"/>
      <c r="E858" s="661"/>
      <c r="F858" s="661"/>
    </row>
    <row r="859" spans="2:6" x14ac:dyDescent="0.3">
      <c r="B859" s="661"/>
      <c r="E859" s="661"/>
      <c r="F859" s="661"/>
    </row>
    <row r="860" spans="2:6" x14ac:dyDescent="0.3">
      <c r="B860" s="661"/>
      <c r="E860" s="661"/>
      <c r="F860" s="661"/>
    </row>
    <row r="861" spans="2:6" x14ac:dyDescent="0.3">
      <c r="B861" s="661"/>
      <c r="E861" s="661"/>
      <c r="F861" s="661"/>
    </row>
    <row r="862" spans="2:6" x14ac:dyDescent="0.3">
      <c r="B862" s="661"/>
      <c r="E862" s="661"/>
      <c r="F862" s="661"/>
    </row>
    <row r="863" spans="2:6" x14ac:dyDescent="0.3">
      <c r="B863" s="661"/>
      <c r="E863" s="661"/>
      <c r="F863" s="661"/>
    </row>
    <row r="864" spans="2:6" x14ac:dyDescent="0.3">
      <c r="B864" s="661"/>
      <c r="E864" s="661"/>
      <c r="F864" s="661"/>
    </row>
    <row r="865" spans="2:6" x14ac:dyDescent="0.3">
      <c r="B865" s="661"/>
      <c r="E865" s="661"/>
      <c r="F865" s="661"/>
    </row>
    <row r="866" spans="2:6" x14ac:dyDescent="0.3">
      <c r="B866" s="661"/>
      <c r="E866" s="661"/>
      <c r="F866" s="661"/>
    </row>
    <row r="867" spans="2:6" x14ac:dyDescent="0.3">
      <c r="B867" s="661"/>
      <c r="E867" s="661"/>
      <c r="F867" s="661"/>
    </row>
    <row r="868" spans="2:6" x14ac:dyDescent="0.3">
      <c r="B868" s="661"/>
      <c r="E868" s="661"/>
      <c r="F868" s="661"/>
    </row>
    <row r="869" spans="2:6" x14ac:dyDescent="0.3">
      <c r="B869" s="661"/>
      <c r="E869" s="661"/>
      <c r="F869" s="661"/>
    </row>
    <row r="870" spans="2:6" x14ac:dyDescent="0.3">
      <c r="B870" s="661"/>
      <c r="E870" s="661"/>
      <c r="F870" s="661"/>
    </row>
    <row r="871" spans="2:6" x14ac:dyDescent="0.3">
      <c r="B871" s="661"/>
      <c r="E871" s="661"/>
      <c r="F871" s="661"/>
    </row>
    <row r="872" spans="2:6" x14ac:dyDescent="0.3">
      <c r="B872" s="661"/>
      <c r="E872" s="661"/>
      <c r="F872" s="661"/>
    </row>
    <row r="873" spans="2:6" x14ac:dyDescent="0.3">
      <c r="B873" s="661"/>
      <c r="E873" s="661"/>
      <c r="F873" s="661"/>
    </row>
    <row r="874" spans="2:6" x14ac:dyDescent="0.3">
      <c r="B874" s="661"/>
      <c r="E874" s="661"/>
      <c r="F874" s="661"/>
    </row>
    <row r="875" spans="2:6" x14ac:dyDescent="0.3">
      <c r="B875" s="661"/>
      <c r="E875" s="661"/>
      <c r="F875" s="661"/>
    </row>
    <row r="876" spans="2:6" x14ac:dyDescent="0.3">
      <c r="B876" s="661"/>
      <c r="E876" s="661"/>
      <c r="F876" s="661"/>
    </row>
    <row r="877" spans="2:6" x14ac:dyDescent="0.3">
      <c r="B877" s="661"/>
      <c r="E877" s="661"/>
      <c r="F877" s="661"/>
    </row>
    <row r="878" spans="2:6" x14ac:dyDescent="0.3">
      <c r="B878" s="661"/>
      <c r="E878" s="661"/>
      <c r="F878" s="661"/>
    </row>
    <row r="879" spans="2:6" x14ac:dyDescent="0.3">
      <c r="B879" s="661"/>
      <c r="E879" s="661"/>
      <c r="F879" s="661"/>
    </row>
    <row r="880" spans="2:6" x14ac:dyDescent="0.3">
      <c r="B880" s="661"/>
      <c r="E880" s="661"/>
      <c r="F880" s="661"/>
    </row>
    <row r="881" spans="2:6" x14ac:dyDescent="0.3">
      <c r="B881" s="661"/>
      <c r="E881" s="661"/>
      <c r="F881" s="661"/>
    </row>
    <row r="882" spans="2:6" x14ac:dyDescent="0.3">
      <c r="B882" s="661"/>
      <c r="E882" s="661"/>
      <c r="F882" s="661"/>
    </row>
    <row r="883" spans="2:6" x14ac:dyDescent="0.3">
      <c r="B883" s="661"/>
      <c r="E883" s="661"/>
      <c r="F883" s="661"/>
    </row>
    <row r="884" spans="2:6" x14ac:dyDescent="0.3">
      <c r="B884" s="661"/>
      <c r="E884" s="661"/>
      <c r="F884" s="661"/>
    </row>
    <row r="885" spans="2:6" x14ac:dyDescent="0.3">
      <c r="B885" s="661"/>
      <c r="E885" s="661"/>
      <c r="F885" s="661"/>
    </row>
    <row r="886" spans="2:6" x14ac:dyDescent="0.3">
      <c r="B886" s="661"/>
      <c r="E886" s="661"/>
      <c r="F886" s="661"/>
    </row>
    <row r="887" spans="2:6" x14ac:dyDescent="0.3">
      <c r="B887" s="661"/>
      <c r="E887" s="661"/>
      <c r="F887" s="661"/>
    </row>
    <row r="888" spans="2:6" x14ac:dyDescent="0.3">
      <c r="B888" s="661"/>
      <c r="E888" s="661"/>
      <c r="F888" s="661"/>
    </row>
    <row r="889" spans="2:6" x14ac:dyDescent="0.3">
      <c r="B889" s="661"/>
      <c r="E889" s="661"/>
      <c r="F889" s="661"/>
    </row>
    <row r="890" spans="2:6" x14ac:dyDescent="0.3">
      <c r="B890" s="661"/>
      <c r="E890" s="661"/>
      <c r="F890" s="661"/>
    </row>
    <row r="891" spans="2:6" x14ac:dyDescent="0.3">
      <c r="B891" s="661"/>
      <c r="E891" s="661"/>
      <c r="F891" s="661"/>
    </row>
    <row r="892" spans="2:6" x14ac:dyDescent="0.3">
      <c r="B892" s="661"/>
      <c r="E892" s="661"/>
      <c r="F892" s="661"/>
    </row>
    <row r="893" spans="2:6" x14ac:dyDescent="0.3">
      <c r="B893" s="661"/>
      <c r="E893" s="661"/>
      <c r="F893" s="661"/>
    </row>
    <row r="894" spans="2:6" x14ac:dyDescent="0.3">
      <c r="B894" s="661"/>
      <c r="E894" s="661"/>
      <c r="F894" s="661"/>
    </row>
    <row r="895" spans="2:6" x14ac:dyDescent="0.3">
      <c r="B895" s="661"/>
      <c r="E895" s="661"/>
      <c r="F895" s="661"/>
    </row>
    <row r="896" spans="2:6" x14ac:dyDescent="0.3">
      <c r="B896" s="661"/>
      <c r="E896" s="661"/>
      <c r="F896" s="661"/>
    </row>
    <row r="897" spans="2:6" x14ac:dyDescent="0.3">
      <c r="B897" s="661"/>
      <c r="E897" s="661"/>
      <c r="F897" s="661"/>
    </row>
    <row r="898" spans="2:6" x14ac:dyDescent="0.3">
      <c r="B898" s="661"/>
      <c r="E898" s="661"/>
      <c r="F898" s="661"/>
    </row>
    <row r="899" spans="2:6" x14ac:dyDescent="0.3">
      <c r="B899" s="661"/>
      <c r="E899" s="661"/>
      <c r="F899" s="661"/>
    </row>
    <row r="900" spans="2:6" x14ac:dyDescent="0.3">
      <c r="B900" s="661"/>
      <c r="E900" s="661"/>
      <c r="F900" s="661"/>
    </row>
    <row r="901" spans="2:6" x14ac:dyDescent="0.3">
      <c r="B901" s="661"/>
      <c r="E901" s="661"/>
      <c r="F901" s="661"/>
    </row>
    <row r="902" spans="2:6" x14ac:dyDescent="0.3">
      <c r="B902" s="661"/>
      <c r="E902" s="661"/>
      <c r="F902" s="661"/>
    </row>
    <row r="903" spans="2:6" x14ac:dyDescent="0.3">
      <c r="B903" s="661"/>
      <c r="E903" s="661"/>
      <c r="F903" s="661"/>
    </row>
    <row r="904" spans="2:6" x14ac:dyDescent="0.3">
      <c r="B904" s="661"/>
      <c r="E904" s="661"/>
      <c r="F904" s="661"/>
    </row>
    <row r="905" spans="2:6" x14ac:dyDescent="0.3">
      <c r="B905" s="661"/>
      <c r="E905" s="661"/>
      <c r="F905" s="661"/>
    </row>
    <row r="906" spans="2:6" x14ac:dyDescent="0.3">
      <c r="B906" s="661"/>
      <c r="E906" s="661"/>
      <c r="F906" s="661"/>
    </row>
    <row r="907" spans="2:6" x14ac:dyDescent="0.3">
      <c r="B907" s="661"/>
      <c r="E907" s="661"/>
      <c r="F907" s="661"/>
    </row>
    <row r="908" spans="2:6" x14ac:dyDescent="0.3">
      <c r="B908" s="661"/>
      <c r="E908" s="661"/>
      <c r="F908" s="661"/>
    </row>
    <row r="909" spans="2:6" x14ac:dyDescent="0.3">
      <c r="B909" s="661"/>
      <c r="E909" s="661"/>
      <c r="F909" s="661"/>
    </row>
    <row r="910" spans="2:6" x14ac:dyDescent="0.3">
      <c r="B910" s="661"/>
      <c r="E910" s="661"/>
      <c r="F910" s="661"/>
    </row>
    <row r="911" spans="2:6" x14ac:dyDescent="0.3">
      <c r="B911" s="661"/>
      <c r="E911" s="661"/>
      <c r="F911" s="661"/>
    </row>
    <row r="912" spans="2:6" x14ac:dyDescent="0.3">
      <c r="B912" s="661"/>
      <c r="E912" s="661"/>
      <c r="F912" s="661"/>
    </row>
    <row r="913" spans="2:6" x14ac:dyDescent="0.3">
      <c r="B913" s="661"/>
      <c r="E913" s="661"/>
      <c r="F913" s="661"/>
    </row>
    <row r="914" spans="2:6" x14ac:dyDescent="0.3">
      <c r="B914" s="661"/>
      <c r="E914" s="661"/>
      <c r="F914" s="661"/>
    </row>
    <row r="915" spans="2:6" x14ac:dyDescent="0.3">
      <c r="B915" s="661"/>
      <c r="E915" s="661"/>
      <c r="F915" s="661"/>
    </row>
    <row r="916" spans="2:6" x14ac:dyDescent="0.3">
      <c r="B916" s="661"/>
      <c r="E916" s="661"/>
      <c r="F916" s="661"/>
    </row>
    <row r="917" spans="2:6" x14ac:dyDescent="0.3">
      <c r="B917" s="661"/>
      <c r="E917" s="661"/>
      <c r="F917" s="661"/>
    </row>
    <row r="918" spans="2:6" x14ac:dyDescent="0.3">
      <c r="B918" s="661"/>
      <c r="E918" s="661"/>
      <c r="F918" s="661"/>
    </row>
    <row r="919" spans="2:6" x14ac:dyDescent="0.3">
      <c r="B919" s="661"/>
      <c r="E919" s="661"/>
      <c r="F919" s="661"/>
    </row>
    <row r="920" spans="2:6" x14ac:dyDescent="0.3">
      <c r="B920" s="661"/>
      <c r="E920" s="661"/>
      <c r="F920" s="661"/>
    </row>
    <row r="921" spans="2:6" x14ac:dyDescent="0.3">
      <c r="B921" s="661"/>
      <c r="E921" s="661"/>
      <c r="F921" s="661"/>
    </row>
    <row r="922" spans="2:6" x14ac:dyDescent="0.3">
      <c r="B922" s="661"/>
      <c r="E922" s="661"/>
      <c r="F922" s="661"/>
    </row>
    <row r="923" spans="2:6" x14ac:dyDescent="0.3">
      <c r="B923" s="661"/>
      <c r="E923" s="661"/>
      <c r="F923" s="661"/>
    </row>
    <row r="924" spans="2:6" x14ac:dyDescent="0.3">
      <c r="B924" s="661"/>
      <c r="E924" s="661"/>
      <c r="F924" s="661"/>
    </row>
    <row r="925" spans="2:6" x14ac:dyDescent="0.3">
      <c r="B925" s="661"/>
      <c r="E925" s="661"/>
      <c r="F925" s="661"/>
    </row>
    <row r="926" spans="2:6" x14ac:dyDescent="0.3">
      <c r="B926" s="661"/>
      <c r="E926" s="661"/>
      <c r="F926" s="661"/>
    </row>
    <row r="927" spans="2:6" x14ac:dyDescent="0.3">
      <c r="B927" s="661"/>
      <c r="E927" s="661"/>
      <c r="F927" s="661"/>
    </row>
    <row r="928" spans="2:6" x14ac:dyDescent="0.3">
      <c r="B928" s="661"/>
      <c r="E928" s="661"/>
      <c r="F928" s="661"/>
    </row>
    <row r="929" spans="2:6" x14ac:dyDescent="0.3">
      <c r="B929" s="661"/>
      <c r="E929" s="661"/>
      <c r="F929" s="661"/>
    </row>
    <row r="930" spans="2:6" x14ac:dyDescent="0.3">
      <c r="B930" s="661"/>
      <c r="E930" s="661"/>
      <c r="F930" s="661"/>
    </row>
    <row r="931" spans="2:6" x14ac:dyDescent="0.3">
      <c r="B931" s="661"/>
      <c r="E931" s="661"/>
      <c r="F931" s="661"/>
    </row>
    <row r="932" spans="2:6" x14ac:dyDescent="0.3">
      <c r="B932" s="661"/>
      <c r="E932" s="661"/>
      <c r="F932" s="661"/>
    </row>
    <row r="933" spans="2:6" x14ac:dyDescent="0.3">
      <c r="B933" s="661"/>
      <c r="E933" s="661"/>
      <c r="F933" s="661"/>
    </row>
    <row r="934" spans="2:6" x14ac:dyDescent="0.3">
      <c r="B934" s="661"/>
      <c r="E934" s="661"/>
      <c r="F934" s="661"/>
    </row>
    <row r="935" spans="2:6" x14ac:dyDescent="0.3">
      <c r="B935" s="661"/>
      <c r="E935" s="661"/>
      <c r="F935" s="661"/>
    </row>
    <row r="936" spans="2:6" x14ac:dyDescent="0.3">
      <c r="B936" s="661"/>
      <c r="E936" s="661"/>
      <c r="F936" s="661"/>
    </row>
    <row r="937" spans="2:6" x14ac:dyDescent="0.3">
      <c r="B937" s="661"/>
      <c r="E937" s="661"/>
      <c r="F937" s="661"/>
    </row>
    <row r="938" spans="2:6" x14ac:dyDescent="0.3">
      <c r="B938" s="661"/>
      <c r="E938" s="661"/>
      <c r="F938" s="661"/>
    </row>
    <row r="939" spans="2:6" x14ac:dyDescent="0.3">
      <c r="B939" s="661"/>
      <c r="E939" s="661"/>
      <c r="F939" s="661"/>
    </row>
    <row r="940" spans="2:6" x14ac:dyDescent="0.3">
      <c r="B940" s="661"/>
      <c r="E940" s="661"/>
      <c r="F940" s="661"/>
    </row>
    <row r="941" spans="2:6" x14ac:dyDescent="0.3">
      <c r="B941" s="661"/>
      <c r="E941" s="661"/>
      <c r="F941" s="661"/>
    </row>
    <row r="942" spans="2:6" x14ac:dyDescent="0.3">
      <c r="B942" s="661"/>
      <c r="E942" s="661"/>
      <c r="F942" s="661"/>
    </row>
    <row r="943" spans="2:6" x14ac:dyDescent="0.3">
      <c r="B943" s="661"/>
      <c r="E943" s="661"/>
      <c r="F943" s="661"/>
    </row>
    <row r="944" spans="2:6" x14ac:dyDescent="0.3">
      <c r="B944" s="661"/>
      <c r="E944" s="661"/>
      <c r="F944" s="661"/>
    </row>
    <row r="945" spans="2:6" x14ac:dyDescent="0.3">
      <c r="B945" s="661"/>
      <c r="E945" s="661"/>
      <c r="F945" s="661"/>
    </row>
    <row r="946" spans="2:6" x14ac:dyDescent="0.3">
      <c r="B946" s="661"/>
      <c r="E946" s="661"/>
      <c r="F946" s="661"/>
    </row>
    <row r="947" spans="2:6" x14ac:dyDescent="0.3">
      <c r="B947" s="661"/>
      <c r="E947" s="661"/>
      <c r="F947" s="661"/>
    </row>
    <row r="948" spans="2:6" x14ac:dyDescent="0.3">
      <c r="B948" s="661"/>
      <c r="E948" s="661"/>
      <c r="F948" s="661"/>
    </row>
    <row r="949" spans="2:6" x14ac:dyDescent="0.3">
      <c r="B949" s="661"/>
      <c r="E949" s="661"/>
      <c r="F949" s="661"/>
    </row>
    <row r="950" spans="2:6" x14ac:dyDescent="0.3">
      <c r="B950" s="661"/>
      <c r="E950" s="661"/>
      <c r="F950" s="661"/>
    </row>
    <row r="951" spans="2:6" x14ac:dyDescent="0.3">
      <c r="B951" s="661"/>
      <c r="E951" s="661"/>
      <c r="F951" s="661"/>
    </row>
    <row r="952" spans="2:6" x14ac:dyDescent="0.3">
      <c r="B952" s="661"/>
      <c r="E952" s="661"/>
      <c r="F952" s="661"/>
    </row>
    <row r="953" spans="2:6" x14ac:dyDescent="0.3">
      <c r="B953" s="661"/>
      <c r="E953" s="661"/>
      <c r="F953" s="661"/>
    </row>
    <row r="954" spans="2:6" x14ac:dyDescent="0.3">
      <c r="B954" s="661"/>
      <c r="E954" s="661"/>
      <c r="F954" s="661"/>
    </row>
    <row r="955" spans="2:6" x14ac:dyDescent="0.3">
      <c r="B955" s="661"/>
      <c r="E955" s="661"/>
      <c r="F955" s="661"/>
    </row>
    <row r="956" spans="2:6" x14ac:dyDescent="0.3">
      <c r="B956" s="661"/>
      <c r="E956" s="661"/>
      <c r="F956" s="661"/>
    </row>
    <row r="957" spans="2:6" x14ac:dyDescent="0.3">
      <c r="B957" s="661"/>
      <c r="E957" s="661"/>
      <c r="F957" s="661"/>
    </row>
    <row r="958" spans="2:6" x14ac:dyDescent="0.3">
      <c r="B958" s="661"/>
      <c r="E958" s="661"/>
      <c r="F958" s="661"/>
    </row>
    <row r="959" spans="2:6" x14ac:dyDescent="0.3">
      <c r="B959" s="661"/>
      <c r="E959" s="661"/>
      <c r="F959" s="661"/>
    </row>
    <row r="960" spans="2:6" x14ac:dyDescent="0.3">
      <c r="B960" s="661"/>
      <c r="E960" s="661"/>
      <c r="F960" s="661"/>
    </row>
    <row r="961" spans="2:6" x14ac:dyDescent="0.3">
      <c r="B961" s="661"/>
      <c r="E961" s="661"/>
      <c r="F961" s="661"/>
    </row>
    <row r="962" spans="2:6" x14ac:dyDescent="0.3">
      <c r="B962" s="661"/>
      <c r="E962" s="661"/>
      <c r="F962" s="661"/>
    </row>
  </sheetData>
  <mergeCells count="10">
    <mergeCell ref="B93:H93"/>
    <mergeCell ref="B94:H94"/>
    <mergeCell ref="B2:H3"/>
    <mergeCell ref="R25:S25"/>
    <mergeCell ref="B62:H62"/>
    <mergeCell ref="B63:H63"/>
    <mergeCell ref="B73:H73"/>
    <mergeCell ref="B74:H74"/>
    <mergeCell ref="B84:H84"/>
    <mergeCell ref="B85:H85"/>
  </mergeCells>
  <printOptions horizontalCentered="1"/>
  <pageMargins left="0.5" right="0.5" top="1" bottom="0.5" header="0.3" footer="0.3"/>
  <pageSetup paperSize="9" scale="22" orientation="portrait"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68">
    <tabColor rgb="FFFFFF00"/>
    <pageSetUpPr fitToPage="1"/>
  </sheetPr>
  <dimension ref="A1:AG105"/>
  <sheetViews>
    <sheetView topLeftCell="F50" zoomScale="145" zoomScaleNormal="145" workbookViewId="0">
      <selection activeCell="Q43" sqref="Q43:T44"/>
    </sheetView>
  </sheetViews>
  <sheetFormatPr defaultColWidth="12.5" defaultRowHeight="12.5" x14ac:dyDescent="0.25"/>
  <cols>
    <col min="1" max="1" width="12.5" style="14" customWidth="1"/>
    <col min="2" max="2" width="31.414062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7" width="6.75" style="14" customWidth="1"/>
    <col min="18" max="18" width="23.08203125" style="14" customWidth="1"/>
    <col min="19" max="19" width="12.5" style="14" customWidth="1"/>
    <col min="20" max="24" width="4" style="14" customWidth="1"/>
    <col min="25" max="16384" width="12.5" style="14"/>
  </cols>
  <sheetData>
    <row r="1" spans="1:33" ht="28.5" customHeight="1" x14ac:dyDescent="0.25">
      <c r="B1" s="79" t="s">
        <v>235</v>
      </c>
      <c r="C1" s="80">
        <v>1000</v>
      </c>
      <c r="D1" s="81" t="s">
        <v>236</v>
      </c>
      <c r="E1" s="116">
        <f>$S$30</f>
        <v>20400</v>
      </c>
      <c r="F1" s="79" t="s">
        <v>237</v>
      </c>
      <c r="G1" s="116">
        <f>E1/C1</f>
        <v>20.399999999999999</v>
      </c>
      <c r="H1" s="79" t="s">
        <v>238</v>
      </c>
      <c r="I1" s="116">
        <f>G1/K1</f>
        <v>20.399999999999999</v>
      </c>
      <c r="J1" s="325" t="s">
        <v>239</v>
      </c>
      <c r="K1" s="326">
        <v>1</v>
      </c>
      <c r="L1" s="99"/>
      <c r="M1" s="99" t="s">
        <v>373</v>
      </c>
      <c r="N1" s="99"/>
      <c r="O1" s="99"/>
      <c r="P1" s="99"/>
      <c r="Q1" s="99"/>
      <c r="R1" s="99"/>
      <c r="S1" s="99"/>
      <c r="T1" s="99"/>
      <c r="U1" s="99"/>
      <c r="V1" s="99"/>
      <c r="Y1" s="90" t="s">
        <v>463</v>
      </c>
      <c r="Z1" s="835">
        <v>20400</v>
      </c>
      <c r="AA1" s="90" t="s">
        <v>578</v>
      </c>
      <c r="AB1" s="835">
        <v>0</v>
      </c>
      <c r="AC1" s="90" t="s">
        <v>567</v>
      </c>
      <c r="AD1" s="835">
        <v>136</v>
      </c>
    </row>
    <row r="2" spans="1:33" ht="12.75" customHeight="1" x14ac:dyDescent="0.25">
      <c r="A2" s="329"/>
      <c r="B2" s="1443" t="s">
        <v>374</v>
      </c>
      <c r="C2" s="1466"/>
      <c r="D2" s="1466"/>
      <c r="E2" s="1466"/>
      <c r="F2" s="1466"/>
      <c r="G2" s="1466"/>
      <c r="H2" s="1466"/>
      <c r="I2" s="99"/>
      <c r="J2" s="99"/>
      <c r="K2" s="99"/>
      <c r="L2" s="99"/>
      <c r="M2" s="99"/>
      <c r="N2" s="99"/>
      <c r="O2" s="99"/>
      <c r="P2" s="99"/>
      <c r="Q2" s="99"/>
      <c r="R2" s="99"/>
      <c r="S2" s="99"/>
      <c r="T2" s="99"/>
      <c r="U2" s="99"/>
      <c r="AE2" s="1452"/>
      <c r="AF2" s="1460"/>
      <c r="AG2" s="1460"/>
    </row>
    <row r="3" spans="1:33" ht="12.75" customHeight="1" x14ac:dyDescent="0.25">
      <c r="A3" s="329"/>
      <c r="B3" s="1444"/>
      <c r="C3" s="1444"/>
      <c r="D3" s="1444"/>
      <c r="E3" s="1444"/>
      <c r="F3" s="1444"/>
      <c r="G3" s="1444"/>
      <c r="H3" s="1444"/>
      <c r="I3" s="99"/>
      <c r="J3" s="99"/>
      <c r="K3" s="99"/>
      <c r="L3" s="99"/>
      <c r="M3" s="99"/>
      <c r="N3" s="99"/>
      <c r="O3" s="99"/>
      <c r="P3" s="99"/>
      <c r="Q3" s="99"/>
      <c r="R3" s="99"/>
      <c r="S3" s="99"/>
      <c r="T3" s="99"/>
      <c r="U3" s="99"/>
      <c r="AE3" s="1460"/>
      <c r="AF3" s="1460"/>
      <c r="AG3" s="1460"/>
    </row>
    <row r="4" spans="1:33" ht="68.75" customHeight="1" x14ac:dyDescent="0.25">
      <c r="A4" s="90" t="s">
        <v>1</v>
      </c>
      <c r="B4" s="90" t="s">
        <v>245</v>
      </c>
      <c r="C4" s="106" t="s">
        <v>246</v>
      </c>
      <c r="D4" s="90" t="s">
        <v>235</v>
      </c>
      <c r="E4" s="217" t="s">
        <v>238</v>
      </c>
      <c r="F4" s="107" t="s">
        <v>247</v>
      </c>
      <c r="G4" s="90" t="s">
        <v>248</v>
      </c>
      <c r="H4" s="106" t="s">
        <v>339</v>
      </c>
      <c r="I4" s="90" t="s">
        <v>250</v>
      </c>
      <c r="J4" s="90" t="s">
        <v>251</v>
      </c>
      <c r="K4" s="90" t="s">
        <v>252</v>
      </c>
      <c r="L4" s="90" t="s">
        <v>253</v>
      </c>
      <c r="M4" s="99"/>
      <c r="N4" s="99"/>
      <c r="O4" s="99"/>
      <c r="P4" s="99"/>
      <c r="Q4" s="99"/>
      <c r="R4" s="99"/>
      <c r="S4" s="99"/>
      <c r="T4" s="99"/>
      <c r="U4" s="99"/>
    </row>
    <row r="5" spans="1:33" ht="14.25" customHeight="1" x14ac:dyDescent="0.25">
      <c r="A5" s="218"/>
      <c r="B5" s="649"/>
      <c r="C5" s="650"/>
      <c r="D5" s="218"/>
      <c r="E5" s="651"/>
      <c r="F5" s="218"/>
      <c r="G5" s="218"/>
      <c r="H5" s="650"/>
      <c r="I5" s="80"/>
      <c r="J5" s="118"/>
      <c r="K5" s="121"/>
      <c r="L5" s="121"/>
    </row>
    <row r="6" spans="1:33" ht="14.25" customHeight="1" x14ac:dyDescent="0.25">
      <c r="A6" s="294" t="s">
        <v>13</v>
      </c>
      <c r="B6" s="22" t="s">
        <v>19</v>
      </c>
      <c r="C6" s="123" t="s">
        <v>14</v>
      </c>
      <c r="D6" s="1123">
        <v>450</v>
      </c>
      <c r="E6" s="115">
        <f t="shared" ref="E6:E13" si="0">$I$1</f>
        <v>20.399999999999999</v>
      </c>
      <c r="F6" s="126">
        <v>1</v>
      </c>
      <c r="G6" s="118">
        <f t="shared" ref="G6:G13" si="1">D6*E6</f>
        <v>9180</v>
      </c>
      <c r="H6" s="119">
        <f t="shared" ref="H6:H13" si="2">G6*F6</f>
        <v>9180</v>
      </c>
      <c r="I6" s="80">
        <f>VLOOKUP(B6,All_Ingredients!$A$1:$F$149,6,FALSE())</f>
        <v>0.84</v>
      </c>
      <c r="J6" s="118">
        <f>VLOOKUP(B6,All_Ingredients!$A$1:$J$149,10,FALSE())</f>
        <v>2.6</v>
      </c>
      <c r="K6" s="121">
        <f t="shared" ref="K6" si="3">(H6/I6)/1000</f>
        <v>10.928571428571429</v>
      </c>
      <c r="L6" s="121">
        <f t="shared" ref="L6" si="4">K6*J6</f>
        <v>28.414285714285715</v>
      </c>
    </row>
    <row r="7" spans="1:33" ht="14.25" customHeight="1" x14ac:dyDescent="0.25">
      <c r="A7" s="294" t="s">
        <v>13</v>
      </c>
      <c r="B7" s="22" t="s">
        <v>47</v>
      </c>
      <c r="C7" s="123" t="s">
        <v>14</v>
      </c>
      <c r="D7" s="1123">
        <v>450</v>
      </c>
      <c r="E7" s="115">
        <f t="shared" si="0"/>
        <v>20.399999999999999</v>
      </c>
      <c r="F7" s="126">
        <v>1</v>
      </c>
      <c r="G7" s="118">
        <f t="shared" si="1"/>
        <v>9180</v>
      </c>
      <c r="H7" s="119">
        <f t="shared" si="2"/>
        <v>9180</v>
      </c>
      <c r="I7" s="80">
        <f>VLOOKUP(B7,All_Ingredients!$A$1:$F$149,6,FALSE())</f>
        <v>0.78</v>
      </c>
      <c r="J7" s="118">
        <f>VLOOKUP(B7,All_Ingredients!$A$1:$J$149,10,FALSE())</f>
        <v>3.7</v>
      </c>
      <c r="K7" s="121">
        <f t="shared" ref="K7:K13" si="5">(H7/I7)/1000</f>
        <v>11.76923076923077</v>
      </c>
      <c r="L7" s="121">
        <f t="shared" ref="L7:L13" si="6">K7*J7</f>
        <v>43.54615384615385</v>
      </c>
    </row>
    <row r="8" spans="1:33" ht="14.25" customHeight="1" x14ac:dyDescent="0.25">
      <c r="A8" s="294" t="s">
        <v>13</v>
      </c>
      <c r="B8" s="22" t="s">
        <v>28</v>
      </c>
      <c r="C8" s="123" t="s">
        <v>14</v>
      </c>
      <c r="D8" s="1123">
        <v>80</v>
      </c>
      <c r="E8" s="115">
        <f t="shared" si="0"/>
        <v>20.399999999999999</v>
      </c>
      <c r="F8" s="126">
        <v>1</v>
      </c>
      <c r="G8" s="118">
        <f t="shared" si="1"/>
        <v>1632</v>
      </c>
      <c r="H8" s="119">
        <f t="shared" si="2"/>
        <v>1632</v>
      </c>
      <c r="I8" s="80">
        <f>VLOOKUP(B8,All_Ingredients!$A$1:$F$149,6,FALSE())</f>
        <v>0.73</v>
      </c>
      <c r="J8" s="118">
        <f>VLOOKUP(B8,All_Ingredients!$A$1:$J$149,10,FALSE())</f>
        <v>8.5</v>
      </c>
      <c r="K8" s="121">
        <f t="shared" si="5"/>
        <v>2.2356164383561645</v>
      </c>
      <c r="L8" s="121">
        <f t="shared" si="6"/>
        <v>19.0027397260274</v>
      </c>
    </row>
    <row r="9" spans="1:33" ht="14.25" customHeight="1" x14ac:dyDescent="0.25">
      <c r="A9" s="294" t="s">
        <v>13</v>
      </c>
      <c r="B9" s="22" t="s">
        <v>30</v>
      </c>
      <c r="C9" s="123" t="s">
        <v>14</v>
      </c>
      <c r="D9" s="1123">
        <v>80</v>
      </c>
      <c r="E9" s="115">
        <f t="shared" si="0"/>
        <v>20.399999999999999</v>
      </c>
      <c r="F9" s="126">
        <v>1</v>
      </c>
      <c r="G9" s="118">
        <f t="shared" si="1"/>
        <v>1632</v>
      </c>
      <c r="H9" s="119">
        <f t="shared" si="2"/>
        <v>1632</v>
      </c>
      <c r="I9" s="80">
        <f>VLOOKUP(B9,All_Ingredients!$A$1:$F$149,6,FALSE())</f>
        <v>0.71</v>
      </c>
      <c r="J9" s="118">
        <f>VLOOKUP(B9,All_Ingredients!$A$1:$J$149,10,FALSE())</f>
        <v>8.5</v>
      </c>
      <c r="K9" s="121">
        <f t="shared" si="5"/>
        <v>2.2985915492957747</v>
      </c>
      <c r="L9" s="121">
        <f t="shared" si="6"/>
        <v>19.538028169014083</v>
      </c>
    </row>
    <row r="10" spans="1:33" ht="14.25" customHeight="1" x14ac:dyDescent="0.25">
      <c r="A10" s="294" t="s">
        <v>13</v>
      </c>
      <c r="B10" s="22" t="s">
        <v>32</v>
      </c>
      <c r="C10" s="123" t="s">
        <v>14</v>
      </c>
      <c r="D10" s="1123">
        <v>80</v>
      </c>
      <c r="E10" s="115">
        <f t="shared" si="0"/>
        <v>20.399999999999999</v>
      </c>
      <c r="F10" s="126">
        <v>1</v>
      </c>
      <c r="G10" s="118">
        <f t="shared" si="1"/>
        <v>1632</v>
      </c>
      <c r="H10" s="119">
        <f t="shared" si="2"/>
        <v>1632</v>
      </c>
      <c r="I10" s="80">
        <f>VLOOKUP(B10,All_Ingredients!$A$1:$F$149,6,FALSE())</f>
        <v>0.69</v>
      </c>
      <c r="J10" s="118">
        <f>VLOOKUP(B10,All_Ingredients!$A$1:$J$149,10,FALSE())</f>
        <v>4</v>
      </c>
      <c r="K10" s="121">
        <f t="shared" si="5"/>
        <v>2.3652173913043479</v>
      </c>
      <c r="L10" s="121">
        <f t="shared" si="6"/>
        <v>9.4608695652173918</v>
      </c>
    </row>
    <row r="11" spans="1:33" ht="14.25" customHeight="1" x14ac:dyDescent="0.25">
      <c r="A11" s="294" t="s">
        <v>13</v>
      </c>
      <c r="B11" s="22" t="s">
        <v>50</v>
      </c>
      <c r="C11" s="123" t="s">
        <v>14</v>
      </c>
      <c r="D11" s="1123">
        <v>80</v>
      </c>
      <c r="E11" s="115">
        <f t="shared" si="0"/>
        <v>20.399999999999999</v>
      </c>
      <c r="F11" s="126">
        <v>1</v>
      </c>
      <c r="G11" s="118">
        <f t="shared" si="1"/>
        <v>1632</v>
      </c>
      <c r="H11" s="119">
        <f t="shared" si="2"/>
        <v>1632</v>
      </c>
      <c r="I11" s="80">
        <f>VLOOKUP(B11,All_Ingredients!$A$1:$F$149,6,FALSE())</f>
        <v>0.75</v>
      </c>
      <c r="J11" s="118">
        <f>VLOOKUP(B11,All_Ingredients!$A$1:$J$149,10,FALSE())</f>
        <v>20</v>
      </c>
      <c r="K11" s="121">
        <f t="shared" si="5"/>
        <v>2.1760000000000002</v>
      </c>
      <c r="L11" s="121">
        <f t="shared" si="6"/>
        <v>43.52</v>
      </c>
    </row>
    <row r="12" spans="1:33" ht="14.25" customHeight="1" x14ac:dyDescent="0.25">
      <c r="A12" s="294" t="s">
        <v>95</v>
      </c>
      <c r="B12" s="22" t="s">
        <v>94</v>
      </c>
      <c r="C12" s="123" t="s">
        <v>14</v>
      </c>
      <c r="D12" s="115">
        <v>4</v>
      </c>
      <c r="E12" s="115">
        <f t="shared" si="0"/>
        <v>20.399999999999999</v>
      </c>
      <c r="F12" s="126">
        <v>0.75</v>
      </c>
      <c r="G12" s="118">
        <f t="shared" si="1"/>
        <v>81.599999999999994</v>
      </c>
      <c r="H12" s="119">
        <f t="shared" si="2"/>
        <v>61.199999999999996</v>
      </c>
      <c r="I12" s="80">
        <f>VLOOKUP(B12,All_Ingredients!$A$1:$F$149,6,FALSE())</f>
        <v>1</v>
      </c>
      <c r="J12" s="118">
        <f>VLOOKUP(B12,All_Ingredients!$A$1:$J$149,10,FALSE())</f>
        <v>0.74</v>
      </c>
      <c r="K12" s="121">
        <f t="shared" si="5"/>
        <v>6.1199999999999997E-2</v>
      </c>
      <c r="L12" s="121">
        <f t="shared" si="6"/>
        <v>4.5287999999999995E-2</v>
      </c>
    </row>
    <row r="13" spans="1:33" ht="14.25" customHeight="1" x14ac:dyDescent="0.25">
      <c r="A13" s="294" t="s">
        <v>95</v>
      </c>
      <c r="B13" s="322" t="s">
        <v>100</v>
      </c>
      <c r="C13" s="123" t="s">
        <v>14</v>
      </c>
      <c r="D13" s="196">
        <v>0.5</v>
      </c>
      <c r="E13" s="115">
        <f t="shared" si="0"/>
        <v>20.399999999999999</v>
      </c>
      <c r="F13" s="126">
        <v>1</v>
      </c>
      <c r="G13" s="118">
        <f t="shared" si="1"/>
        <v>10.199999999999999</v>
      </c>
      <c r="H13" s="119">
        <f t="shared" si="2"/>
        <v>10.199999999999999</v>
      </c>
      <c r="I13" s="80">
        <f>VLOOKUP(B13,All_Ingredients!$A$1:$F$149,6,FALSE())</f>
        <v>1</v>
      </c>
      <c r="J13" s="118">
        <f>VLOOKUP(B13,All_Ingredients!$A$1:$J$149,10,FALSE())</f>
        <v>31</v>
      </c>
      <c r="K13" s="121">
        <f t="shared" si="5"/>
        <v>1.0199999999999999E-2</v>
      </c>
      <c r="L13" s="121">
        <f t="shared" si="6"/>
        <v>0.31619999999999998</v>
      </c>
    </row>
    <row r="14" spans="1:33" ht="14.25" customHeight="1" x14ac:dyDescent="0.25">
      <c r="B14" s="355"/>
      <c r="C14" s="356"/>
      <c r="D14" s="358"/>
      <c r="E14" s="358"/>
      <c r="F14" s="359"/>
      <c r="G14" s="360"/>
      <c r="H14" s="361"/>
      <c r="I14" s="91"/>
      <c r="J14" s="138"/>
    </row>
    <row r="15" spans="1:33" ht="14.25" customHeight="1" x14ac:dyDescent="0.25">
      <c r="B15" s="348"/>
      <c r="C15" s="132"/>
      <c r="D15" s="253"/>
      <c r="E15" s="224"/>
      <c r="F15" s="135"/>
      <c r="G15" s="139"/>
      <c r="H15" s="137"/>
    </row>
    <row r="16" spans="1:33" ht="14.25" customHeight="1" x14ac:dyDescent="0.25">
      <c r="E16" s="99"/>
      <c r="F16" s="99"/>
    </row>
    <row r="17" spans="2:29" ht="14.25" customHeight="1" x14ac:dyDescent="0.25">
      <c r="D17" s="99"/>
      <c r="E17" s="99"/>
      <c r="F17" s="99"/>
    </row>
    <row r="18" spans="2:29" ht="14.25" customHeight="1" x14ac:dyDescent="0.25">
      <c r="D18" s="99"/>
      <c r="E18" s="99"/>
      <c r="F18" s="99"/>
    </row>
    <row r="19" spans="2:29" ht="14.25" customHeight="1" x14ac:dyDescent="0.25">
      <c r="D19" s="99"/>
      <c r="E19" s="99"/>
      <c r="F19" s="99"/>
    </row>
    <row r="20" spans="2:29" ht="14.25" customHeight="1" x14ac:dyDescent="0.25">
      <c r="D20" s="99"/>
      <c r="E20" s="99"/>
      <c r="F20" s="99"/>
    </row>
    <row r="21" spans="2:29" ht="14.25" customHeight="1" x14ac:dyDescent="0.3">
      <c r="D21" s="99"/>
      <c r="E21" s="99"/>
      <c r="F21" s="99"/>
      <c r="M21" s="1"/>
      <c r="N21"/>
      <c r="O21"/>
    </row>
    <row r="22" spans="2:29" ht="14.25" customHeight="1" x14ac:dyDescent="0.3">
      <c r="B22" s="11"/>
      <c r="C22" s="335"/>
      <c r="D22" s="99"/>
      <c r="E22" s="99"/>
      <c r="F22" s="99"/>
      <c r="M22" s="178"/>
      <c r="N22" s="489"/>
      <c r="O22"/>
    </row>
    <row r="23" spans="2:29" ht="14.25" customHeight="1" x14ac:dyDescent="0.3">
      <c r="B23" s="11"/>
      <c r="C23" s="335"/>
      <c r="D23" s="99"/>
      <c r="E23" s="99"/>
      <c r="F23" s="99"/>
    </row>
    <row r="24" spans="2:29" ht="14.25" customHeight="1" x14ac:dyDescent="0.3">
      <c r="B24" s="11"/>
      <c r="C24" s="335"/>
      <c r="D24" s="99"/>
      <c r="E24" s="99"/>
      <c r="F24" s="99"/>
      <c r="Z24" s="1208"/>
    </row>
    <row r="25" spans="2:29" ht="14.25" customHeight="1" x14ac:dyDescent="0.3">
      <c r="B25" s="11"/>
      <c r="C25" s="335"/>
      <c r="D25" s="99"/>
      <c r="E25" s="99"/>
      <c r="F25" s="99"/>
      <c r="R25" s="1467" t="s">
        <v>375</v>
      </c>
      <c r="S25" s="1444"/>
      <c r="T25" s="477"/>
      <c r="Z25" s="140" t="s">
        <v>14</v>
      </c>
      <c r="AA25" s="141">
        <v>1</v>
      </c>
      <c r="AB25" s="140" t="s">
        <v>253</v>
      </c>
      <c r="AC25" s="142">
        <f>(S33/S30)*AA25</f>
        <v>8.0315473049361995E-3</v>
      </c>
    </row>
    <row r="26" spans="2:29" ht="14.25" customHeight="1" x14ac:dyDescent="0.3">
      <c r="B26" s="11"/>
      <c r="C26" s="335"/>
      <c r="D26" s="336"/>
      <c r="E26" s="99"/>
      <c r="F26" s="99"/>
      <c r="R26" s="1477" t="s">
        <v>342</v>
      </c>
      <c r="S26" s="1446"/>
      <c r="T26" s="477"/>
    </row>
    <row r="27" spans="2:29" ht="14.25" customHeight="1" x14ac:dyDescent="0.3">
      <c r="B27" s="11"/>
      <c r="C27" s="335"/>
      <c r="D27" s="336"/>
      <c r="E27" s="99"/>
      <c r="F27" s="99"/>
      <c r="R27" s="144" t="s">
        <v>258</v>
      </c>
      <c r="S27" s="147" t="s">
        <v>261</v>
      </c>
    </row>
    <row r="28" spans="2:29" ht="14.25" customHeight="1" x14ac:dyDescent="0.3">
      <c r="B28" s="11"/>
      <c r="C28" s="335"/>
      <c r="D28" s="336"/>
      <c r="E28" s="99"/>
      <c r="F28" s="99"/>
      <c r="R28" s="144" t="s">
        <v>471</v>
      </c>
      <c r="S28" s="784">
        <f>Z1</f>
        <v>20400</v>
      </c>
    </row>
    <row r="29" spans="2:29" ht="14.25" customHeight="1" x14ac:dyDescent="0.3">
      <c r="B29" s="11"/>
      <c r="C29" s="335"/>
      <c r="D29" s="336"/>
      <c r="E29" s="99"/>
      <c r="F29" s="99"/>
      <c r="R29" s="144" t="s">
        <v>269</v>
      </c>
      <c r="S29" s="812">
        <f>AB1</f>
        <v>0</v>
      </c>
    </row>
    <row r="30" spans="2:29" ht="14.25" customHeight="1" x14ac:dyDescent="0.3">
      <c r="B30" s="11"/>
      <c r="C30" s="335"/>
      <c r="D30" s="336"/>
      <c r="E30" s="99"/>
      <c r="F30" s="99"/>
      <c r="R30" s="144" t="s">
        <v>261</v>
      </c>
      <c r="S30" s="338">
        <f>S28+S29</f>
        <v>20400</v>
      </c>
    </row>
    <row r="31" spans="2:29" ht="14.25" customHeight="1" x14ac:dyDescent="0.3">
      <c r="B31" s="11"/>
      <c r="C31" s="335"/>
      <c r="D31" s="336"/>
      <c r="E31" s="99"/>
      <c r="F31" s="99"/>
    </row>
    <row r="32" spans="2:29" ht="13" thickBot="1" x14ac:dyDescent="0.3">
      <c r="B32" s="99"/>
      <c r="E32" s="99"/>
      <c r="F32" s="99"/>
    </row>
    <row r="33" spans="2:19" ht="13.5" thickBot="1" x14ac:dyDescent="0.35">
      <c r="B33" s="99"/>
      <c r="E33" s="99"/>
      <c r="F33" s="99"/>
      <c r="R33" s="162" t="s">
        <v>253</v>
      </c>
      <c r="S33" s="1125">
        <f>SUM(L6:L13)</f>
        <v>163.84356502069846</v>
      </c>
    </row>
    <row r="41" spans="2:19" ht="14" customHeight="1" x14ac:dyDescent="0.25"/>
    <row r="42" spans="2:19" ht="14" customHeight="1" x14ac:dyDescent="0.25"/>
    <row r="50" spans="1:8" ht="14" x14ac:dyDescent="0.3">
      <c r="B50" s="225"/>
      <c r="C50" s="225" t="s">
        <v>237</v>
      </c>
      <c r="D50" s="225" t="s">
        <v>283</v>
      </c>
    </row>
    <row r="51" spans="1:8" ht="14" x14ac:dyDescent="0.3">
      <c r="B51" s="179" t="s">
        <v>287</v>
      </c>
      <c r="C51" s="180">
        <f>10/$K$1</f>
        <v>10</v>
      </c>
      <c r="D51" s="181">
        <f>$C$1*10</f>
        <v>10000</v>
      </c>
    </row>
    <row r="52" spans="1:8" ht="14" x14ac:dyDescent="0.3">
      <c r="B52" s="230" t="s">
        <v>261</v>
      </c>
      <c r="C52" s="232">
        <f>G1</f>
        <v>20.399999999999999</v>
      </c>
      <c r="D52" s="232">
        <f>E1</f>
        <v>20400</v>
      </c>
    </row>
    <row r="53" spans="1:8" ht="14" x14ac:dyDescent="0.3">
      <c r="B53" s="230" t="s">
        <v>288</v>
      </c>
      <c r="C53" s="233">
        <f>MIN($C$52, $C$51)</f>
        <v>10</v>
      </c>
      <c r="D53" s="232">
        <f>(C53*$K$1)*$C$1</f>
        <v>10000</v>
      </c>
    </row>
    <row r="54" spans="1:8" ht="14" x14ac:dyDescent="0.3">
      <c r="B54" s="230" t="s">
        <v>289</v>
      </c>
      <c r="C54" s="233">
        <f>MIN(MAX($C$52-C53,0),$C$51)</f>
        <v>10</v>
      </c>
      <c r="D54" s="232">
        <f>(C54*$K$1)*$C$1</f>
        <v>10000</v>
      </c>
    </row>
    <row r="55" spans="1:8" ht="14" x14ac:dyDescent="0.3">
      <c r="B55" s="230" t="s">
        <v>290</v>
      </c>
      <c r="C55" s="233">
        <f>MIN(MAX($C$52-C53-C54,0),$C$51)</f>
        <v>0.39999999999999858</v>
      </c>
      <c r="D55" s="232">
        <f>(C55*$K$1)*$C$1</f>
        <v>399.99999999999858</v>
      </c>
    </row>
    <row r="61" spans="1:8" ht="10.25" customHeight="1" x14ac:dyDescent="0.25"/>
    <row r="62" spans="1:8" ht="14" customHeight="1" x14ac:dyDescent="0.3">
      <c r="A62" s="927"/>
      <c r="B62" s="1438" t="s">
        <v>811</v>
      </c>
      <c r="C62" s="1439"/>
      <c r="D62" s="1439"/>
      <c r="E62" s="1439"/>
      <c r="F62" s="1439"/>
      <c r="G62" s="1439"/>
      <c r="H62" s="1439"/>
    </row>
    <row r="63" spans="1:8" ht="17.75" customHeight="1" x14ac:dyDescent="0.3">
      <c r="A63" s="927"/>
      <c r="B63" s="1438" t="s">
        <v>812</v>
      </c>
      <c r="C63" s="1439"/>
      <c r="D63" s="1439"/>
      <c r="E63" s="1439"/>
      <c r="F63" s="1439"/>
      <c r="G63" s="1439"/>
      <c r="H63" s="1439"/>
    </row>
    <row r="64" spans="1:8" ht="40.5" customHeight="1" x14ac:dyDescent="0.25">
      <c r="A64" s="90"/>
      <c r="B64" s="242" t="s">
        <v>245</v>
      </c>
      <c r="C64" s="243" t="s">
        <v>246</v>
      </c>
      <c r="D64" s="244" t="s">
        <v>235</v>
      </c>
      <c r="E64" s="217" t="s">
        <v>238</v>
      </c>
      <c r="F64" s="217" t="s">
        <v>247</v>
      </c>
      <c r="G64" s="244" t="s">
        <v>248</v>
      </c>
      <c r="H64" s="217" t="s">
        <v>249</v>
      </c>
    </row>
    <row r="65" spans="1:8" ht="14" x14ac:dyDescent="0.25">
      <c r="A65" s="294" t="s">
        <v>13</v>
      </c>
      <c r="B65" s="322" t="str">
        <f t="shared" ref="B65:D72" si="7">B6</f>
        <v>Carrot - جزر</v>
      </c>
      <c r="C65" s="123" t="str">
        <f t="shared" si="7"/>
        <v>gm</v>
      </c>
      <c r="D65" s="115">
        <f t="shared" si="7"/>
        <v>450</v>
      </c>
      <c r="E65" s="115">
        <f>$C$52</f>
        <v>20.399999999999999</v>
      </c>
      <c r="F65" s="126">
        <f t="shared" ref="F65:F72" si="8">F6</f>
        <v>1</v>
      </c>
      <c r="G65" s="118">
        <f t="shared" ref="G65:G72" si="9">D65*E65</f>
        <v>9180</v>
      </c>
      <c r="H65" s="119">
        <f t="shared" ref="H65:H72" si="10">G65*F65</f>
        <v>9180</v>
      </c>
    </row>
    <row r="66" spans="1:8" ht="14" x14ac:dyDescent="0.25">
      <c r="A66" s="294" t="s">
        <v>13</v>
      </c>
      <c r="B66" s="322" t="str">
        <f t="shared" si="7"/>
        <v>Zucchini - كوسة</v>
      </c>
      <c r="C66" s="123" t="str">
        <f t="shared" si="7"/>
        <v>gm</v>
      </c>
      <c r="D66" s="115">
        <f t="shared" si="7"/>
        <v>450</v>
      </c>
      <c r="E66" s="115">
        <f t="shared" ref="E66:E72" si="11">$C$52</f>
        <v>20.399999999999999</v>
      </c>
      <c r="F66" s="126">
        <f t="shared" si="8"/>
        <v>1</v>
      </c>
      <c r="G66" s="118">
        <f t="shared" si="9"/>
        <v>9180</v>
      </c>
      <c r="H66" s="119">
        <f t="shared" si="10"/>
        <v>9180</v>
      </c>
    </row>
    <row r="67" spans="1:8" ht="14.25" customHeight="1" x14ac:dyDescent="0.25">
      <c r="A67" s="294" t="s">
        <v>13</v>
      </c>
      <c r="B67" s="322" t="str">
        <f t="shared" si="7"/>
        <v xml:space="preserve">Red Bell Pepper - فلفل أحمر </v>
      </c>
      <c r="C67" s="123" t="str">
        <f t="shared" si="7"/>
        <v>gm</v>
      </c>
      <c r="D67" s="115">
        <f t="shared" si="7"/>
        <v>80</v>
      </c>
      <c r="E67" s="115">
        <f t="shared" si="11"/>
        <v>20.399999999999999</v>
      </c>
      <c r="F67" s="126">
        <f t="shared" si="8"/>
        <v>1</v>
      </c>
      <c r="G67" s="118">
        <f t="shared" si="9"/>
        <v>1632</v>
      </c>
      <c r="H67" s="119">
        <f t="shared" si="10"/>
        <v>1632</v>
      </c>
    </row>
    <row r="68" spans="1:8" ht="14.25" customHeight="1" x14ac:dyDescent="0.25">
      <c r="A68" s="294" t="s">
        <v>13</v>
      </c>
      <c r="B68" s="322" t="str">
        <f t="shared" si="7"/>
        <v xml:space="preserve">Yellow Bell Pepper - فلفل أصفر </v>
      </c>
      <c r="C68" s="123" t="str">
        <f t="shared" si="7"/>
        <v>gm</v>
      </c>
      <c r="D68" s="115">
        <f t="shared" si="7"/>
        <v>80</v>
      </c>
      <c r="E68" s="115">
        <f t="shared" si="11"/>
        <v>20.399999999999999</v>
      </c>
      <c r="F68" s="126">
        <f t="shared" si="8"/>
        <v>1</v>
      </c>
      <c r="G68" s="118">
        <f t="shared" si="9"/>
        <v>1632</v>
      </c>
      <c r="H68" s="119">
        <f t="shared" si="10"/>
        <v>1632</v>
      </c>
    </row>
    <row r="69" spans="1:8" ht="14.25" customHeight="1" x14ac:dyDescent="0.25">
      <c r="A69" s="294" t="s">
        <v>13</v>
      </c>
      <c r="B69" s="322" t="str">
        <f t="shared" si="7"/>
        <v>Green Bell Pepper - فلفل أخضر رومى</v>
      </c>
      <c r="C69" s="123" t="str">
        <f t="shared" si="7"/>
        <v>gm</v>
      </c>
      <c r="D69" s="115">
        <f t="shared" si="7"/>
        <v>80</v>
      </c>
      <c r="E69" s="115">
        <f t="shared" si="11"/>
        <v>20.399999999999999</v>
      </c>
      <c r="F69" s="126">
        <f t="shared" si="8"/>
        <v>1</v>
      </c>
      <c r="G69" s="118">
        <f t="shared" si="9"/>
        <v>1632</v>
      </c>
      <c r="H69" s="119">
        <f t="shared" si="10"/>
        <v>1632</v>
      </c>
    </row>
    <row r="70" spans="1:8" ht="14.25" customHeight="1" x14ac:dyDescent="0.25">
      <c r="A70" s="294" t="s">
        <v>13</v>
      </c>
      <c r="B70" s="322" t="str">
        <f t="shared" si="7"/>
        <v>Chinese Cabbage - ملفوف صيني</v>
      </c>
      <c r="C70" s="123" t="str">
        <f t="shared" si="7"/>
        <v>gm</v>
      </c>
      <c r="D70" s="115">
        <f t="shared" si="7"/>
        <v>80</v>
      </c>
      <c r="E70" s="115">
        <f t="shared" si="11"/>
        <v>20.399999999999999</v>
      </c>
      <c r="F70" s="126">
        <f t="shared" si="8"/>
        <v>1</v>
      </c>
      <c r="G70" s="118">
        <f t="shared" si="9"/>
        <v>1632</v>
      </c>
      <c r="H70" s="119">
        <f t="shared" si="10"/>
        <v>1632</v>
      </c>
    </row>
    <row r="71" spans="1:8" ht="14.25" customHeight="1" x14ac:dyDescent="0.25">
      <c r="A71" s="294" t="s">
        <v>95</v>
      </c>
      <c r="B71" s="322" t="str">
        <f t="shared" si="7"/>
        <v>Salt - ملح</v>
      </c>
      <c r="C71" s="123" t="str">
        <f t="shared" si="7"/>
        <v>gm</v>
      </c>
      <c r="D71" s="115">
        <f t="shared" si="7"/>
        <v>4</v>
      </c>
      <c r="E71" s="115">
        <f t="shared" si="11"/>
        <v>20.399999999999999</v>
      </c>
      <c r="F71" s="126">
        <f t="shared" si="8"/>
        <v>0.75</v>
      </c>
      <c r="G71" s="118">
        <f t="shared" si="9"/>
        <v>81.599999999999994</v>
      </c>
      <c r="H71" s="119">
        <f t="shared" si="10"/>
        <v>61.199999999999996</v>
      </c>
    </row>
    <row r="72" spans="1:8" ht="14.25" customHeight="1" x14ac:dyDescent="0.25">
      <c r="A72" s="294" t="s">
        <v>95</v>
      </c>
      <c r="B72" s="322" t="str">
        <f t="shared" si="7"/>
        <v>Black Pepper Powder - فلفل أسود مطحون</v>
      </c>
      <c r="C72" s="123" t="str">
        <f t="shared" si="7"/>
        <v>gm</v>
      </c>
      <c r="D72" s="222">
        <f t="shared" si="7"/>
        <v>0.5</v>
      </c>
      <c r="E72" s="115">
        <f t="shared" si="11"/>
        <v>20.399999999999999</v>
      </c>
      <c r="F72" s="126">
        <f t="shared" si="8"/>
        <v>1</v>
      </c>
      <c r="G72" s="118">
        <f t="shared" si="9"/>
        <v>10.199999999999999</v>
      </c>
      <c r="H72" s="119">
        <f t="shared" si="10"/>
        <v>10.199999999999999</v>
      </c>
    </row>
    <row r="73" spans="1:8" ht="17" customHeight="1" x14ac:dyDescent="0.25">
      <c r="B73" s="197" t="s">
        <v>740</v>
      </c>
      <c r="E73" s="99"/>
      <c r="F73" s="99"/>
    </row>
    <row r="74" spans="1:8" ht="20.75" customHeight="1" x14ac:dyDescent="0.4">
      <c r="B74" s="198">
        <f>D52</f>
        <v>20400</v>
      </c>
      <c r="C74" s="207"/>
      <c r="D74" s="4"/>
      <c r="E74" s="99"/>
      <c r="F74" s="182"/>
    </row>
    <row r="75" spans="1:8" ht="12.75" customHeight="1" x14ac:dyDescent="0.25">
      <c r="B75" s="99"/>
      <c r="E75" s="99"/>
      <c r="F75" s="99"/>
    </row>
    <row r="76" spans="1:8" ht="12.75" customHeight="1" x14ac:dyDescent="0.25">
      <c r="B76" s="99"/>
      <c r="C76" s="99"/>
      <c r="D76" s="345"/>
      <c r="E76" s="99"/>
      <c r="F76" s="99"/>
      <c r="G76" s="99"/>
      <c r="H76" s="99"/>
    </row>
    <row r="77" spans="1:8" ht="12.75" customHeight="1" x14ac:dyDescent="0.25">
      <c r="B77" s="99"/>
      <c r="C77" s="99"/>
      <c r="D77" s="99"/>
      <c r="E77" s="99"/>
      <c r="F77" s="99"/>
      <c r="G77" s="99"/>
      <c r="H77" s="99"/>
    </row>
    <row r="78" spans="1:8" ht="17.75" customHeight="1" x14ac:dyDescent="0.3">
      <c r="B78" s="1465"/>
      <c r="C78" s="1458"/>
      <c r="D78" s="1458"/>
      <c r="E78" s="1458"/>
      <c r="F78" s="1458"/>
      <c r="G78" s="1458"/>
      <c r="H78" s="1458"/>
    </row>
    <row r="79" spans="1:8" ht="17.75" customHeight="1" x14ac:dyDescent="0.3">
      <c r="B79" s="1465"/>
      <c r="C79" s="1458"/>
      <c r="D79" s="1458"/>
      <c r="E79" s="1458"/>
      <c r="F79" s="1458"/>
      <c r="G79" s="1458"/>
      <c r="H79" s="1458"/>
    </row>
    <row r="80" spans="1:8" ht="39.5" customHeight="1" x14ac:dyDescent="0.25">
      <c r="A80" s="370"/>
      <c r="B80" s="346"/>
      <c r="C80" s="347"/>
      <c r="D80" s="346"/>
      <c r="E80" s="346"/>
      <c r="F80" s="346"/>
      <c r="G80" s="346"/>
      <c r="H80" s="346"/>
    </row>
    <row r="81" spans="1:8" ht="14" x14ac:dyDescent="0.25">
      <c r="B81" s="348"/>
      <c r="C81" s="348"/>
      <c r="D81" s="332"/>
      <c r="E81" s="332"/>
      <c r="F81" s="135"/>
      <c r="G81" s="136"/>
      <c r="H81" s="137"/>
    </row>
    <row r="82" spans="1:8" ht="14" x14ac:dyDescent="0.25">
      <c r="B82" s="348"/>
      <c r="C82" s="348"/>
      <c r="D82" s="332"/>
      <c r="E82" s="332"/>
      <c r="F82" s="135"/>
      <c r="G82" s="136"/>
      <c r="H82" s="137"/>
    </row>
    <row r="83" spans="1:8" ht="14.25" customHeight="1" x14ac:dyDescent="0.25">
      <c r="B83" s="348"/>
      <c r="C83" s="348"/>
      <c r="D83" s="332"/>
      <c r="E83" s="332"/>
      <c r="F83" s="135"/>
      <c r="G83" s="136"/>
      <c r="H83" s="137"/>
    </row>
    <row r="84" spans="1:8" ht="14.25" customHeight="1" x14ac:dyDescent="0.25">
      <c r="B84" s="348"/>
      <c r="C84" s="348"/>
      <c r="D84" s="332"/>
      <c r="E84" s="332"/>
      <c r="F84" s="135"/>
      <c r="G84" s="136"/>
      <c r="H84" s="137"/>
    </row>
    <row r="85" spans="1:8" ht="14.25" customHeight="1" x14ac:dyDescent="0.25">
      <c r="B85" s="348"/>
      <c r="C85" s="348"/>
      <c r="D85" s="332"/>
      <c r="E85" s="332"/>
      <c r="F85" s="135"/>
      <c r="G85" s="136"/>
      <c r="H85" s="137"/>
    </row>
    <row r="86" spans="1:8" ht="14.25" customHeight="1" x14ac:dyDescent="0.25">
      <c r="B86" s="348"/>
      <c r="C86" s="348"/>
      <c r="D86" s="332"/>
      <c r="E86" s="332"/>
      <c r="F86" s="135"/>
      <c r="G86" s="136"/>
      <c r="H86" s="137"/>
    </row>
    <row r="87" spans="1:8" ht="14.25" customHeight="1" x14ac:dyDescent="0.25">
      <c r="B87" s="348"/>
      <c r="C87" s="348"/>
      <c r="D87" s="332"/>
      <c r="E87" s="332"/>
      <c r="F87" s="135"/>
      <c r="G87" s="136"/>
      <c r="H87" s="137"/>
    </row>
    <row r="88" spans="1:8" ht="14.25" customHeight="1" x14ac:dyDescent="0.25">
      <c r="B88" s="348"/>
      <c r="C88" s="348"/>
      <c r="D88" s="295"/>
      <c r="E88" s="332"/>
      <c r="F88" s="135"/>
      <c r="G88" s="136"/>
      <c r="H88" s="137"/>
    </row>
    <row r="89" spans="1:8" ht="12.75" customHeight="1" x14ac:dyDescent="0.25">
      <c r="B89" s="203"/>
      <c r="E89" s="99"/>
      <c r="F89" s="99"/>
    </row>
    <row r="90" spans="1:8" ht="21.5" customHeight="1" x14ac:dyDescent="0.4">
      <c r="B90" s="481"/>
      <c r="C90" s="207"/>
      <c r="D90" s="4"/>
      <c r="E90" s="99"/>
      <c r="F90" s="182"/>
    </row>
    <row r="91" spans="1:8" ht="12.75" customHeight="1" x14ac:dyDescent="0.25">
      <c r="B91" s="99"/>
      <c r="C91" s="99"/>
      <c r="D91" s="99"/>
      <c r="E91" s="99"/>
      <c r="F91" s="99"/>
      <c r="G91" s="99"/>
      <c r="H91" s="99"/>
    </row>
    <row r="92" spans="1:8" ht="12.75" customHeight="1" x14ac:dyDescent="0.25">
      <c r="B92" s="99"/>
      <c r="C92" s="99"/>
      <c r="D92" s="99"/>
      <c r="E92" s="99"/>
      <c r="F92" s="99"/>
      <c r="G92" s="99"/>
      <c r="H92" s="99"/>
    </row>
    <row r="93" spans="1:8" ht="17.75" customHeight="1" x14ac:dyDescent="0.3">
      <c r="B93" s="1465"/>
      <c r="C93" s="1458"/>
      <c r="D93" s="1458"/>
      <c r="E93" s="1458"/>
      <c r="F93" s="1458"/>
      <c r="G93" s="1458"/>
      <c r="H93" s="1458"/>
    </row>
    <row r="94" spans="1:8" ht="17.75" customHeight="1" x14ac:dyDescent="0.3">
      <c r="B94" s="1465"/>
      <c r="C94" s="1458"/>
      <c r="D94" s="1458"/>
      <c r="E94" s="1458"/>
      <c r="F94" s="1458"/>
      <c r="G94" s="1458"/>
      <c r="H94" s="1458"/>
    </row>
    <row r="95" spans="1:8" ht="48" customHeight="1" x14ac:dyDescent="0.25">
      <c r="A95" s="370"/>
      <c r="B95" s="346"/>
      <c r="C95" s="347"/>
      <c r="D95" s="346"/>
      <c r="E95" s="346"/>
      <c r="F95" s="346"/>
      <c r="G95" s="346"/>
      <c r="H95" s="346"/>
    </row>
    <row r="96" spans="1:8" ht="14" x14ac:dyDescent="0.25">
      <c r="B96" s="348"/>
      <c r="C96" s="348"/>
      <c r="D96" s="348"/>
      <c r="E96" s="480"/>
      <c r="F96" s="135"/>
      <c r="G96" s="136"/>
      <c r="H96" s="137"/>
    </row>
    <row r="97" spans="2:8" ht="14.25" customHeight="1" x14ac:dyDescent="0.25">
      <c r="B97" s="348"/>
      <c r="C97" s="348"/>
      <c r="D97" s="348"/>
      <c r="E97" s="480"/>
      <c r="F97" s="135"/>
      <c r="G97" s="136"/>
      <c r="H97" s="137"/>
    </row>
    <row r="98" spans="2:8" ht="14.25" customHeight="1" x14ac:dyDescent="0.25">
      <c r="B98" s="348"/>
      <c r="C98" s="348"/>
      <c r="D98" s="348"/>
      <c r="E98" s="480"/>
      <c r="F98" s="135"/>
      <c r="G98" s="136"/>
      <c r="H98" s="137"/>
    </row>
    <row r="99" spans="2:8" ht="14.25" customHeight="1" x14ac:dyDescent="0.25">
      <c r="B99" s="348"/>
      <c r="C99" s="348"/>
      <c r="D99" s="348"/>
      <c r="E99" s="480"/>
      <c r="F99" s="135"/>
      <c r="G99" s="136"/>
      <c r="H99" s="137"/>
    </row>
    <row r="100" spans="2:8" ht="14.25" customHeight="1" x14ac:dyDescent="0.25">
      <c r="B100" s="348"/>
      <c r="C100" s="348"/>
      <c r="D100" s="348"/>
      <c r="E100" s="480"/>
      <c r="F100" s="135"/>
      <c r="G100" s="136"/>
      <c r="H100" s="137"/>
    </row>
    <row r="101" spans="2:8" ht="14.25" customHeight="1" x14ac:dyDescent="0.25">
      <c r="B101" s="348"/>
      <c r="C101" s="348"/>
      <c r="D101" s="348"/>
      <c r="E101" s="480"/>
      <c r="F101" s="135"/>
      <c r="G101" s="136"/>
      <c r="H101" s="137"/>
    </row>
    <row r="102" spans="2:8" ht="14.25" customHeight="1" x14ac:dyDescent="0.25">
      <c r="B102" s="348"/>
      <c r="C102" s="348"/>
      <c r="D102" s="348"/>
      <c r="E102" s="480"/>
      <c r="F102" s="135"/>
      <c r="G102" s="136"/>
      <c r="H102" s="137"/>
    </row>
    <row r="103" spans="2:8" ht="14.25" customHeight="1" x14ac:dyDescent="0.25">
      <c r="B103" s="348"/>
      <c r="C103" s="348"/>
      <c r="D103" s="348"/>
      <c r="E103" s="480"/>
      <c r="F103" s="135"/>
      <c r="G103" s="593"/>
      <c r="H103" s="1154"/>
    </row>
    <row r="104" spans="2:8" ht="15.5" x14ac:dyDescent="0.25">
      <c r="B104" s="203"/>
    </row>
    <row r="105" spans="2:8" ht="20" x14ac:dyDescent="0.4">
      <c r="B105" s="481"/>
    </row>
  </sheetData>
  <mergeCells count="10">
    <mergeCell ref="AE2:AG3"/>
    <mergeCell ref="R26:S26"/>
    <mergeCell ref="B93:H93"/>
    <mergeCell ref="B94:H94"/>
    <mergeCell ref="B79:H79"/>
    <mergeCell ref="R25:S25"/>
    <mergeCell ref="B62:H62"/>
    <mergeCell ref="B78:H78"/>
    <mergeCell ref="B2:H3"/>
    <mergeCell ref="B63:H63"/>
  </mergeCells>
  <printOptions horizontalCentered="1"/>
  <pageMargins left="0.5" right="0.5" top="1" bottom="0.5" header="0.3" footer="0.511811023622047"/>
  <pageSetup paperSize="9" scale="32" orientation="portrait"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183A8-D3C1-4CDE-AC95-C8022719B214}">
  <sheetPr codeName="Sheet81">
    <tabColor theme="5" tint="-0.249977111117893"/>
    <pageSetUpPr fitToPage="1"/>
  </sheetPr>
  <dimension ref="A1:AD62"/>
  <sheetViews>
    <sheetView topLeftCell="J16" zoomScale="85" zoomScaleNormal="85" workbookViewId="0">
      <selection activeCell="V45" sqref="V45"/>
    </sheetView>
  </sheetViews>
  <sheetFormatPr defaultColWidth="12.5" defaultRowHeight="12.5" x14ac:dyDescent="0.3"/>
  <cols>
    <col min="1" max="1" width="8.08203125" style="693" customWidth="1"/>
    <col min="2" max="2" width="40.25" style="693" customWidth="1"/>
    <col min="3" max="3" width="24" style="693" customWidth="1"/>
    <col min="4" max="4" width="21.83203125" style="693" customWidth="1"/>
    <col min="5" max="5" width="16.1640625" style="693" customWidth="1"/>
    <col min="6" max="6" width="19.6640625" style="693" customWidth="1"/>
    <col min="7" max="7" width="10.83203125" style="693" customWidth="1"/>
    <col min="8" max="8" width="17.33203125" style="693" customWidth="1"/>
    <col min="9" max="11" width="12.5" style="693"/>
    <col min="12" max="12" width="8.33203125" style="693" customWidth="1"/>
    <col min="13" max="17" width="3.83203125" style="693" customWidth="1"/>
    <col min="18" max="16384" width="12.5" style="693"/>
  </cols>
  <sheetData>
    <row r="1" spans="1:30" ht="36" customHeight="1" x14ac:dyDescent="0.3">
      <c r="B1" s="748" t="s">
        <v>550</v>
      </c>
      <c r="C1" s="752">
        <v>5000</v>
      </c>
      <c r="D1" s="751" t="s">
        <v>236</v>
      </c>
      <c r="E1" s="750">
        <f>T29</f>
        <v>2725.5</v>
      </c>
      <c r="F1" s="748" t="s">
        <v>237</v>
      </c>
      <c r="G1" s="749">
        <f>E1/C1</f>
        <v>0.54510000000000003</v>
      </c>
      <c r="H1" s="748" t="s">
        <v>238</v>
      </c>
      <c r="I1" s="747">
        <f>(G1/K1)</f>
        <v>0.54510000000000003</v>
      </c>
      <c r="J1" s="746" t="s">
        <v>239</v>
      </c>
      <c r="K1" s="745">
        <v>1</v>
      </c>
      <c r="L1" s="700"/>
      <c r="M1" s="700"/>
      <c r="N1" s="700"/>
      <c r="Y1" s="90" t="s">
        <v>463</v>
      </c>
      <c r="Z1" s="835">
        <v>17670</v>
      </c>
      <c r="AA1" s="90" t="s">
        <v>578</v>
      </c>
      <c r="AB1" s="835">
        <v>500</v>
      </c>
      <c r="AC1" s="90" t="s">
        <v>567</v>
      </c>
      <c r="AD1" s="835">
        <v>119</v>
      </c>
    </row>
    <row r="2" spans="1:30" ht="12.75" customHeight="1" x14ac:dyDescent="0.3">
      <c r="A2" s="1468"/>
      <c r="B2" s="1531" t="s">
        <v>554</v>
      </c>
      <c r="C2" s="1531"/>
      <c r="D2" s="1531"/>
      <c r="E2" s="1531"/>
      <c r="F2" s="1531"/>
      <c r="G2" s="1531"/>
      <c r="H2" s="1531"/>
      <c r="I2" s="716"/>
      <c r="J2" s="716"/>
      <c r="K2" s="1470"/>
      <c r="L2" s="700"/>
      <c r="M2" s="700"/>
      <c r="N2" s="700"/>
    </row>
    <row r="3" spans="1:30" ht="12.75" customHeight="1" x14ac:dyDescent="0.3">
      <c r="A3" s="1468"/>
      <c r="B3" s="1468"/>
      <c r="C3" s="1468"/>
      <c r="D3" s="1468"/>
      <c r="E3" s="1468"/>
      <c r="F3" s="1468"/>
      <c r="G3" s="1468"/>
      <c r="H3" s="1468"/>
      <c r="I3" s="715"/>
      <c r="J3" s="715"/>
      <c r="K3" s="1471"/>
      <c r="L3" s="700"/>
      <c r="M3" s="700"/>
      <c r="N3" s="700"/>
    </row>
    <row r="4" spans="1:30" ht="57" customHeight="1" x14ac:dyDescent="0.3">
      <c r="A4" s="698" t="s">
        <v>1</v>
      </c>
      <c r="B4" s="698" t="s">
        <v>245</v>
      </c>
      <c r="C4" s="699" t="s">
        <v>321</v>
      </c>
      <c r="D4" s="699" t="s">
        <v>548</v>
      </c>
      <c r="E4" s="714" t="s">
        <v>547</v>
      </c>
      <c r="F4" s="713" t="s">
        <v>247</v>
      </c>
      <c r="G4" s="712" t="s">
        <v>248</v>
      </c>
      <c r="H4" s="711" t="s">
        <v>326</v>
      </c>
      <c r="I4" s="90" t="s">
        <v>250</v>
      </c>
      <c r="J4" s="90" t="s">
        <v>251</v>
      </c>
      <c r="K4" s="90" t="s">
        <v>252</v>
      </c>
      <c r="L4" s="90" t="s">
        <v>253</v>
      </c>
      <c r="M4" s="700"/>
      <c r="N4" s="700"/>
    </row>
    <row r="5" spans="1:30" x14ac:dyDescent="0.25">
      <c r="B5" s="697" t="s">
        <v>55</v>
      </c>
      <c r="C5" s="705" t="s">
        <v>14</v>
      </c>
      <c r="D5" s="740">
        <v>125</v>
      </c>
      <c r="E5" s="696">
        <f t="shared" ref="E5:E19" si="0">$G$1</f>
        <v>0.54510000000000003</v>
      </c>
      <c r="F5" s="695">
        <v>1</v>
      </c>
      <c r="G5" s="739">
        <f t="shared" ref="G5:G20" si="1">D5*E5</f>
        <v>68.137500000000003</v>
      </c>
      <c r="H5" s="744">
        <f t="shared" ref="H5:H20" si="2">G5*F5</f>
        <v>68.137500000000003</v>
      </c>
      <c r="I5" s="80">
        <f>VLOOKUP(B5,All_Ingredients!$A$1:$F$149,6,FALSE())</f>
        <v>0.87</v>
      </c>
      <c r="J5" s="118">
        <f>VLOOKUP(B5,All_Ingredients!$A$1:$J$149,10,FALSE())</f>
        <v>7</v>
      </c>
      <c r="K5" s="121">
        <f t="shared" ref="K5" si="3">(H5/I5)/1000</f>
        <v>7.8318965517241379E-2</v>
      </c>
      <c r="L5" s="121">
        <f t="shared" ref="L5" si="4">K5*J5</f>
        <v>0.54823275862068965</v>
      </c>
    </row>
    <row r="6" spans="1:30" x14ac:dyDescent="0.25">
      <c r="B6" s="697" t="s">
        <v>762</v>
      </c>
      <c r="C6" s="705" t="s">
        <v>14</v>
      </c>
      <c r="D6" s="740">
        <v>250</v>
      </c>
      <c r="E6" s="696">
        <f t="shared" si="0"/>
        <v>0.54510000000000003</v>
      </c>
      <c r="F6" s="695">
        <v>1</v>
      </c>
      <c r="G6" s="739">
        <f t="shared" si="1"/>
        <v>136.27500000000001</v>
      </c>
      <c r="H6" s="694">
        <f t="shared" si="2"/>
        <v>136.27500000000001</v>
      </c>
      <c r="I6" s="80">
        <f>VLOOKUP(B6,All_Ingredients!$A$1:$F$149,6,FALSE())</f>
        <v>1</v>
      </c>
      <c r="J6" s="118">
        <f>VLOOKUP(B6,All_Ingredients!$A$1:$J$149,10,FALSE())</f>
        <v>10.5</v>
      </c>
      <c r="K6" s="121">
        <f t="shared" ref="K6:K20" si="5">(H6/I6)/1000</f>
        <v>0.13627500000000001</v>
      </c>
      <c r="L6" s="121">
        <f t="shared" ref="L6:L20" si="6">K6*J6</f>
        <v>1.4308875000000001</v>
      </c>
    </row>
    <row r="7" spans="1:30" x14ac:dyDescent="0.25">
      <c r="B7" s="697" t="s">
        <v>195</v>
      </c>
      <c r="C7" s="705" t="s">
        <v>14</v>
      </c>
      <c r="D7" s="740">
        <v>250</v>
      </c>
      <c r="E7" s="696">
        <f t="shared" si="0"/>
        <v>0.54510000000000003</v>
      </c>
      <c r="F7" s="695">
        <v>1</v>
      </c>
      <c r="G7" s="739">
        <f t="shared" si="1"/>
        <v>136.27500000000001</v>
      </c>
      <c r="H7" s="694">
        <f t="shared" si="2"/>
        <v>136.27500000000001</v>
      </c>
      <c r="I7" s="80">
        <f>VLOOKUP(B7,All_Ingredients!$A$1:$F$149,6,FALSE())</f>
        <v>1</v>
      </c>
      <c r="J7" s="118">
        <f>VLOOKUP(B7,All_Ingredients!$A$1:$J$149,10,FALSE())</f>
        <v>37.001287001286997</v>
      </c>
      <c r="K7" s="121">
        <f t="shared" si="5"/>
        <v>0.13627500000000001</v>
      </c>
      <c r="L7" s="121">
        <f t="shared" si="6"/>
        <v>5.0423503861003853</v>
      </c>
    </row>
    <row r="8" spans="1:30" x14ac:dyDescent="0.25">
      <c r="B8" s="697" t="s">
        <v>19</v>
      </c>
      <c r="C8" s="705" t="s">
        <v>14</v>
      </c>
      <c r="D8" s="740">
        <v>500</v>
      </c>
      <c r="E8" s="743">
        <f t="shared" si="0"/>
        <v>0.54510000000000003</v>
      </c>
      <c r="F8" s="710">
        <v>1</v>
      </c>
      <c r="G8" s="742">
        <f t="shared" si="1"/>
        <v>272.55</v>
      </c>
      <c r="H8" s="741">
        <f t="shared" si="2"/>
        <v>272.55</v>
      </c>
      <c r="I8" s="80">
        <f>VLOOKUP(B8,All_Ingredients!$A$1:$F$149,6,FALSE())</f>
        <v>0.84</v>
      </c>
      <c r="J8" s="118">
        <f>VLOOKUP(B8,All_Ingredients!$A$1:$J$149,10,FALSE())</f>
        <v>2.6</v>
      </c>
      <c r="K8" s="121">
        <f t="shared" si="5"/>
        <v>0.32446428571428571</v>
      </c>
      <c r="L8" s="121">
        <f t="shared" si="6"/>
        <v>0.84360714285714289</v>
      </c>
    </row>
    <row r="9" spans="1:30" x14ac:dyDescent="0.25">
      <c r="B9" s="697" t="s">
        <v>553</v>
      </c>
      <c r="C9" s="705" t="s">
        <v>14</v>
      </c>
      <c r="D9" s="740">
        <v>250</v>
      </c>
      <c r="E9" s="743">
        <f t="shared" si="0"/>
        <v>0.54510000000000003</v>
      </c>
      <c r="F9" s="710">
        <v>1</v>
      </c>
      <c r="G9" s="742">
        <f t="shared" si="1"/>
        <v>136.27500000000001</v>
      </c>
      <c r="H9" s="741">
        <f t="shared" si="2"/>
        <v>136.27500000000001</v>
      </c>
      <c r="I9" s="80">
        <f>VLOOKUP(B9,All_Ingredients!$A$1:$F$149,6,FALSE())</f>
        <v>0.56999999999999995</v>
      </c>
      <c r="J9" s="118">
        <f>VLOOKUP(B9,All_Ingredients!$A$1:$J$149,10,FALSE())</f>
        <v>5</v>
      </c>
      <c r="K9" s="121">
        <f t="shared" si="5"/>
        <v>0.23907894736842106</v>
      </c>
      <c r="L9" s="121">
        <f t="shared" si="6"/>
        <v>1.1953947368421054</v>
      </c>
    </row>
    <row r="10" spans="1:30" x14ac:dyDescent="0.25">
      <c r="B10" s="697" t="s">
        <v>100</v>
      </c>
      <c r="C10" s="705" t="s">
        <v>14</v>
      </c>
      <c r="D10" s="740">
        <v>10</v>
      </c>
      <c r="E10" s="743">
        <f t="shared" si="0"/>
        <v>0.54510000000000003</v>
      </c>
      <c r="F10" s="710">
        <v>1</v>
      </c>
      <c r="G10" s="742">
        <f t="shared" si="1"/>
        <v>5.4510000000000005</v>
      </c>
      <c r="H10" s="741">
        <f t="shared" si="2"/>
        <v>5.4510000000000005</v>
      </c>
      <c r="I10" s="80">
        <f>VLOOKUP(B10,All_Ingredients!$A$1:$F$149,6,FALSE())</f>
        <v>1</v>
      </c>
      <c r="J10" s="118">
        <f>VLOOKUP(B10,All_Ingredients!$A$1:$J$149,10,FALSE())</f>
        <v>31</v>
      </c>
      <c r="K10" s="121">
        <f t="shared" si="5"/>
        <v>5.4510000000000001E-3</v>
      </c>
      <c r="L10" s="121">
        <f t="shared" si="6"/>
        <v>0.16898099999999999</v>
      </c>
    </row>
    <row r="11" spans="1:30" ht="13.5" customHeight="1" x14ac:dyDescent="0.25">
      <c r="B11" s="697" t="s">
        <v>28</v>
      </c>
      <c r="C11" s="705" t="s">
        <v>14</v>
      </c>
      <c r="D11" s="740">
        <v>250</v>
      </c>
      <c r="E11" s="743">
        <f t="shared" si="0"/>
        <v>0.54510000000000003</v>
      </c>
      <c r="F11" s="710">
        <v>1</v>
      </c>
      <c r="G11" s="742">
        <f t="shared" si="1"/>
        <v>136.27500000000001</v>
      </c>
      <c r="H11" s="741">
        <f t="shared" si="2"/>
        <v>136.27500000000001</v>
      </c>
      <c r="I11" s="80">
        <f>VLOOKUP(B11,All_Ingredients!$A$1:$F$149,6,FALSE())</f>
        <v>0.73</v>
      </c>
      <c r="J11" s="118">
        <f>VLOOKUP(B11,All_Ingredients!$A$1:$J$149,10,FALSE())</f>
        <v>8.5</v>
      </c>
      <c r="K11" s="121">
        <f t="shared" si="5"/>
        <v>0.18667808219178084</v>
      </c>
      <c r="L11" s="121">
        <f t="shared" si="6"/>
        <v>1.5867636986301372</v>
      </c>
    </row>
    <row r="12" spans="1:30" ht="13.5" customHeight="1" x14ac:dyDescent="0.25">
      <c r="B12" s="697" t="s">
        <v>30</v>
      </c>
      <c r="C12" s="705" t="s">
        <v>14</v>
      </c>
      <c r="D12" s="740">
        <v>250</v>
      </c>
      <c r="E12" s="743">
        <f t="shared" si="0"/>
        <v>0.54510000000000003</v>
      </c>
      <c r="F12" s="710">
        <v>1</v>
      </c>
      <c r="G12" s="742">
        <f t="shared" si="1"/>
        <v>136.27500000000001</v>
      </c>
      <c r="H12" s="741">
        <f t="shared" si="2"/>
        <v>136.27500000000001</v>
      </c>
      <c r="I12" s="80">
        <f>VLOOKUP(B12,All_Ingredients!$A$1:$F$149,6,FALSE())</f>
        <v>0.71</v>
      </c>
      <c r="J12" s="118">
        <f>VLOOKUP(B12,All_Ingredients!$A$1:$J$149,10,FALSE())</f>
        <v>8.5</v>
      </c>
      <c r="K12" s="121">
        <f t="shared" si="5"/>
        <v>0.19193661971830989</v>
      </c>
      <c r="L12" s="121">
        <f t="shared" si="6"/>
        <v>1.6314612676056339</v>
      </c>
    </row>
    <row r="13" spans="1:30" ht="13.5" customHeight="1" x14ac:dyDescent="0.25">
      <c r="B13" s="697" t="s">
        <v>32</v>
      </c>
      <c r="C13" s="705" t="s">
        <v>14</v>
      </c>
      <c r="D13" s="740">
        <v>250</v>
      </c>
      <c r="E13" s="743">
        <f t="shared" si="0"/>
        <v>0.54510000000000003</v>
      </c>
      <c r="F13" s="710">
        <v>1</v>
      </c>
      <c r="G13" s="742">
        <f t="shared" si="1"/>
        <v>136.27500000000001</v>
      </c>
      <c r="H13" s="741">
        <f t="shared" si="2"/>
        <v>136.27500000000001</v>
      </c>
      <c r="I13" s="80">
        <f>VLOOKUP(B13,All_Ingredients!$A$1:$F$149,6,FALSE())</f>
        <v>0.69</v>
      </c>
      <c r="J13" s="118">
        <f>VLOOKUP(B13,All_Ingredients!$A$1:$J$149,10,FALSE())</f>
        <v>4</v>
      </c>
      <c r="K13" s="121">
        <f t="shared" si="5"/>
        <v>0.19750000000000004</v>
      </c>
      <c r="L13" s="121">
        <f t="shared" si="6"/>
        <v>0.79000000000000015</v>
      </c>
    </row>
    <row r="14" spans="1:30" ht="13.5" customHeight="1" x14ac:dyDescent="0.25">
      <c r="B14" s="697" t="s">
        <v>180</v>
      </c>
      <c r="C14" s="705" t="s">
        <v>14</v>
      </c>
      <c r="D14" s="740">
        <v>250</v>
      </c>
      <c r="E14" s="743">
        <f t="shared" si="0"/>
        <v>0.54510000000000003</v>
      </c>
      <c r="F14" s="710">
        <v>1</v>
      </c>
      <c r="G14" s="742">
        <f t="shared" si="1"/>
        <v>136.27500000000001</v>
      </c>
      <c r="H14" s="741">
        <f t="shared" si="2"/>
        <v>136.27500000000001</v>
      </c>
      <c r="I14" s="80">
        <f>VLOOKUP(B14,All_Ingredients!$A$1:$F$149,6,FALSE())</f>
        <v>1</v>
      </c>
      <c r="J14" s="118">
        <f>VLOOKUP(B14,All_Ingredients!$A$1:$J$149,10,FALSE())</f>
        <v>40</v>
      </c>
      <c r="K14" s="121">
        <f t="shared" si="5"/>
        <v>0.13627500000000001</v>
      </c>
      <c r="L14" s="121">
        <f t="shared" si="6"/>
        <v>5.4510000000000005</v>
      </c>
      <c r="N14" s="1474"/>
      <c r="O14" s="1474"/>
    </row>
    <row r="15" spans="1:30" ht="14.25" customHeight="1" x14ac:dyDescent="0.25">
      <c r="B15" s="697" t="s">
        <v>194</v>
      </c>
      <c r="C15" s="705" t="s">
        <v>161</v>
      </c>
      <c r="D15" s="740">
        <v>100</v>
      </c>
      <c r="E15" s="743">
        <f t="shared" si="0"/>
        <v>0.54510000000000003</v>
      </c>
      <c r="F15" s="710">
        <v>1</v>
      </c>
      <c r="G15" s="742">
        <f t="shared" si="1"/>
        <v>54.510000000000005</v>
      </c>
      <c r="H15" s="741">
        <f t="shared" si="2"/>
        <v>54.510000000000005</v>
      </c>
      <c r="I15" s="80">
        <f>VLOOKUP(B15,All_Ingredients!$A$1:$F$149,6,FALSE())</f>
        <v>1</v>
      </c>
      <c r="J15" s="118">
        <f>VLOOKUP(B15,All_Ingredients!$A$1:$J$149,10,FALSE())</f>
        <v>58.685446009389672</v>
      </c>
      <c r="K15" s="121">
        <f t="shared" si="5"/>
        <v>5.4510000000000003E-2</v>
      </c>
      <c r="L15" s="121">
        <f t="shared" si="6"/>
        <v>3.198943661971831</v>
      </c>
    </row>
    <row r="16" spans="1:30" ht="14.25" customHeight="1" x14ac:dyDescent="0.25">
      <c r="B16" s="697" t="s">
        <v>552</v>
      </c>
      <c r="C16" s="705" t="s">
        <v>14</v>
      </c>
      <c r="D16" s="740">
        <v>100</v>
      </c>
      <c r="E16" s="743">
        <f t="shared" si="0"/>
        <v>0.54510000000000003</v>
      </c>
      <c r="F16" s="710">
        <v>1</v>
      </c>
      <c r="G16" s="742">
        <f t="shared" si="1"/>
        <v>54.510000000000005</v>
      </c>
      <c r="H16" s="741">
        <f t="shared" si="2"/>
        <v>54.510000000000005</v>
      </c>
      <c r="I16" s="80">
        <f>VLOOKUP(B16,All_Ingredients!$A$1:$F$149,6,FALSE())</f>
        <v>1</v>
      </c>
      <c r="J16" s="118">
        <f>VLOOKUP(B16,All_Ingredients!$A$1:$J$149,10,FALSE())</f>
        <v>0</v>
      </c>
      <c r="K16" s="121">
        <f t="shared" si="5"/>
        <v>5.4510000000000003E-2</v>
      </c>
      <c r="L16" s="121">
        <f t="shared" si="6"/>
        <v>0</v>
      </c>
    </row>
    <row r="17" spans="2:29" ht="14.5" x14ac:dyDescent="0.35">
      <c r="B17" s="697" t="s">
        <v>200</v>
      </c>
      <c r="C17" s="992" t="s">
        <v>161</v>
      </c>
      <c r="D17" s="740">
        <v>100</v>
      </c>
      <c r="E17" s="696">
        <f t="shared" si="0"/>
        <v>0.54510000000000003</v>
      </c>
      <c r="F17" s="695">
        <v>1</v>
      </c>
      <c r="G17" s="739">
        <f t="shared" si="1"/>
        <v>54.510000000000005</v>
      </c>
      <c r="H17" s="694">
        <f t="shared" si="2"/>
        <v>54.510000000000005</v>
      </c>
      <c r="I17" s="80">
        <f>VLOOKUP(B17,All_Ingredients!$A$1:$F$149,6,FALSE())</f>
        <v>1</v>
      </c>
      <c r="J17" s="118">
        <f>VLOOKUP(B17,All_Ingredients!$A$1:$J$149,10,FALSE())</f>
        <v>3.25</v>
      </c>
      <c r="K17" s="121">
        <f t="shared" si="5"/>
        <v>5.4510000000000003E-2</v>
      </c>
      <c r="L17" s="121">
        <f t="shared" si="6"/>
        <v>0.17715750000000002</v>
      </c>
    </row>
    <row r="18" spans="2:29" x14ac:dyDescent="0.25">
      <c r="B18" s="697" t="s">
        <v>877</v>
      </c>
      <c r="C18" s="705" t="s">
        <v>14</v>
      </c>
      <c r="D18" s="740">
        <v>15</v>
      </c>
      <c r="E18" s="696">
        <f t="shared" si="0"/>
        <v>0.54510000000000003</v>
      </c>
      <c r="F18" s="695">
        <v>1</v>
      </c>
      <c r="G18" s="739">
        <f t="shared" si="1"/>
        <v>8.1765000000000008</v>
      </c>
      <c r="H18" s="694">
        <f t="shared" si="2"/>
        <v>8.1765000000000008</v>
      </c>
      <c r="I18" s="80">
        <f>VLOOKUP(B18,All_Ingredients!$A$1:$F$149,6,FALSE())</f>
        <v>1</v>
      </c>
      <c r="J18" s="118">
        <f>VLOOKUP(B18,All_Ingredients!$A$1:$J$149,10,FALSE())</f>
        <v>22.5</v>
      </c>
      <c r="K18" s="121">
        <f t="shared" si="5"/>
        <v>8.1765000000000015E-3</v>
      </c>
      <c r="L18" s="121">
        <f t="shared" si="6"/>
        <v>0.18397125000000003</v>
      </c>
    </row>
    <row r="19" spans="2:29" x14ac:dyDescent="0.25">
      <c r="B19" s="697" t="s">
        <v>498</v>
      </c>
      <c r="C19" s="705" t="s">
        <v>14</v>
      </c>
      <c r="D19" s="740">
        <v>125</v>
      </c>
      <c r="E19" s="696">
        <f t="shared" si="0"/>
        <v>0.54510000000000003</v>
      </c>
      <c r="F19" s="695">
        <v>1</v>
      </c>
      <c r="G19" s="739">
        <f t="shared" si="1"/>
        <v>68.137500000000003</v>
      </c>
      <c r="H19" s="694">
        <f t="shared" si="2"/>
        <v>68.137500000000003</v>
      </c>
      <c r="I19" s="80">
        <f>VLOOKUP(B19,All_Ingredients!$A$1:$F$149,6,FALSE())</f>
        <v>1</v>
      </c>
      <c r="J19" s="118">
        <f>VLOOKUP(B19,All_Ingredients!$A$1:$J$149,10,FALSE())</f>
        <v>16.666666666666668</v>
      </c>
      <c r="K19" s="121">
        <f t="shared" si="5"/>
        <v>6.8137500000000004E-2</v>
      </c>
      <c r="L19" s="121">
        <f t="shared" si="6"/>
        <v>1.1356250000000001</v>
      </c>
      <c r="R19" s="693" t="s">
        <v>551</v>
      </c>
    </row>
    <row r="20" spans="2:29" ht="14.5" x14ac:dyDescent="0.25">
      <c r="B20" s="668" t="s">
        <v>205</v>
      </c>
      <c r="C20" s="1369" t="s">
        <v>161</v>
      </c>
      <c r="D20" s="669">
        <v>2000</v>
      </c>
      <c r="E20" s="704">
        <f t="shared" ref="E20" si="7">$I$1</f>
        <v>0.54510000000000003</v>
      </c>
      <c r="F20" s="695">
        <v>1</v>
      </c>
      <c r="G20" s="703">
        <f t="shared" si="1"/>
        <v>1090.2</v>
      </c>
      <c r="H20" s="702">
        <f t="shared" si="2"/>
        <v>1090.2</v>
      </c>
      <c r="I20" s="80">
        <f>VLOOKUP(B20,All_Ingredients!$A$1:$F$149,6,FALSE())</f>
        <v>1</v>
      </c>
      <c r="J20" s="118">
        <f>VLOOKUP(B20,All_Ingredients!$A$1:$J$149,10,FALSE())</f>
        <v>0</v>
      </c>
      <c r="K20" s="121">
        <f t="shared" si="5"/>
        <v>1.0902000000000001</v>
      </c>
      <c r="L20" s="121">
        <f t="shared" si="6"/>
        <v>0</v>
      </c>
    </row>
    <row r="21" spans="2:29" ht="13.5" customHeight="1" x14ac:dyDescent="0.3">
      <c r="N21" s="1474"/>
      <c r="O21" s="1474"/>
    </row>
    <row r="24" spans="2:29" x14ac:dyDescent="0.3">
      <c r="Z24" s="1266"/>
    </row>
    <row r="25" spans="2:29" ht="14" x14ac:dyDescent="0.3">
      <c r="R25" s="1532" t="s">
        <v>554</v>
      </c>
      <c r="S25" s="1532"/>
      <c r="T25" s="1532"/>
      <c r="Z25" s="140" t="s">
        <v>14</v>
      </c>
      <c r="AA25" s="1288">
        <v>3.2</v>
      </c>
      <c r="AB25" s="140" t="s">
        <v>253</v>
      </c>
      <c r="AC25" s="142">
        <f>(T33/T29)*AA25</f>
        <v>2.7455513809726426E-2</v>
      </c>
    </row>
    <row r="26" spans="2:29" ht="14" x14ac:dyDescent="0.3">
      <c r="R26" s="709" t="s">
        <v>258</v>
      </c>
      <c r="S26" s="709" t="s">
        <v>530</v>
      </c>
      <c r="T26" s="709" t="s">
        <v>555</v>
      </c>
    </row>
    <row r="27" spans="2:29" ht="14" x14ac:dyDescent="0.3">
      <c r="R27" s="709" t="s">
        <v>531</v>
      </c>
      <c r="S27" s="1353">
        <f>Z1</f>
        <v>17670</v>
      </c>
      <c r="T27" s="1355">
        <f>S27*0.15</f>
        <v>2650.5</v>
      </c>
    </row>
    <row r="28" spans="2:29" ht="14" x14ac:dyDescent="0.3">
      <c r="O28" s="725"/>
      <c r="P28" s="725"/>
      <c r="Q28" s="725"/>
      <c r="R28" s="709"/>
      <c r="S28" s="1354">
        <f>AB1</f>
        <v>500</v>
      </c>
      <c r="T28" s="1365"/>
      <c r="U28" s="725"/>
    </row>
    <row r="29" spans="2:29" ht="14" x14ac:dyDescent="0.3">
      <c r="O29" s="725"/>
      <c r="P29" s="725"/>
      <c r="Q29" s="725"/>
      <c r="R29" s="709"/>
      <c r="S29" s="1366">
        <f>S27+S28</f>
        <v>18170</v>
      </c>
      <c r="T29" s="1364">
        <f>S29*0.15</f>
        <v>2725.5</v>
      </c>
      <c r="U29" s="725"/>
    </row>
    <row r="30" spans="2:29" ht="13" x14ac:dyDescent="0.3">
      <c r="O30" s="725"/>
      <c r="P30" s="725"/>
      <c r="Q30" s="725"/>
      <c r="U30" s="725"/>
    </row>
    <row r="31" spans="2:29" ht="14.5" x14ac:dyDescent="0.35">
      <c r="O31" s="810"/>
      <c r="P31" s="736"/>
      <c r="Q31" s="736"/>
      <c r="R31" s="736"/>
      <c r="S31" s="725"/>
      <c r="T31" s="736"/>
      <c r="U31" s="725"/>
      <c r="Y31" s="693">
        <v>30000</v>
      </c>
      <c r="Z31" s="693">
        <v>5000</v>
      </c>
      <c r="AA31" s="693">
        <f>Y31+Z31</f>
        <v>35000</v>
      </c>
    </row>
    <row r="32" spans="2:29" ht="14.5" thickBot="1" x14ac:dyDescent="0.35">
      <c r="O32" s="736"/>
      <c r="P32" s="736"/>
      <c r="Q32" s="736"/>
      <c r="R32" s="736"/>
      <c r="S32" s="736"/>
      <c r="T32" s="725"/>
      <c r="U32" s="725"/>
      <c r="Y32" s="1358">
        <f>Y31/AA31</f>
        <v>0.8571428571428571</v>
      </c>
      <c r="Z32" s="1358">
        <f>Z31/AA31</f>
        <v>0.14285714285714285</v>
      </c>
    </row>
    <row r="33" spans="2:26" ht="15" thickBot="1" x14ac:dyDescent="0.4">
      <c r="O33" s="810"/>
      <c r="P33" s="811"/>
      <c r="Q33" s="811"/>
      <c r="R33" s="162" t="s">
        <v>253</v>
      </c>
      <c r="S33" s="1125">
        <f>SUM(L5:L19)</f>
        <v>23.384375902627927</v>
      </c>
      <c r="T33" s="1213">
        <f>SUM(L5:L19)</f>
        <v>23.384375902627927</v>
      </c>
      <c r="U33" s="725"/>
      <c r="Y33" s="728">
        <v>0.85</v>
      </c>
      <c r="Z33" s="728">
        <v>0.15</v>
      </c>
    </row>
    <row r="34" spans="2:26" ht="14.5" x14ac:dyDescent="0.35">
      <c r="O34" s="810"/>
      <c r="P34" s="811"/>
      <c r="Q34" s="811"/>
      <c r="R34" s="736"/>
      <c r="S34" s="736"/>
      <c r="T34" s="725"/>
      <c r="U34" s="725"/>
    </row>
    <row r="35" spans="2:26" ht="14.5" x14ac:dyDescent="0.35">
      <c r="O35" s="810"/>
      <c r="P35" s="811"/>
      <c r="Q35" s="811"/>
      <c r="R35" s="736"/>
      <c r="S35" s="736"/>
      <c r="T35" s="725"/>
      <c r="U35" s="725"/>
    </row>
    <row r="36" spans="2:26" ht="14.5" x14ac:dyDescent="0.35">
      <c r="O36" s="810"/>
      <c r="P36" s="811"/>
      <c r="Q36" s="811"/>
      <c r="R36" s="736"/>
      <c r="S36" s="736"/>
      <c r="T36" s="725"/>
      <c r="U36" s="725"/>
    </row>
    <row r="37" spans="2:26" ht="14.5" x14ac:dyDescent="0.35">
      <c r="O37" s="810"/>
      <c r="P37" s="811"/>
      <c r="Q37" s="811"/>
      <c r="R37" s="736"/>
      <c r="S37" s="736"/>
      <c r="T37" s="725"/>
      <c r="U37" s="725"/>
    </row>
    <row r="38" spans="2:26" ht="14.5" x14ac:dyDescent="0.35">
      <c r="O38" s="810"/>
      <c r="P38" s="811"/>
      <c r="Q38" s="811"/>
      <c r="R38" s="736"/>
      <c r="S38" s="736"/>
      <c r="T38" s="725"/>
      <c r="U38" s="725"/>
    </row>
    <row r="39" spans="2:26" ht="18" x14ac:dyDescent="0.35">
      <c r="B39" s="732"/>
      <c r="C39" s="732"/>
      <c r="D39" s="732"/>
      <c r="E39" s="732"/>
      <c r="F39" s="732"/>
      <c r="G39" s="732"/>
      <c r="H39" s="732"/>
      <c r="O39" s="810"/>
      <c r="P39" s="811"/>
      <c r="Q39" s="811"/>
      <c r="R39" s="736"/>
      <c r="S39" s="736"/>
      <c r="T39" s="725"/>
      <c r="U39" s="725"/>
    </row>
    <row r="40" spans="2:26" ht="18" x14ac:dyDescent="0.35">
      <c r="B40" s="732"/>
      <c r="C40" s="732"/>
      <c r="D40" s="732"/>
      <c r="E40" s="732"/>
      <c r="F40" s="732"/>
      <c r="G40" s="732"/>
      <c r="H40" s="732"/>
      <c r="I40" s="732"/>
      <c r="O40" s="810"/>
      <c r="P40" s="811"/>
      <c r="Q40" s="811"/>
      <c r="R40" s="736"/>
      <c r="S40" s="736"/>
      <c r="T40" s="725"/>
      <c r="U40" s="725"/>
    </row>
    <row r="41" spans="2:26" ht="18" customHeight="1" x14ac:dyDescent="0.35">
      <c r="B41" s="734"/>
      <c r="C41" s="735"/>
      <c r="D41" s="734"/>
      <c r="E41" s="734"/>
      <c r="F41" s="731"/>
      <c r="G41" s="734"/>
      <c r="H41" s="733"/>
      <c r="I41" s="732"/>
      <c r="O41" s="810"/>
      <c r="P41" s="811"/>
      <c r="Q41" s="811"/>
      <c r="R41" s="736"/>
      <c r="S41" s="736"/>
      <c r="T41" s="725"/>
      <c r="U41" s="725"/>
    </row>
    <row r="42" spans="2:26" ht="28.25" customHeight="1" x14ac:dyDescent="0.35">
      <c r="B42" s="700"/>
      <c r="C42" s="700"/>
      <c r="D42" s="700"/>
      <c r="E42" s="738"/>
      <c r="F42" s="738"/>
      <c r="G42" s="728"/>
      <c r="H42" s="737"/>
      <c r="I42" s="731"/>
      <c r="O42" s="810"/>
      <c r="P42" s="811"/>
      <c r="Q42" s="811"/>
      <c r="R42" s="736"/>
      <c r="S42" s="736"/>
      <c r="T42" s="725"/>
      <c r="U42" s="725"/>
    </row>
    <row r="43" spans="2:26" ht="14.5" x14ac:dyDescent="0.35">
      <c r="B43" s="700"/>
      <c r="C43" s="700"/>
      <c r="D43" s="700"/>
      <c r="E43" s="738"/>
      <c r="F43" s="738"/>
      <c r="G43" s="728"/>
      <c r="H43" s="737"/>
      <c r="I43" s="726"/>
      <c r="O43" s="810"/>
      <c r="P43" s="811"/>
      <c r="Q43" s="811"/>
      <c r="R43" s="736"/>
      <c r="S43" s="736"/>
      <c r="T43" s="725"/>
      <c r="U43" s="725"/>
    </row>
    <row r="44" spans="2:26" ht="14.5" x14ac:dyDescent="0.35">
      <c r="B44" s="700"/>
      <c r="C44" s="700"/>
      <c r="D44" s="700"/>
      <c r="E44" s="738"/>
      <c r="F44" s="738"/>
      <c r="G44" s="728"/>
      <c r="H44" s="737"/>
      <c r="I44" s="726"/>
      <c r="O44" s="810"/>
      <c r="P44" s="811"/>
      <c r="Q44" s="811"/>
      <c r="R44" s="736"/>
      <c r="S44" s="736"/>
      <c r="T44" s="725"/>
      <c r="U44" s="725"/>
    </row>
    <row r="45" spans="2:26" ht="14.5" x14ac:dyDescent="0.35">
      <c r="B45" s="700"/>
      <c r="C45" s="700"/>
      <c r="D45" s="700"/>
      <c r="E45" s="738"/>
      <c r="F45" s="738"/>
      <c r="G45" s="728"/>
      <c r="H45" s="737"/>
      <c r="I45" s="726"/>
      <c r="O45" s="810"/>
      <c r="P45" s="811"/>
      <c r="Q45" s="811"/>
      <c r="R45" s="736"/>
      <c r="S45" s="736"/>
      <c r="T45" s="725"/>
      <c r="U45" s="725"/>
    </row>
    <row r="46" spans="2:26" ht="14.5" x14ac:dyDescent="0.35">
      <c r="B46" s="700"/>
      <c r="C46" s="700"/>
      <c r="D46" s="700"/>
      <c r="E46" s="738"/>
      <c r="F46" s="738"/>
      <c r="G46" s="728"/>
      <c r="H46" s="737"/>
      <c r="I46" s="726"/>
      <c r="O46" s="810"/>
      <c r="P46" s="811"/>
      <c r="Q46" s="811"/>
      <c r="R46" s="736"/>
      <c r="S46" s="736"/>
      <c r="T46" s="725"/>
      <c r="U46" s="725"/>
    </row>
    <row r="47" spans="2:26" ht="14.5" x14ac:dyDescent="0.35">
      <c r="B47" s="700"/>
      <c r="C47" s="700"/>
      <c r="D47" s="700"/>
      <c r="E47" s="738"/>
      <c r="F47" s="738"/>
      <c r="G47" s="728"/>
      <c r="H47" s="737"/>
      <c r="I47" s="726"/>
      <c r="O47" s="810"/>
      <c r="P47" s="811"/>
      <c r="Q47" s="811"/>
      <c r="R47" s="736"/>
      <c r="S47" s="736"/>
      <c r="T47" s="725"/>
      <c r="U47" s="725"/>
    </row>
    <row r="48" spans="2:26" ht="14.5" x14ac:dyDescent="0.35">
      <c r="I48" s="726"/>
      <c r="O48" s="810"/>
      <c r="P48" s="811"/>
      <c r="Q48" s="811"/>
      <c r="R48" s="736"/>
      <c r="S48" s="736"/>
      <c r="T48" s="725"/>
      <c r="U48" s="725"/>
    </row>
    <row r="49" spans="2:21" ht="14.5" x14ac:dyDescent="0.35">
      <c r="O49" s="810"/>
      <c r="P49" s="811"/>
      <c r="Q49" s="811"/>
      <c r="R49" s="736"/>
      <c r="S49" s="736"/>
      <c r="T49" s="725"/>
      <c r="U49" s="725"/>
    </row>
    <row r="50" spans="2:21" ht="14" x14ac:dyDescent="0.3">
      <c r="B50" s="225" t="s">
        <v>314</v>
      </c>
      <c r="C50" s="225" t="s">
        <v>237</v>
      </c>
      <c r="D50" s="225" t="s">
        <v>283</v>
      </c>
      <c r="O50" s="725"/>
      <c r="P50" s="725"/>
      <c r="Q50" s="725"/>
      <c r="R50" s="725"/>
      <c r="S50" s="725"/>
      <c r="T50" s="725"/>
      <c r="U50" s="725"/>
    </row>
    <row r="51" spans="2:21" ht="14" x14ac:dyDescent="0.3">
      <c r="B51" s="179" t="s">
        <v>287</v>
      </c>
      <c r="C51" s="180">
        <f>5/$K$1</f>
        <v>5</v>
      </c>
      <c r="D51" s="181">
        <f>$C$1</f>
        <v>5000</v>
      </c>
    </row>
    <row r="52" spans="2:21" ht="14" x14ac:dyDescent="0.3">
      <c r="B52" s="230" t="s">
        <v>261</v>
      </c>
      <c r="C52" s="232">
        <f>G1</f>
        <v>0.54510000000000003</v>
      </c>
      <c r="D52" s="232">
        <f>E1</f>
        <v>2725.5</v>
      </c>
    </row>
    <row r="53" spans="2:21" ht="18" x14ac:dyDescent="0.3">
      <c r="B53" s="230" t="s">
        <v>288</v>
      </c>
      <c r="C53" s="233">
        <f>MIN($C$52, $C$51)</f>
        <v>0.54510000000000003</v>
      </c>
      <c r="D53" s="232">
        <f>(C53*$K$1)*1000</f>
        <v>545.1</v>
      </c>
      <c r="E53" s="732"/>
      <c r="F53" s="732"/>
      <c r="G53" s="732"/>
      <c r="H53" s="732"/>
    </row>
    <row r="54" spans="2:21" ht="18" x14ac:dyDescent="0.3">
      <c r="B54" s="230" t="s">
        <v>289</v>
      </c>
      <c r="C54" s="233">
        <f>MIN(MAX($C$52-C53,0),$C$51)</f>
        <v>0</v>
      </c>
      <c r="D54" s="232">
        <f>(C54*$K$1)*1000</f>
        <v>0</v>
      </c>
      <c r="E54" s="732"/>
      <c r="F54" s="732"/>
      <c r="G54" s="732"/>
      <c r="H54" s="732"/>
      <c r="I54" s="732"/>
    </row>
    <row r="55" spans="2:21" ht="18" customHeight="1" x14ac:dyDescent="0.3">
      <c r="B55" s="230" t="s">
        <v>290</v>
      </c>
      <c r="C55" s="233">
        <f>MIN(MAX($C$52-C53-C54,0),$C$51)</f>
        <v>0</v>
      </c>
      <c r="D55" s="232">
        <f>(C55*$K$1)*1000</f>
        <v>0</v>
      </c>
      <c r="E55" s="734"/>
      <c r="F55" s="731"/>
      <c r="G55" s="734"/>
      <c r="H55" s="733"/>
      <c r="I55" s="732"/>
    </row>
    <row r="56" spans="2:21" ht="13" x14ac:dyDescent="0.3">
      <c r="B56" s="700"/>
      <c r="C56" s="700"/>
      <c r="D56" s="700"/>
      <c r="E56" s="730"/>
      <c r="F56" s="729"/>
      <c r="G56" s="728"/>
      <c r="H56" s="727"/>
      <c r="I56" s="731"/>
    </row>
    <row r="57" spans="2:21" x14ac:dyDescent="0.3">
      <c r="B57" s="700"/>
      <c r="C57" s="700"/>
      <c r="D57" s="700"/>
      <c r="E57" s="730"/>
      <c r="F57" s="729"/>
      <c r="G57" s="728"/>
      <c r="H57" s="727"/>
      <c r="I57" s="726"/>
    </row>
    <row r="58" spans="2:21" x14ac:dyDescent="0.3">
      <c r="B58" s="700"/>
      <c r="C58" s="700"/>
      <c r="D58" s="700"/>
      <c r="E58" s="730"/>
      <c r="F58" s="729"/>
      <c r="G58" s="728"/>
      <c r="H58" s="727"/>
      <c r="I58" s="726"/>
    </row>
    <row r="59" spans="2:21" x14ac:dyDescent="0.3">
      <c r="B59" s="700"/>
      <c r="C59" s="700"/>
      <c r="D59" s="700"/>
      <c r="E59" s="730"/>
      <c r="F59" s="729"/>
      <c r="G59" s="728"/>
      <c r="H59" s="727"/>
      <c r="I59" s="726"/>
    </row>
    <row r="60" spans="2:21" x14ac:dyDescent="0.3">
      <c r="B60" s="700"/>
      <c r="C60" s="700"/>
      <c r="D60" s="700"/>
      <c r="E60" s="730"/>
      <c r="F60" s="729"/>
      <c r="G60" s="728"/>
      <c r="H60" s="727"/>
      <c r="I60" s="726"/>
    </row>
    <row r="61" spans="2:21" x14ac:dyDescent="0.3">
      <c r="B61" s="700"/>
      <c r="C61" s="700"/>
      <c r="D61" s="700"/>
      <c r="E61" s="730"/>
      <c r="F61" s="729"/>
      <c r="G61" s="728"/>
      <c r="H61" s="727"/>
      <c r="I61" s="726"/>
    </row>
    <row r="62" spans="2:21" x14ac:dyDescent="0.3">
      <c r="I62" s="726"/>
    </row>
  </sheetData>
  <mergeCells count="6">
    <mergeCell ref="A2:A3"/>
    <mergeCell ref="B2:H3"/>
    <mergeCell ref="K2:K3"/>
    <mergeCell ref="N21:O21"/>
    <mergeCell ref="R25:T25"/>
    <mergeCell ref="N14:O14"/>
  </mergeCells>
  <printOptions horizontalCentered="1"/>
  <pageMargins left="0.5" right="0.5" top="1" bottom="0.5" header="0.3" footer="0.511811023622047"/>
  <pageSetup paperSize="9" scale="22" orientation="portrait"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DC69F-86D8-4817-8C2C-0DE5CE48B8CC}">
  <sheetPr codeName="Sheet63">
    <tabColor theme="5" tint="-0.249977111117893"/>
    <pageSetUpPr fitToPage="1"/>
  </sheetPr>
  <dimension ref="A1:AD61"/>
  <sheetViews>
    <sheetView topLeftCell="J1" zoomScale="55" zoomScaleNormal="55" workbookViewId="0">
      <selection activeCell="Q43" sqref="Q43:T44"/>
    </sheetView>
  </sheetViews>
  <sheetFormatPr defaultColWidth="12.5" defaultRowHeight="12.5" x14ac:dyDescent="0.3"/>
  <cols>
    <col min="1" max="1" width="8.08203125" style="693" customWidth="1"/>
    <col min="2" max="2" width="30.6640625" style="693" customWidth="1"/>
    <col min="3" max="3" width="24" style="693" customWidth="1"/>
    <col min="4" max="4" width="21.83203125" style="693" customWidth="1"/>
    <col min="5" max="5" width="16.1640625" style="693" customWidth="1"/>
    <col min="6" max="6" width="14.33203125" style="693" customWidth="1"/>
    <col min="7" max="7" width="15.4140625" style="693" customWidth="1"/>
    <col min="8" max="8" width="24.58203125" style="693" customWidth="1"/>
    <col min="9" max="9" width="14.6640625" style="693" customWidth="1"/>
    <col min="10" max="11" width="12.5" style="693"/>
    <col min="12" max="12" width="8.33203125" style="693" customWidth="1"/>
    <col min="13" max="17" width="2.83203125" style="693" customWidth="1"/>
    <col min="18" max="20" width="12.5" style="693"/>
    <col min="21" max="24" width="4.58203125" style="693" customWidth="1"/>
    <col min="25" max="16384" width="12.5" style="693"/>
  </cols>
  <sheetData>
    <row r="1" spans="1:30" ht="36" customHeight="1" x14ac:dyDescent="0.3">
      <c r="A1" s="725"/>
      <c r="B1" s="720" t="s">
        <v>550</v>
      </c>
      <c r="C1" s="724">
        <v>5000</v>
      </c>
      <c r="D1" s="723" t="s">
        <v>236</v>
      </c>
      <c r="E1" s="722">
        <f>T29</f>
        <v>4213.5</v>
      </c>
      <c r="F1" s="720" t="s">
        <v>237</v>
      </c>
      <c r="G1" s="721">
        <f>E1/C1</f>
        <v>0.8427</v>
      </c>
      <c r="H1" s="720" t="s">
        <v>238</v>
      </c>
      <c r="I1" s="719">
        <f>G1/K1</f>
        <v>0.8427</v>
      </c>
      <c r="J1" s="718" t="s">
        <v>239</v>
      </c>
      <c r="K1" s="717">
        <v>1</v>
      </c>
      <c r="L1" s="700"/>
      <c r="M1" s="700"/>
      <c r="N1" s="700"/>
      <c r="Y1" s="90" t="s">
        <v>463</v>
      </c>
      <c r="Z1" s="835">
        <v>27590</v>
      </c>
      <c r="AA1" s="90" t="s">
        <v>578</v>
      </c>
      <c r="AB1" s="835">
        <v>500</v>
      </c>
      <c r="AC1" s="90" t="s">
        <v>567</v>
      </c>
      <c r="AD1" s="835">
        <v>187</v>
      </c>
    </row>
    <row r="2" spans="1:30" ht="12.75" customHeight="1" x14ac:dyDescent="0.3">
      <c r="A2" s="1468"/>
      <c r="B2" s="1469" t="s">
        <v>549</v>
      </c>
      <c r="C2" s="1469"/>
      <c r="D2" s="1469"/>
      <c r="E2" s="1469"/>
      <c r="F2" s="1469"/>
      <c r="G2" s="1469"/>
      <c r="H2" s="1469"/>
      <c r="I2" s="716"/>
      <c r="J2" s="716"/>
      <c r="K2" s="1470"/>
      <c r="L2" s="700"/>
      <c r="M2" s="700"/>
      <c r="N2" s="700"/>
    </row>
    <row r="3" spans="1:30" ht="12.75" customHeight="1" x14ac:dyDescent="0.3">
      <c r="A3" s="1468"/>
      <c r="B3" s="1468"/>
      <c r="C3" s="1468"/>
      <c r="D3" s="1468"/>
      <c r="E3" s="1468"/>
      <c r="F3" s="1468"/>
      <c r="G3" s="1468"/>
      <c r="H3" s="1468"/>
      <c r="I3" s="715"/>
      <c r="J3" s="715"/>
      <c r="K3" s="1471"/>
      <c r="L3" s="700"/>
      <c r="M3" s="700"/>
      <c r="N3" s="700"/>
    </row>
    <row r="4" spans="1:30" ht="57" customHeight="1" x14ac:dyDescent="0.3">
      <c r="A4" s="698" t="s">
        <v>1</v>
      </c>
      <c r="B4" s="698" t="s">
        <v>245</v>
      </c>
      <c r="C4" s="699" t="s">
        <v>321</v>
      </c>
      <c r="D4" s="699" t="s">
        <v>548</v>
      </c>
      <c r="E4" s="714" t="s">
        <v>547</v>
      </c>
      <c r="F4" s="713" t="s">
        <v>247</v>
      </c>
      <c r="G4" s="712" t="s">
        <v>248</v>
      </c>
      <c r="H4" s="711" t="s">
        <v>326</v>
      </c>
      <c r="I4" s="90" t="s">
        <v>250</v>
      </c>
      <c r="J4" s="90" t="s">
        <v>251</v>
      </c>
      <c r="K4" s="90" t="s">
        <v>252</v>
      </c>
      <c r="L4" s="90" t="s">
        <v>253</v>
      </c>
      <c r="M4" s="700"/>
      <c r="N4" s="700"/>
    </row>
    <row r="5" spans="1:30" ht="14" x14ac:dyDescent="0.25">
      <c r="A5" s="860"/>
      <c r="B5" s="861" t="s">
        <v>32</v>
      </c>
      <c r="C5" s="862" t="s">
        <v>14</v>
      </c>
      <c r="D5" s="862">
        <v>600</v>
      </c>
      <c r="E5" s="704">
        <f t="shared" ref="E5:E21" si="0">$I$1</f>
        <v>0.8427</v>
      </c>
      <c r="F5" s="695">
        <v>1</v>
      </c>
      <c r="G5" s="703">
        <f t="shared" ref="G5:G20" si="1">D5*E5</f>
        <v>505.62</v>
      </c>
      <c r="H5" s="702">
        <f t="shared" ref="H5:H20" si="2">G5*F5</f>
        <v>505.62</v>
      </c>
      <c r="I5" s="80">
        <f>VLOOKUP(B5,All_Ingredients!$A$1:$F$149,6,FALSE())</f>
        <v>0.69</v>
      </c>
      <c r="J5" s="118">
        <f>VLOOKUP(B5,All_Ingredients!$A$1:$J$149,10,FALSE())</f>
        <v>4</v>
      </c>
      <c r="K5" s="121">
        <f t="shared" ref="K5" si="3">(H5/I5)/1000</f>
        <v>0.73278260869565226</v>
      </c>
      <c r="L5" s="121">
        <f t="shared" ref="L5" si="4">K5*J5</f>
        <v>2.931130434782609</v>
      </c>
      <c r="M5" s="701"/>
    </row>
    <row r="6" spans="1:30" ht="14" x14ac:dyDescent="0.25">
      <c r="A6" s="860"/>
      <c r="B6" s="861" t="s">
        <v>30</v>
      </c>
      <c r="C6" s="862" t="s">
        <v>14</v>
      </c>
      <c r="D6" s="862">
        <v>600</v>
      </c>
      <c r="E6" s="704">
        <f t="shared" si="0"/>
        <v>0.8427</v>
      </c>
      <c r="F6" s="710">
        <v>1</v>
      </c>
      <c r="G6" s="703">
        <f t="shared" si="1"/>
        <v>505.62</v>
      </c>
      <c r="H6" s="702">
        <f t="shared" si="2"/>
        <v>505.62</v>
      </c>
      <c r="I6" s="80">
        <f>VLOOKUP(B6,All_Ingredients!$A$1:$F$149,6,FALSE())</f>
        <v>0.71</v>
      </c>
      <c r="J6" s="118">
        <f>VLOOKUP(B6,All_Ingredients!$A$1:$J$149,10,FALSE())</f>
        <v>8.5</v>
      </c>
      <c r="K6" s="121">
        <f t="shared" ref="K6:K20" si="5">(H6/I6)/1000</f>
        <v>0.71214084507042252</v>
      </c>
      <c r="L6" s="121">
        <f t="shared" ref="L6:L20" si="6">K6*J6</f>
        <v>6.0531971830985913</v>
      </c>
    </row>
    <row r="7" spans="1:30" ht="14" x14ac:dyDescent="0.25">
      <c r="A7" s="860"/>
      <c r="B7" s="861" t="s">
        <v>28</v>
      </c>
      <c r="C7" s="862" t="s">
        <v>14</v>
      </c>
      <c r="D7" s="862">
        <v>600</v>
      </c>
      <c r="E7" s="704">
        <f t="shared" si="0"/>
        <v>0.8427</v>
      </c>
      <c r="F7" s="710">
        <v>1</v>
      </c>
      <c r="G7" s="703">
        <f t="shared" si="1"/>
        <v>505.62</v>
      </c>
      <c r="H7" s="702">
        <f t="shared" si="2"/>
        <v>505.62</v>
      </c>
      <c r="I7" s="80">
        <f>VLOOKUP(B7,All_Ingredients!$A$1:$F$149,6,FALSE())</f>
        <v>0.73</v>
      </c>
      <c r="J7" s="118">
        <f>VLOOKUP(B7,All_Ingredients!$A$1:$J$149,10,FALSE())</f>
        <v>8.5</v>
      </c>
      <c r="K7" s="121">
        <f t="shared" si="5"/>
        <v>0.69263013698630138</v>
      </c>
      <c r="L7" s="121">
        <f t="shared" si="6"/>
        <v>5.8873561643835615</v>
      </c>
    </row>
    <row r="8" spans="1:30" ht="14" x14ac:dyDescent="0.25">
      <c r="A8" s="860"/>
      <c r="B8" s="861" t="s">
        <v>546</v>
      </c>
      <c r="C8" s="862" t="s">
        <v>14</v>
      </c>
      <c r="D8" s="862">
        <v>1368</v>
      </c>
      <c r="E8" s="704">
        <f t="shared" si="0"/>
        <v>0.8427</v>
      </c>
      <c r="F8" s="695">
        <v>1</v>
      </c>
      <c r="G8" s="703">
        <f t="shared" si="1"/>
        <v>1152.8136</v>
      </c>
      <c r="H8" s="702">
        <f t="shared" si="2"/>
        <v>1152.8136</v>
      </c>
      <c r="I8" s="80">
        <f>VLOOKUP(B8,All_Ingredients!$A$1:$F$149,6,FALSE())</f>
        <v>1</v>
      </c>
      <c r="J8" s="118">
        <f>VLOOKUP(B8,All_Ingredients!$A$1:$J$149,10,FALSE())</f>
        <v>8.3333333333333339</v>
      </c>
      <c r="K8" s="121">
        <f t="shared" si="5"/>
        <v>1.1528136</v>
      </c>
      <c r="L8" s="121">
        <f t="shared" si="6"/>
        <v>9.6067800000000005</v>
      </c>
    </row>
    <row r="9" spans="1:30" ht="14" x14ac:dyDescent="0.25">
      <c r="A9" s="860"/>
      <c r="B9" s="861" t="s">
        <v>545</v>
      </c>
      <c r="C9" s="862" t="s">
        <v>14</v>
      </c>
      <c r="D9" s="862">
        <v>2125</v>
      </c>
      <c r="E9" s="704">
        <f t="shared" si="0"/>
        <v>0.8427</v>
      </c>
      <c r="F9" s="695">
        <v>1</v>
      </c>
      <c r="G9" s="703">
        <f t="shared" si="1"/>
        <v>1790.7375</v>
      </c>
      <c r="H9" s="702">
        <f t="shared" si="2"/>
        <v>1790.7375</v>
      </c>
      <c r="I9" s="80">
        <f>VLOOKUP(B9,All_Ingredients!$A$1:$F$149,6,FALSE())</f>
        <v>1</v>
      </c>
      <c r="J9" s="118">
        <f>VLOOKUP(B9,All_Ingredients!$A$1:$J$149,10,FALSE())</f>
        <v>10.196078431372548</v>
      </c>
      <c r="K9" s="121">
        <f t="shared" si="5"/>
        <v>1.7907374999999999</v>
      </c>
      <c r="L9" s="121">
        <f t="shared" si="6"/>
        <v>18.258499999999998</v>
      </c>
    </row>
    <row r="10" spans="1:30" ht="14" x14ac:dyDescent="0.25">
      <c r="A10" s="860"/>
      <c r="B10" s="861" t="s">
        <v>153</v>
      </c>
      <c r="C10" s="862" t="s">
        <v>14</v>
      </c>
      <c r="D10" s="862">
        <v>300</v>
      </c>
      <c r="E10" s="704">
        <f t="shared" si="0"/>
        <v>0.8427</v>
      </c>
      <c r="F10" s="695">
        <v>1</v>
      </c>
      <c r="G10" s="703">
        <f t="shared" si="1"/>
        <v>252.81</v>
      </c>
      <c r="H10" s="702">
        <f t="shared" si="2"/>
        <v>252.81</v>
      </c>
      <c r="I10" s="80">
        <f>VLOOKUP(B10,All_Ingredients!$A$1:$F$149,6,FALSE())</f>
        <v>1</v>
      </c>
      <c r="J10" s="118">
        <f>VLOOKUP(B10,All_Ingredients!$A$1:$J$149,10,FALSE())</f>
        <v>30</v>
      </c>
      <c r="K10" s="121">
        <f t="shared" si="5"/>
        <v>0.25280999999999998</v>
      </c>
      <c r="L10" s="121">
        <f t="shared" si="6"/>
        <v>7.5842999999999989</v>
      </c>
    </row>
    <row r="11" spans="1:30" ht="13.5" customHeight="1" x14ac:dyDescent="0.25">
      <c r="B11" s="697" t="s">
        <v>106</v>
      </c>
      <c r="C11" s="705" t="s">
        <v>14</v>
      </c>
      <c r="D11" s="705">
        <v>25</v>
      </c>
      <c r="E11" s="704">
        <f t="shared" si="0"/>
        <v>0.8427</v>
      </c>
      <c r="F11" s="695">
        <v>1</v>
      </c>
      <c r="G11" s="703">
        <f t="shared" si="1"/>
        <v>21.067499999999999</v>
      </c>
      <c r="H11" s="702">
        <f t="shared" si="2"/>
        <v>21.067499999999999</v>
      </c>
      <c r="I11" s="80">
        <f>VLOOKUP(B11,All_Ingredients!$A$1:$F$149,6,FALSE())</f>
        <v>1</v>
      </c>
      <c r="J11" s="118">
        <f>VLOOKUP(B11,All_Ingredients!$A$1:$J$149,10,FALSE())</f>
        <v>15</v>
      </c>
      <c r="K11" s="121">
        <f t="shared" si="5"/>
        <v>2.1067499999999999E-2</v>
      </c>
      <c r="L11" s="121">
        <f t="shared" si="6"/>
        <v>0.31601249999999997</v>
      </c>
    </row>
    <row r="12" spans="1:30" ht="13.5" customHeight="1" x14ac:dyDescent="0.25">
      <c r="B12" s="697" t="s">
        <v>111</v>
      </c>
      <c r="C12" s="705" t="s">
        <v>14</v>
      </c>
      <c r="D12" s="705">
        <v>25</v>
      </c>
      <c r="E12" s="704">
        <f t="shared" si="0"/>
        <v>0.8427</v>
      </c>
      <c r="F12" s="695">
        <v>1</v>
      </c>
      <c r="G12" s="703">
        <f t="shared" si="1"/>
        <v>21.067499999999999</v>
      </c>
      <c r="H12" s="702">
        <f t="shared" si="2"/>
        <v>21.067499999999999</v>
      </c>
      <c r="I12" s="80">
        <f>VLOOKUP(B12,All_Ingredients!$A$1:$F$149,6,FALSE())</f>
        <v>1</v>
      </c>
      <c r="J12" s="118">
        <f>VLOOKUP(B12,All_Ingredients!$A$1:$J$149,10,FALSE())</f>
        <v>64.243759177679877</v>
      </c>
      <c r="K12" s="121">
        <f t="shared" si="5"/>
        <v>2.1067499999999999E-2</v>
      </c>
      <c r="L12" s="121">
        <f t="shared" si="6"/>
        <v>1.3534553964757707</v>
      </c>
    </row>
    <row r="13" spans="1:30" ht="13.5" customHeight="1" x14ac:dyDescent="0.25">
      <c r="B13" s="697" t="s">
        <v>114</v>
      </c>
      <c r="C13" s="705" t="s">
        <v>14</v>
      </c>
      <c r="D13" s="705">
        <v>10</v>
      </c>
      <c r="E13" s="704">
        <f t="shared" si="0"/>
        <v>0.8427</v>
      </c>
      <c r="F13" s="695">
        <v>1</v>
      </c>
      <c r="G13" s="703">
        <f t="shared" si="1"/>
        <v>8.4269999999999996</v>
      </c>
      <c r="H13" s="702">
        <f t="shared" si="2"/>
        <v>8.4269999999999996</v>
      </c>
      <c r="I13" s="80">
        <f>VLOOKUP(B13,All_Ingredients!$A$1:$F$149,6,FALSE())</f>
        <v>1</v>
      </c>
      <c r="J13" s="118">
        <f>VLOOKUP(B13,All_Ingredients!$A$1:$J$149,10,FALSE())</f>
        <v>20</v>
      </c>
      <c r="K13" s="121">
        <f t="shared" si="5"/>
        <v>8.4270000000000005E-3</v>
      </c>
      <c r="L13" s="121">
        <f t="shared" si="6"/>
        <v>0.16854000000000002</v>
      </c>
    </row>
    <row r="14" spans="1:30" ht="13.5" customHeight="1" x14ac:dyDescent="0.25">
      <c r="B14" s="697" t="s">
        <v>100</v>
      </c>
      <c r="C14" s="705" t="s">
        <v>14</v>
      </c>
      <c r="D14" s="705">
        <v>10</v>
      </c>
      <c r="E14" s="704">
        <f t="shared" si="0"/>
        <v>0.8427</v>
      </c>
      <c r="F14" s="695">
        <v>1</v>
      </c>
      <c r="G14" s="703">
        <f t="shared" si="1"/>
        <v>8.4269999999999996</v>
      </c>
      <c r="H14" s="702">
        <f t="shared" si="2"/>
        <v>8.4269999999999996</v>
      </c>
      <c r="I14" s="80">
        <f>VLOOKUP(B14,All_Ingredients!$A$1:$F$149,6,FALSE())</f>
        <v>1</v>
      </c>
      <c r="J14" s="118">
        <f>VLOOKUP(B14,All_Ingredients!$A$1:$J$149,10,FALSE())</f>
        <v>31</v>
      </c>
      <c r="K14" s="121">
        <f t="shared" si="5"/>
        <v>8.4270000000000005E-3</v>
      </c>
      <c r="L14" s="121">
        <f t="shared" si="6"/>
        <v>0.261237</v>
      </c>
    </row>
    <row r="15" spans="1:30" ht="14.25" customHeight="1" x14ac:dyDescent="0.25">
      <c r="B15" s="697" t="s">
        <v>83</v>
      </c>
      <c r="C15" s="705" t="s">
        <v>14</v>
      </c>
      <c r="D15" s="705">
        <v>10</v>
      </c>
      <c r="E15" s="704">
        <f t="shared" si="0"/>
        <v>0.8427</v>
      </c>
      <c r="F15" s="695">
        <v>1</v>
      </c>
      <c r="G15" s="703">
        <f t="shared" si="1"/>
        <v>8.4269999999999996</v>
      </c>
      <c r="H15" s="702">
        <f t="shared" si="2"/>
        <v>8.4269999999999996</v>
      </c>
      <c r="I15" s="80">
        <f>VLOOKUP(B15,All_Ingredients!$A$1:$F$149,6,FALSE())</f>
        <v>1</v>
      </c>
      <c r="J15" s="118">
        <f>VLOOKUP(B15,All_Ingredients!$A$1:$J$149,10,FALSE())</f>
        <v>147.88732394366198</v>
      </c>
      <c r="K15" s="121">
        <f t="shared" si="5"/>
        <v>8.4270000000000005E-3</v>
      </c>
      <c r="L15" s="121">
        <f t="shared" si="6"/>
        <v>1.2462464788732397</v>
      </c>
    </row>
    <row r="16" spans="1:30" ht="14.25" customHeight="1" x14ac:dyDescent="0.25">
      <c r="B16" s="697" t="s">
        <v>94</v>
      </c>
      <c r="C16" s="705" t="s">
        <v>14</v>
      </c>
      <c r="D16" s="705">
        <v>50</v>
      </c>
      <c r="E16" s="704">
        <f t="shared" si="0"/>
        <v>0.8427</v>
      </c>
      <c r="F16" s="695">
        <v>1</v>
      </c>
      <c r="G16" s="703">
        <f t="shared" si="1"/>
        <v>42.134999999999998</v>
      </c>
      <c r="H16" s="702">
        <f t="shared" si="2"/>
        <v>42.134999999999998</v>
      </c>
      <c r="I16" s="80">
        <f>VLOOKUP(B16,All_Ingredients!$A$1:$F$149,6,FALSE())</f>
        <v>1</v>
      </c>
      <c r="J16" s="118">
        <f>VLOOKUP(B16,All_Ingredients!$A$1:$J$149,10,FALSE())</f>
        <v>0.74</v>
      </c>
      <c r="K16" s="121">
        <f t="shared" si="5"/>
        <v>4.2134999999999999E-2</v>
      </c>
      <c r="L16" s="121">
        <f t="shared" si="6"/>
        <v>3.11799E-2</v>
      </c>
      <c r="M16" s="707"/>
      <c r="N16" s="707"/>
    </row>
    <row r="17" spans="2:29" ht="13.5" customHeight="1" x14ac:dyDescent="0.25">
      <c r="B17" s="697" t="s">
        <v>216</v>
      </c>
      <c r="C17" s="705" t="s">
        <v>14</v>
      </c>
      <c r="D17" s="705">
        <v>10</v>
      </c>
      <c r="E17" s="704">
        <f t="shared" si="0"/>
        <v>0.8427</v>
      </c>
      <c r="F17" s="695">
        <v>1</v>
      </c>
      <c r="G17" s="703">
        <f t="shared" si="1"/>
        <v>8.4269999999999996</v>
      </c>
      <c r="H17" s="702">
        <f t="shared" si="2"/>
        <v>8.4269999999999996</v>
      </c>
      <c r="I17" s="80">
        <f>VLOOKUP(B17,All_Ingredients!$A$1:$F$149,6,FALSE())</f>
        <v>1</v>
      </c>
      <c r="J17" s="118">
        <f>VLOOKUP(B17,All_Ingredients!$A$1:$J$149,10,FALSE())</f>
        <v>35</v>
      </c>
      <c r="K17" s="121">
        <f t="shared" si="5"/>
        <v>8.4270000000000005E-3</v>
      </c>
      <c r="L17" s="121">
        <f t="shared" si="6"/>
        <v>0.29494500000000001</v>
      </c>
    </row>
    <row r="18" spans="2:29" ht="14" x14ac:dyDescent="0.25">
      <c r="B18" s="697" t="s">
        <v>12</v>
      </c>
      <c r="C18" s="705" t="s">
        <v>14</v>
      </c>
      <c r="D18" s="705">
        <v>500</v>
      </c>
      <c r="E18" s="704">
        <f t="shared" si="0"/>
        <v>0.8427</v>
      </c>
      <c r="F18" s="706">
        <v>1</v>
      </c>
      <c r="G18" s="703">
        <f t="shared" si="1"/>
        <v>421.35</v>
      </c>
      <c r="H18" s="702">
        <f t="shared" si="2"/>
        <v>421.35</v>
      </c>
      <c r="I18" s="80">
        <f>VLOOKUP(B18,All_Ingredients!$A$1:$F$149,6,FALSE())</f>
        <v>0.9</v>
      </c>
      <c r="J18" s="118">
        <f>VLOOKUP(B18,All_Ingredients!$A$1:$J$149,10,FALSE())</f>
        <v>3</v>
      </c>
      <c r="K18" s="121">
        <f t="shared" si="5"/>
        <v>0.46816666666666668</v>
      </c>
      <c r="L18" s="121">
        <f t="shared" si="6"/>
        <v>1.4045000000000001</v>
      </c>
    </row>
    <row r="19" spans="2:29" ht="18" customHeight="1" x14ac:dyDescent="0.25">
      <c r="B19" s="697" t="s">
        <v>762</v>
      </c>
      <c r="C19" s="705" t="s">
        <v>14</v>
      </c>
      <c r="D19" s="705">
        <v>100</v>
      </c>
      <c r="E19" s="704">
        <f t="shared" si="0"/>
        <v>0.8427</v>
      </c>
      <c r="F19" s="695">
        <v>1</v>
      </c>
      <c r="G19" s="703">
        <f t="shared" si="1"/>
        <v>84.27</v>
      </c>
      <c r="H19" s="702">
        <f t="shared" si="2"/>
        <v>84.27</v>
      </c>
      <c r="I19" s="80">
        <f>VLOOKUP(B19,All_Ingredients!$A$1:$F$149,6,FALSE())</f>
        <v>1</v>
      </c>
      <c r="J19" s="118">
        <f>VLOOKUP(B19,All_Ingredients!$A$1:$J$149,10,FALSE())</f>
        <v>10.5</v>
      </c>
      <c r="K19" s="121">
        <f t="shared" si="5"/>
        <v>8.4269999999999998E-2</v>
      </c>
      <c r="L19" s="121">
        <f t="shared" si="6"/>
        <v>0.88483499999999993</v>
      </c>
    </row>
    <row r="20" spans="2:29" ht="14" customHeight="1" x14ac:dyDescent="0.25">
      <c r="B20" s="697" t="s">
        <v>731</v>
      </c>
      <c r="C20" s="705" t="s">
        <v>14</v>
      </c>
      <c r="D20" s="705">
        <v>2000</v>
      </c>
      <c r="E20" s="704">
        <f t="shared" si="0"/>
        <v>0.8427</v>
      </c>
      <c r="F20" s="695">
        <v>1</v>
      </c>
      <c r="G20" s="703">
        <f t="shared" si="1"/>
        <v>1685.4</v>
      </c>
      <c r="H20" s="702">
        <f t="shared" si="2"/>
        <v>1685.4</v>
      </c>
      <c r="I20" s="80">
        <f>VLOOKUP(B20,All_Ingredients!$A$1:$F$149,6,FALSE())</f>
        <v>1</v>
      </c>
      <c r="J20" s="118">
        <f>VLOOKUP(B20,All_Ingredients!$A$1:$J$149,10,FALSE())</f>
        <v>8.1520833333333336</v>
      </c>
      <c r="K20" s="121">
        <f t="shared" si="5"/>
        <v>1.6854</v>
      </c>
      <c r="L20" s="121">
        <f t="shared" si="6"/>
        <v>13.739521250000001</v>
      </c>
    </row>
    <row r="21" spans="2:29" ht="16.5" customHeight="1" x14ac:dyDescent="0.25">
      <c r="B21" s="668" t="s">
        <v>205</v>
      </c>
      <c r="C21" s="1369" t="s">
        <v>161</v>
      </c>
      <c r="D21" s="669">
        <v>4000</v>
      </c>
      <c r="E21" s="704">
        <f t="shared" si="0"/>
        <v>0.8427</v>
      </c>
      <c r="F21" s="695">
        <v>1</v>
      </c>
      <c r="G21" s="703">
        <f t="shared" ref="G21" si="7">D21*E21</f>
        <v>3370.8</v>
      </c>
      <c r="H21" s="702">
        <f t="shared" ref="H21" si="8">G21*F21</f>
        <v>3370.8</v>
      </c>
      <c r="I21" s="80">
        <f>VLOOKUP(B21,All_Ingredients!$A$1:$F$149,6,FALSE())</f>
        <v>1</v>
      </c>
      <c r="J21" s="118">
        <f>VLOOKUP(B21,All_Ingredients!$A$1:$J$149,10,FALSE())</f>
        <v>0</v>
      </c>
      <c r="K21" s="121">
        <f t="shared" ref="K21" si="9">(H21/I21)/1000</f>
        <v>3.3708</v>
      </c>
      <c r="L21" s="121">
        <f t="shared" ref="L21" si="10">K21*J21</f>
        <v>0</v>
      </c>
    </row>
    <row r="22" spans="2:29" ht="13.5" customHeight="1" x14ac:dyDescent="0.3">
      <c r="N22" s="1474"/>
      <c r="O22" s="1474"/>
    </row>
    <row r="24" spans="2:29" x14ac:dyDescent="0.3">
      <c r="Z24" s="1266"/>
    </row>
    <row r="25" spans="2:29" ht="14" x14ac:dyDescent="0.3">
      <c r="R25" s="1472" t="s">
        <v>549</v>
      </c>
      <c r="S25" s="1473"/>
      <c r="T25" s="1473"/>
      <c r="Z25" s="140" t="s">
        <v>14</v>
      </c>
      <c r="AA25" s="1288">
        <f>1/1000</f>
        <v>1E-3</v>
      </c>
      <c r="AB25" s="140" t="s">
        <v>253</v>
      </c>
      <c r="AC25" s="142">
        <f>(T33/T29)*AA25</f>
        <v>1.6618425609971226E-5</v>
      </c>
    </row>
    <row r="26" spans="2:29" ht="14" x14ac:dyDescent="0.3">
      <c r="R26" s="709" t="s">
        <v>258</v>
      </c>
      <c r="S26" s="709" t="s">
        <v>530</v>
      </c>
      <c r="T26" s="709" t="s">
        <v>555</v>
      </c>
    </row>
    <row r="27" spans="2:29" ht="14" x14ac:dyDescent="0.3">
      <c r="R27" s="709" t="s">
        <v>531</v>
      </c>
      <c r="S27" s="1353">
        <f>Z1</f>
        <v>27590</v>
      </c>
      <c r="T27" s="1355">
        <f>S27*0.15</f>
        <v>4138.5</v>
      </c>
    </row>
    <row r="28" spans="2:29" ht="14" x14ac:dyDescent="0.3">
      <c r="R28" s="709"/>
      <c r="S28" s="1354">
        <f>AB1</f>
        <v>500</v>
      </c>
      <c r="T28" s="1365"/>
    </row>
    <row r="29" spans="2:29" ht="14" x14ac:dyDescent="0.3">
      <c r="R29" s="708"/>
      <c r="S29" s="1366">
        <f>S27+S28</f>
        <v>28090</v>
      </c>
      <c r="T29" s="1364">
        <f>S29*0.15</f>
        <v>4213.5</v>
      </c>
    </row>
    <row r="30" spans="2:29" x14ac:dyDescent="0.3">
      <c r="S30" s="1367"/>
      <c r="T30" s="1367"/>
    </row>
    <row r="31" spans="2:29" x14ac:dyDescent="0.3">
      <c r="Y31" s="693">
        <v>30000</v>
      </c>
      <c r="Z31" s="693">
        <v>5000</v>
      </c>
      <c r="AA31" s="693">
        <f>Y31+Z31</f>
        <v>35000</v>
      </c>
    </row>
    <row r="32" spans="2:29" ht="13" thickBot="1" x14ac:dyDescent="0.35">
      <c r="Y32" s="1357">
        <f>Y31/AA31</f>
        <v>0.8571428571428571</v>
      </c>
      <c r="Z32" s="1357">
        <f>Z31/AA31</f>
        <v>0.14285714285714285</v>
      </c>
    </row>
    <row r="33" spans="2:26" ht="13.5" thickBot="1" x14ac:dyDescent="0.35">
      <c r="R33" s="162" t="s">
        <v>253</v>
      </c>
      <c r="S33" s="1125">
        <f>SUM(L5:L20)</f>
        <v>70.021736307613764</v>
      </c>
      <c r="T33" s="1213">
        <f>SUM(L5:L20)</f>
        <v>70.021736307613764</v>
      </c>
      <c r="Y33" s="728">
        <v>0.85</v>
      </c>
      <c r="Z33" s="728">
        <v>0.15</v>
      </c>
    </row>
    <row r="37" spans="2:26" ht="18" x14ac:dyDescent="0.3">
      <c r="B37" s="732"/>
      <c r="C37" s="732"/>
      <c r="D37" s="732"/>
      <c r="E37" s="732"/>
      <c r="F37" s="732"/>
      <c r="G37" s="732"/>
      <c r="H37" s="732"/>
    </row>
    <row r="38" spans="2:26" ht="18" x14ac:dyDescent="0.3">
      <c r="B38" s="732"/>
      <c r="C38" s="732"/>
      <c r="D38" s="732"/>
      <c r="E38" s="732"/>
      <c r="F38" s="732"/>
      <c r="G38" s="732"/>
      <c r="H38" s="732"/>
    </row>
    <row r="39" spans="2:26" ht="13" x14ac:dyDescent="0.3">
      <c r="B39" s="734"/>
      <c r="C39" s="735"/>
      <c r="D39" s="734"/>
      <c r="E39" s="734"/>
      <c r="F39" s="731"/>
      <c r="G39" s="734"/>
      <c r="H39" s="733"/>
    </row>
    <row r="40" spans="2:26" ht="18" x14ac:dyDescent="0.3">
      <c r="B40" s="700"/>
      <c r="C40" s="700"/>
      <c r="D40" s="700"/>
      <c r="E40" s="738"/>
      <c r="F40" s="738"/>
      <c r="G40" s="728"/>
      <c r="H40" s="727"/>
      <c r="I40" s="732"/>
      <c r="M40" s="1533"/>
      <c r="N40" s="1533"/>
      <c r="O40" s="1533"/>
      <c r="P40" s="1533"/>
      <c r="Q40" s="1533"/>
      <c r="R40" s="1533"/>
      <c r="S40" s="1533"/>
      <c r="T40" s="1533"/>
    </row>
    <row r="41" spans="2:26" ht="18" x14ac:dyDescent="0.3">
      <c r="B41" s="700"/>
      <c r="C41" s="700"/>
      <c r="D41" s="700"/>
      <c r="E41" s="738"/>
      <c r="F41" s="738"/>
      <c r="G41" s="728"/>
      <c r="H41" s="727"/>
      <c r="I41" s="732"/>
      <c r="M41" s="900"/>
      <c r="N41" s="901"/>
      <c r="O41" s="902"/>
      <c r="P41" s="900"/>
      <c r="Q41" s="903"/>
      <c r="R41" s="904"/>
      <c r="S41" s="902"/>
      <c r="T41" s="902"/>
    </row>
    <row r="42" spans="2:26" ht="14" x14ac:dyDescent="0.3">
      <c r="B42" s="700"/>
      <c r="C42" s="700"/>
      <c r="D42" s="700"/>
      <c r="E42" s="738"/>
      <c r="F42" s="738"/>
      <c r="G42" s="728"/>
      <c r="H42" s="727"/>
      <c r="I42" s="731"/>
      <c r="M42" s="905"/>
      <c r="N42" s="905"/>
      <c r="O42" s="905"/>
      <c r="P42" s="905"/>
      <c r="Q42" s="905"/>
      <c r="R42" s="905"/>
      <c r="S42" s="905"/>
      <c r="T42" s="902"/>
    </row>
    <row r="43" spans="2:26" ht="13.5" customHeight="1" x14ac:dyDescent="0.3">
      <c r="B43" s="700"/>
      <c r="C43" s="700"/>
      <c r="D43" s="700"/>
      <c r="E43" s="738"/>
      <c r="F43" s="738"/>
      <c r="G43" s="728"/>
      <c r="H43" s="727"/>
      <c r="I43" s="726"/>
      <c r="M43" s="904"/>
      <c r="N43" s="904"/>
      <c r="O43" s="906"/>
      <c r="P43" s="906"/>
      <c r="Q43" s="907"/>
      <c r="R43" s="906"/>
      <c r="S43" s="904"/>
      <c r="T43" s="902"/>
    </row>
    <row r="44" spans="2:26" ht="14" x14ac:dyDescent="0.3">
      <c r="B44" s="700"/>
      <c r="C44" s="700"/>
      <c r="D44" s="700"/>
      <c r="E44" s="738"/>
      <c r="F44" s="738"/>
      <c r="G44" s="728"/>
      <c r="H44" s="727"/>
      <c r="I44" s="726"/>
      <c r="M44" s="904"/>
      <c r="N44" s="904"/>
      <c r="O44" s="906"/>
      <c r="P44" s="906"/>
      <c r="Q44" s="907"/>
      <c r="R44" s="906"/>
      <c r="S44" s="904"/>
      <c r="T44" s="902"/>
    </row>
    <row r="45" spans="2:26" ht="14" x14ac:dyDescent="0.3">
      <c r="B45" s="700"/>
      <c r="C45" s="700"/>
      <c r="D45" s="700"/>
      <c r="E45" s="738"/>
      <c r="F45" s="738"/>
      <c r="G45" s="728"/>
      <c r="H45" s="727"/>
      <c r="I45" s="726"/>
      <c r="M45" s="904"/>
      <c r="N45" s="904"/>
      <c r="O45" s="906"/>
      <c r="P45" s="906"/>
      <c r="Q45" s="907"/>
      <c r="R45" s="906"/>
      <c r="S45" s="904"/>
      <c r="T45" s="902"/>
    </row>
    <row r="46" spans="2:26" ht="14" x14ac:dyDescent="0.3">
      <c r="B46" s="700"/>
      <c r="C46" s="700"/>
      <c r="D46" s="700"/>
      <c r="E46" s="738"/>
      <c r="F46" s="738"/>
      <c r="G46" s="728"/>
      <c r="H46" s="727"/>
      <c r="I46" s="726"/>
      <c r="M46" s="904"/>
      <c r="N46" s="904"/>
      <c r="O46" s="906"/>
      <c r="P46" s="906"/>
      <c r="Q46" s="907"/>
      <c r="R46" s="906"/>
      <c r="S46" s="904"/>
      <c r="T46" s="902"/>
    </row>
    <row r="47" spans="2:26" ht="14" x14ac:dyDescent="0.3">
      <c r="B47" s="700"/>
      <c r="E47" s="700"/>
      <c r="F47" s="700"/>
      <c r="H47" s="908"/>
      <c r="I47" s="726"/>
      <c r="M47" s="904"/>
      <c r="N47" s="904"/>
      <c r="O47" s="906"/>
      <c r="P47" s="906"/>
      <c r="Q47" s="907"/>
      <c r="R47" s="906"/>
      <c r="S47" s="904"/>
      <c r="T47" s="902"/>
    </row>
    <row r="48" spans="2:26" ht="14" x14ac:dyDescent="0.3">
      <c r="B48" s="700"/>
      <c r="C48" s="884"/>
      <c r="D48" s="909"/>
      <c r="E48" s="910"/>
      <c r="F48" s="700"/>
      <c r="H48" s="908"/>
      <c r="I48" s="726"/>
      <c r="M48" s="904"/>
      <c r="N48" s="904"/>
      <c r="O48" s="906"/>
      <c r="P48" s="906"/>
      <c r="Q48" s="907"/>
      <c r="R48" s="906"/>
      <c r="S48" s="904"/>
      <c r="T48" s="902"/>
    </row>
    <row r="49" spans="2:20" ht="14" x14ac:dyDescent="0.3">
      <c r="B49" s="700"/>
      <c r="E49" s="700"/>
      <c r="F49" s="700"/>
      <c r="H49" s="908"/>
      <c r="I49" s="726"/>
      <c r="M49" s="904"/>
      <c r="N49" s="904"/>
      <c r="O49" s="906"/>
      <c r="P49" s="906"/>
      <c r="Q49" s="907"/>
      <c r="R49" s="906"/>
      <c r="S49" s="904"/>
      <c r="T49" s="902"/>
    </row>
    <row r="50" spans="2:20" ht="18" x14ac:dyDescent="0.3">
      <c r="B50" s="225" t="s">
        <v>314</v>
      </c>
      <c r="C50" s="225" t="s">
        <v>237</v>
      </c>
      <c r="D50" s="225" t="s">
        <v>283</v>
      </c>
      <c r="E50" s="732"/>
      <c r="F50" s="732"/>
      <c r="G50" s="732"/>
      <c r="H50" s="732"/>
      <c r="M50" s="904"/>
      <c r="N50" s="904"/>
      <c r="O50" s="906"/>
      <c r="P50" s="906"/>
      <c r="Q50" s="907"/>
      <c r="R50" s="906"/>
      <c r="S50" s="904"/>
      <c r="T50" s="902"/>
    </row>
    <row r="51" spans="2:20" ht="18" x14ac:dyDescent="0.3">
      <c r="B51" s="179" t="s">
        <v>287</v>
      </c>
      <c r="C51" s="180">
        <f>5/$K$1</f>
        <v>5</v>
      </c>
      <c r="D51" s="181">
        <f>$C$1</f>
        <v>5000</v>
      </c>
      <c r="E51" s="732"/>
      <c r="F51" s="732"/>
      <c r="G51" s="732"/>
      <c r="H51" s="732"/>
      <c r="M51" s="904"/>
      <c r="N51" s="904"/>
      <c r="O51" s="906"/>
      <c r="P51" s="906"/>
      <c r="Q51" s="907"/>
      <c r="R51" s="906"/>
      <c r="S51" s="904"/>
      <c r="T51" s="902"/>
    </row>
    <row r="52" spans="2:20" ht="14" x14ac:dyDescent="0.3">
      <c r="B52" s="230" t="s">
        <v>261</v>
      </c>
      <c r="C52" s="232">
        <f>G1</f>
        <v>0.8427</v>
      </c>
      <c r="D52" s="232">
        <f>E1</f>
        <v>4213.5</v>
      </c>
      <c r="E52" s="734"/>
      <c r="F52" s="731"/>
      <c r="G52" s="734"/>
      <c r="H52" s="733"/>
      <c r="M52" s="904"/>
      <c r="N52" s="904"/>
      <c r="O52" s="906"/>
      <c r="P52" s="906"/>
      <c r="Q52" s="907"/>
      <c r="R52" s="906"/>
      <c r="S52" s="904"/>
      <c r="T52" s="902"/>
    </row>
    <row r="53" spans="2:20" ht="18" x14ac:dyDescent="0.3">
      <c r="B53" s="230" t="s">
        <v>288</v>
      </c>
      <c r="C53" s="233">
        <f>MIN($C$52, $C$51)</f>
        <v>0.8427</v>
      </c>
      <c r="D53" s="232">
        <f>(C53*$K$1)*1000</f>
        <v>842.7</v>
      </c>
      <c r="E53" s="730"/>
      <c r="F53" s="729"/>
      <c r="G53" s="728"/>
      <c r="H53" s="727"/>
      <c r="I53" s="732"/>
      <c r="M53" s="904"/>
      <c r="N53" s="904"/>
      <c r="O53" s="906"/>
      <c r="P53" s="906"/>
      <c r="Q53" s="907"/>
      <c r="R53" s="906"/>
      <c r="S53" s="904"/>
      <c r="T53" s="902"/>
    </row>
    <row r="54" spans="2:20" ht="18" x14ac:dyDescent="0.3">
      <c r="B54" s="230" t="s">
        <v>289</v>
      </c>
      <c r="C54" s="233">
        <f>MIN(MAX($C$52-C53,0),$C$51)</f>
        <v>0</v>
      </c>
      <c r="D54" s="232">
        <f>(C54*$K$1)*1000</f>
        <v>0</v>
      </c>
      <c r="E54" s="730"/>
      <c r="F54" s="729"/>
      <c r="G54" s="728"/>
      <c r="H54" s="727"/>
      <c r="I54" s="732"/>
      <c r="M54" s="904"/>
      <c r="N54" s="904"/>
      <c r="O54" s="906"/>
      <c r="P54" s="906"/>
      <c r="Q54" s="907"/>
      <c r="R54" s="906"/>
      <c r="S54" s="904"/>
      <c r="T54" s="902"/>
    </row>
    <row r="55" spans="2:20" ht="14" x14ac:dyDescent="0.3">
      <c r="B55" s="230" t="s">
        <v>290</v>
      </c>
      <c r="C55" s="233">
        <f>MIN(MAX($C$52-C53-C54,0),$C$51)</f>
        <v>0</v>
      </c>
      <c r="D55" s="232">
        <f>(C55*$K$1)*1000</f>
        <v>0</v>
      </c>
      <c r="E55" s="730"/>
      <c r="F55" s="729"/>
      <c r="G55" s="728"/>
      <c r="H55" s="727"/>
      <c r="I55" s="731"/>
      <c r="M55" s="904"/>
      <c r="N55" s="904"/>
      <c r="O55" s="906"/>
      <c r="P55" s="906"/>
      <c r="Q55" s="907"/>
      <c r="R55" s="906"/>
      <c r="S55" s="904"/>
      <c r="T55" s="902"/>
    </row>
    <row r="56" spans="2:20" ht="14" x14ac:dyDescent="0.3">
      <c r="B56" s="700"/>
      <c r="C56" s="700"/>
      <c r="D56" s="700"/>
      <c r="E56" s="730"/>
      <c r="F56" s="729"/>
      <c r="G56" s="728"/>
      <c r="H56" s="727"/>
      <c r="I56" s="726"/>
      <c r="M56" s="904"/>
      <c r="N56" s="904"/>
      <c r="O56" s="906"/>
      <c r="P56" s="906"/>
      <c r="Q56" s="907"/>
      <c r="R56" s="906"/>
      <c r="S56" s="904"/>
      <c r="T56" s="902"/>
    </row>
    <row r="57" spans="2:20" ht="14" x14ac:dyDescent="0.3">
      <c r="B57" s="700"/>
      <c r="C57" s="700"/>
      <c r="D57" s="700"/>
      <c r="E57" s="730"/>
      <c r="F57" s="729"/>
      <c r="G57" s="728"/>
      <c r="H57" s="727"/>
      <c r="I57" s="726"/>
      <c r="M57" s="904"/>
      <c r="N57" s="904"/>
      <c r="O57" s="906"/>
      <c r="P57" s="906"/>
      <c r="Q57" s="907"/>
      <c r="R57" s="906"/>
      <c r="S57" s="904"/>
      <c r="T57" s="902"/>
    </row>
    <row r="58" spans="2:20" ht="14" x14ac:dyDescent="0.3">
      <c r="B58" s="700"/>
      <c r="C58" s="700"/>
      <c r="D58" s="700"/>
      <c r="E58" s="730"/>
      <c r="F58" s="729"/>
      <c r="G58" s="728"/>
      <c r="H58" s="727"/>
      <c r="I58" s="726"/>
      <c r="M58" s="904"/>
      <c r="N58" s="904"/>
      <c r="O58" s="906"/>
      <c r="P58" s="906"/>
      <c r="Q58" s="907"/>
      <c r="R58" s="906"/>
      <c r="S58" s="904"/>
      <c r="T58" s="902"/>
    </row>
    <row r="59" spans="2:20" ht="14" x14ac:dyDescent="0.3">
      <c r="B59" s="700"/>
      <c r="C59" s="700"/>
      <c r="D59" s="700"/>
      <c r="E59" s="730"/>
      <c r="F59" s="729"/>
      <c r="G59" s="728"/>
      <c r="H59" s="727"/>
      <c r="I59" s="726"/>
      <c r="M59" s="900"/>
      <c r="N59" s="904"/>
      <c r="O59" s="902"/>
      <c r="P59" s="911"/>
      <c r="Q59" s="902"/>
      <c r="R59" s="911"/>
      <c r="S59" s="902"/>
      <c r="T59" s="902"/>
    </row>
    <row r="60" spans="2:20" x14ac:dyDescent="0.3">
      <c r="I60" s="726"/>
    </row>
    <row r="61" spans="2:20" x14ac:dyDescent="0.3">
      <c r="I61" s="726"/>
    </row>
  </sheetData>
  <mergeCells count="6">
    <mergeCell ref="M40:T40"/>
    <mergeCell ref="A2:A3"/>
    <mergeCell ref="B2:H3"/>
    <mergeCell ref="K2:K3"/>
    <mergeCell ref="N22:O22"/>
    <mergeCell ref="R25:T25"/>
  </mergeCells>
  <printOptions horizontalCentered="1"/>
  <pageMargins left="0.5" right="0.5" top="1" bottom="0.5" header="0.3" footer="0.511811023622047"/>
  <pageSetup paperSize="9" scale="24" orientation="portrait" r:id="rId1"/>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69">
    <tabColor rgb="FF333F50"/>
    <pageSetUpPr fitToPage="1"/>
  </sheetPr>
  <dimension ref="A1:AT108"/>
  <sheetViews>
    <sheetView topLeftCell="R1" zoomScale="70" zoomScaleNormal="70" workbookViewId="0">
      <selection activeCell="Q43" sqref="Q43:T44"/>
    </sheetView>
  </sheetViews>
  <sheetFormatPr defaultColWidth="12.5" defaultRowHeight="14" x14ac:dyDescent="0.3"/>
  <cols>
    <col min="1" max="1" width="12.5" style="78" customWidth="1"/>
    <col min="2" max="2" width="38.7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4.1640625" style="14" customWidth="1"/>
    <col min="15" max="17" width="12.5" style="14" customWidth="1"/>
    <col min="18" max="18" width="31.1640625" style="14" customWidth="1"/>
    <col min="19" max="26" width="12.5" style="14" customWidth="1"/>
    <col min="27" max="27" width="10.08203125" style="14" bestFit="1" customWidth="1"/>
    <col min="28" max="28" width="6.9140625" style="14" customWidth="1"/>
    <col min="29" max="29" width="11.75" style="14" bestFit="1" customWidth="1"/>
    <col min="30" max="30" width="13.25" style="14" bestFit="1" customWidth="1"/>
    <col min="31" max="31" width="10.08203125" style="14" bestFit="1" customWidth="1"/>
    <col min="32" max="32" width="10.33203125" style="14" bestFit="1" customWidth="1"/>
    <col min="33" max="34" width="2.9140625" style="14" customWidth="1"/>
    <col min="35" max="35" width="12.5" style="14" customWidth="1"/>
    <col min="36" max="36" width="31.4140625" style="14" customWidth="1"/>
    <col min="37" max="37" width="12.5" style="14" customWidth="1"/>
    <col min="38" max="41" width="12.5" style="14"/>
    <col min="42" max="42" width="15.5" style="14" customWidth="1"/>
    <col min="43" max="16384" width="12.5" style="14"/>
  </cols>
  <sheetData>
    <row r="1" spans="1:46" ht="39.75" customHeight="1" x14ac:dyDescent="0.3">
      <c r="B1" s="79" t="s">
        <v>235</v>
      </c>
      <c r="C1" s="80">
        <v>1000</v>
      </c>
      <c r="D1" s="81" t="s">
        <v>236</v>
      </c>
      <c r="E1" s="82">
        <f>T32</f>
        <v>18468.717948717953</v>
      </c>
      <c r="F1" s="79" t="s">
        <v>237</v>
      </c>
      <c r="G1" s="83">
        <f>E1/C1</f>
        <v>18.468717948717952</v>
      </c>
      <c r="H1" s="79" t="s">
        <v>238</v>
      </c>
      <c r="I1" s="84">
        <f>(G1/K1)</f>
        <v>18.655270655270659</v>
      </c>
      <c r="J1" s="85" t="s">
        <v>239</v>
      </c>
      <c r="K1" s="386">
        <v>0.99</v>
      </c>
      <c r="L1" s="87"/>
      <c r="M1" s="88"/>
      <c r="N1" s="89"/>
      <c r="O1" s="90" t="s">
        <v>240</v>
      </c>
      <c r="P1" s="91" t="s">
        <v>241</v>
      </c>
      <c r="Q1" s="92" t="s">
        <v>242</v>
      </c>
      <c r="R1" s="91">
        <v>0.59</v>
      </c>
      <c r="Y1" s="90" t="s">
        <v>463</v>
      </c>
      <c r="Z1" s="835">
        <v>32240</v>
      </c>
      <c r="AA1" s="90" t="s">
        <v>578</v>
      </c>
      <c r="AB1" s="835">
        <v>500</v>
      </c>
      <c r="AC1" s="90" t="s">
        <v>567</v>
      </c>
      <c r="AD1" s="835">
        <v>218</v>
      </c>
      <c r="AE1" s="249"/>
      <c r="AF1" s="251"/>
      <c r="AG1" s="91"/>
      <c r="AI1" s="78"/>
      <c r="AJ1" s="93" t="s">
        <v>254</v>
      </c>
      <c r="AK1" s="93">
        <v>10000</v>
      </c>
      <c r="AL1" s="623" t="s">
        <v>503</v>
      </c>
      <c r="AM1" s="624">
        <f>$S$32</f>
        <v>25184.615384615376</v>
      </c>
      <c r="AN1" s="93" t="s">
        <v>243</v>
      </c>
      <c r="AO1" s="328">
        <f>((S32)/$R$1)/$AK$1</f>
        <v>4.2685788787483689</v>
      </c>
      <c r="AP1" s="94"/>
    </row>
    <row r="2" spans="1:46" ht="12.75" customHeight="1" x14ac:dyDescent="0.3">
      <c r="A2" s="96"/>
      <c r="B2" s="97"/>
      <c r="C2" s="97"/>
      <c r="D2" s="97"/>
      <c r="E2" s="97"/>
      <c r="F2" s="1443" t="s">
        <v>149</v>
      </c>
      <c r="G2" s="97"/>
      <c r="H2" s="97"/>
      <c r="I2" s="97"/>
      <c r="J2" s="97"/>
      <c r="K2" s="97"/>
      <c r="L2" s="292"/>
      <c r="M2" s="99"/>
      <c r="N2" s="99"/>
      <c r="O2" s="99"/>
      <c r="P2" s="99"/>
      <c r="Q2" s="99"/>
      <c r="R2" s="99"/>
      <c r="AC2" s="98"/>
      <c r="AD2" s="98"/>
      <c r="AE2" s="1457"/>
      <c r="AF2" s="1460"/>
      <c r="AG2" s="1460"/>
      <c r="AI2" s="78"/>
      <c r="AJ2" s="100"/>
      <c r="AK2" s="1442" t="s">
        <v>472</v>
      </c>
      <c r="AL2" s="1442"/>
      <c r="AM2" s="1442"/>
      <c r="AN2" s="1442"/>
      <c r="AO2" s="100"/>
      <c r="AP2" s="100"/>
    </row>
    <row r="3" spans="1:46" ht="12.75" customHeight="1" x14ac:dyDescent="0.3">
      <c r="A3" s="96"/>
      <c r="B3" s="102"/>
      <c r="C3" s="102"/>
      <c r="D3" s="102"/>
      <c r="E3" s="102"/>
      <c r="F3" s="1444"/>
      <c r="G3" s="102"/>
      <c r="H3" s="102"/>
      <c r="I3" s="102"/>
      <c r="J3" s="102"/>
      <c r="K3" s="102"/>
      <c r="L3" s="292"/>
      <c r="O3" s="99"/>
      <c r="P3" s="99"/>
      <c r="Q3" s="99"/>
      <c r="R3" s="99"/>
      <c r="AC3" s="98"/>
      <c r="AD3" s="98"/>
      <c r="AE3" s="1460"/>
      <c r="AF3" s="1460"/>
      <c r="AG3" s="1460"/>
      <c r="AI3" s="78"/>
      <c r="AJ3" s="100"/>
      <c r="AK3" s="100"/>
      <c r="AL3" s="100"/>
      <c r="AM3" s="100"/>
      <c r="AN3" s="1460"/>
      <c r="AO3" s="100"/>
      <c r="AP3" s="100"/>
    </row>
    <row r="4" spans="1:46" ht="46.5" customHeight="1" x14ac:dyDescent="0.3">
      <c r="A4" s="90" t="s">
        <v>1</v>
      </c>
      <c r="B4" s="90" t="s">
        <v>245</v>
      </c>
      <c r="C4" s="106" t="s">
        <v>246</v>
      </c>
      <c r="D4" s="90" t="s">
        <v>235</v>
      </c>
      <c r="E4" s="107" t="s">
        <v>238</v>
      </c>
      <c r="F4" s="107" t="s">
        <v>247</v>
      </c>
      <c r="G4" s="90" t="s">
        <v>248</v>
      </c>
      <c r="H4" s="330" t="s">
        <v>339</v>
      </c>
      <c r="I4" s="90" t="s">
        <v>250</v>
      </c>
      <c r="J4" s="90" t="s">
        <v>251</v>
      </c>
      <c r="K4" s="90" t="s">
        <v>252</v>
      </c>
      <c r="L4" s="90" t="s">
        <v>253</v>
      </c>
      <c r="O4" s="99"/>
      <c r="P4" s="99"/>
      <c r="AA4" s="250"/>
      <c r="AB4" s="252"/>
      <c r="AC4" s="252"/>
      <c r="AD4" s="252"/>
      <c r="AE4" s="250"/>
      <c r="AF4" s="250"/>
      <c r="AG4" s="250"/>
      <c r="AI4" s="78"/>
      <c r="AJ4" s="93" t="s">
        <v>245</v>
      </c>
      <c r="AK4" s="527" t="s">
        <v>246</v>
      </c>
      <c r="AL4" s="93" t="s">
        <v>254</v>
      </c>
      <c r="AM4" s="93" t="s">
        <v>238</v>
      </c>
      <c r="AN4" s="93" t="s">
        <v>247</v>
      </c>
      <c r="AO4" s="93" t="s">
        <v>248</v>
      </c>
      <c r="AP4" s="93" t="s">
        <v>339</v>
      </c>
      <c r="AQ4" s="90" t="s">
        <v>250</v>
      </c>
      <c r="AR4" s="90" t="s">
        <v>251</v>
      </c>
      <c r="AS4" s="90" t="s">
        <v>252</v>
      </c>
      <c r="AT4" s="90" t="s">
        <v>253</v>
      </c>
    </row>
    <row r="5" spans="1:46" ht="14.25" customHeight="1" x14ac:dyDescent="0.3">
      <c r="A5" s="265" t="s">
        <v>225</v>
      </c>
      <c r="B5" s="308" t="s">
        <v>224</v>
      </c>
      <c r="C5" s="114" t="s">
        <v>14</v>
      </c>
      <c r="D5" s="267">
        <f>I51/10</f>
        <v>2311.3713405238827</v>
      </c>
      <c r="E5" s="125">
        <f>H52</f>
        <v>18.467733002957786</v>
      </c>
      <c r="F5" s="117">
        <v>1</v>
      </c>
      <c r="G5" s="118">
        <f t="shared" ref="G5:G22" si="0">D5*E5</f>
        <v>42685.788787483689</v>
      </c>
      <c r="H5" s="206">
        <f t="shared" ref="H5:H22" si="1">G5*F5</f>
        <v>42685.788787483689</v>
      </c>
      <c r="I5" s="80">
        <f>VLOOKUP(B5,All_Ingredients!$A$1:$F$149,6,FALSE())</f>
        <v>0.86</v>
      </c>
      <c r="J5" s="118">
        <f>VLOOKUP(B5,All_Ingredients!$A$1:$J$149,10,FALSE())</f>
        <v>17.100000000000001</v>
      </c>
      <c r="K5" s="121">
        <f t="shared" ref="K5" si="2">(H5/I5)/1000</f>
        <v>49.634638124981038</v>
      </c>
      <c r="L5" s="121">
        <f t="shared" ref="L5" si="3">K5*J5</f>
        <v>848.75231193717582</v>
      </c>
      <c r="O5" s="99"/>
      <c r="P5" s="99"/>
      <c r="AA5" s="91"/>
      <c r="AB5" s="132"/>
      <c r="AC5" s="132"/>
      <c r="AD5" s="132"/>
      <c r="AE5" s="253"/>
      <c r="AF5" s="134"/>
      <c r="AG5" s="135"/>
      <c r="AI5" s="78"/>
      <c r="AJ5" s="373" t="s">
        <v>224</v>
      </c>
      <c r="AK5" s="123" t="s">
        <v>231</v>
      </c>
      <c r="AL5" s="115">
        <v>10</v>
      </c>
      <c r="AM5" s="222">
        <f t="shared" ref="AM5:AM12" si="4">$AO$1</f>
        <v>4.2685788787483689</v>
      </c>
      <c r="AN5" s="126">
        <v>1</v>
      </c>
      <c r="AO5" s="118">
        <f t="shared" ref="AO5:AO11" si="5">AL5*AM5</f>
        <v>42.685788787483688</v>
      </c>
      <c r="AP5" s="119">
        <f t="shared" ref="AP5:AP11" si="6">AO5*AN5</f>
        <v>42.685788787483688</v>
      </c>
      <c r="AQ5" s="294"/>
      <c r="AR5" s="1152"/>
      <c r="AS5" s="174"/>
      <c r="AT5" s="1153"/>
    </row>
    <row r="6" spans="1:46" ht="14.25" customHeight="1" x14ac:dyDescent="0.3">
      <c r="A6" s="127" t="s">
        <v>13</v>
      </c>
      <c r="B6" s="113" t="s">
        <v>12</v>
      </c>
      <c r="C6" s="114" t="s">
        <v>14</v>
      </c>
      <c r="D6" s="124">
        <v>100</v>
      </c>
      <c r="E6" s="125">
        <f t="shared" ref="E6:E22" si="7">$I$1</f>
        <v>18.655270655270659</v>
      </c>
      <c r="F6" s="298">
        <v>0.95</v>
      </c>
      <c r="G6" s="118">
        <f t="shared" si="0"/>
        <v>1865.5270655270658</v>
      </c>
      <c r="H6" s="206">
        <f t="shared" si="1"/>
        <v>1772.2507122507125</v>
      </c>
      <c r="I6" s="80">
        <f>VLOOKUP(B6,All_Ingredients!$A$1:$F$149,6,FALSE())</f>
        <v>0.9</v>
      </c>
      <c r="J6" s="118">
        <f>VLOOKUP(B6,All_Ingredients!$A$1:$J$149,10,FALSE())</f>
        <v>3</v>
      </c>
      <c r="K6" s="121">
        <f t="shared" ref="K6:K22" si="8">(H6/I6)/1000</f>
        <v>1.9691674580563472</v>
      </c>
      <c r="L6" s="121">
        <f t="shared" ref="L6:L22" si="9">K6*J6</f>
        <v>5.9075023741690416</v>
      </c>
      <c r="AI6" s="78" t="s">
        <v>56</v>
      </c>
      <c r="AJ6" s="322" t="s">
        <v>55</v>
      </c>
      <c r="AK6" s="333" t="s">
        <v>14</v>
      </c>
      <c r="AL6" s="115">
        <v>100</v>
      </c>
      <c r="AM6" s="222">
        <f t="shared" si="4"/>
        <v>4.2685788787483689</v>
      </c>
      <c r="AN6" s="126">
        <v>1</v>
      </c>
      <c r="AO6" s="118">
        <f t="shared" si="5"/>
        <v>426.85788787483688</v>
      </c>
      <c r="AP6" s="119">
        <f t="shared" si="6"/>
        <v>426.85788787483688</v>
      </c>
      <c r="AQ6" s="1153">
        <f>VLOOKUP(AJ6,Marination_Ordering!$A:$J,6,FALSE)</f>
        <v>0.87</v>
      </c>
      <c r="AR6" s="1153">
        <f>VLOOKUP(AJ6,Marination_Ordering!$A:$J,10,FALSE)</f>
        <v>3.2</v>
      </c>
      <c r="AS6" s="174">
        <f>AP6/AQ6</f>
        <v>490.64125043084698</v>
      </c>
      <c r="AT6" s="1153">
        <f>AR6*(AS6/1000)</f>
        <v>1.5700520013787105</v>
      </c>
    </row>
    <row r="7" spans="1:46" ht="14.25" customHeight="1" x14ac:dyDescent="0.3">
      <c r="A7" s="127" t="s">
        <v>13</v>
      </c>
      <c r="B7" s="113" t="s">
        <v>762</v>
      </c>
      <c r="C7" s="114" t="s">
        <v>14</v>
      </c>
      <c r="D7" s="124">
        <v>20</v>
      </c>
      <c r="E7" s="125">
        <f t="shared" si="7"/>
        <v>18.655270655270659</v>
      </c>
      <c r="F7" s="298">
        <v>1</v>
      </c>
      <c r="G7" s="118">
        <f t="shared" si="0"/>
        <v>373.10541310541316</v>
      </c>
      <c r="H7" s="206">
        <f t="shared" si="1"/>
        <v>373.10541310541316</v>
      </c>
      <c r="I7" s="80">
        <f>VLOOKUP(B7,All_Ingredients!$A$1:$F$149,6,FALSE())</f>
        <v>1</v>
      </c>
      <c r="J7" s="118">
        <f>VLOOKUP(B7,All_Ingredients!$A$1:$J$149,10,FALSE())</f>
        <v>10.5</v>
      </c>
      <c r="K7" s="121">
        <f t="shared" si="8"/>
        <v>0.37310541310541318</v>
      </c>
      <c r="L7" s="121">
        <f t="shared" si="9"/>
        <v>3.9176068376068383</v>
      </c>
      <c r="AI7" s="78" t="s">
        <v>13</v>
      </c>
      <c r="AJ7" s="322" t="s">
        <v>762</v>
      </c>
      <c r="AK7" s="333" t="s">
        <v>14</v>
      </c>
      <c r="AL7" s="115">
        <v>100</v>
      </c>
      <c r="AM7" s="222">
        <f t="shared" si="4"/>
        <v>4.2685788787483689</v>
      </c>
      <c r="AN7" s="126">
        <v>1</v>
      </c>
      <c r="AO7" s="118">
        <f t="shared" si="5"/>
        <v>426.85788787483688</v>
      </c>
      <c r="AP7" s="119">
        <f t="shared" si="6"/>
        <v>426.85788787483688</v>
      </c>
      <c r="AQ7" s="1153">
        <f>VLOOKUP(AJ7,Marination_Ordering!$A:$J,6,FALSE)</f>
        <v>1</v>
      </c>
      <c r="AR7" s="1153">
        <f>VLOOKUP(AJ7,Marination_Ordering!$A:$J,10,FALSE)</f>
        <v>10.5</v>
      </c>
      <c r="AS7" s="174">
        <f t="shared" ref="AS7:AS8" si="10">AP7/AQ7</f>
        <v>426.85788787483688</v>
      </c>
      <c r="AT7" s="1153">
        <f t="shared" ref="AT7:AT8" si="11">AR7*(AS7/1000)</f>
        <v>4.4820078226857873</v>
      </c>
    </row>
    <row r="8" spans="1:46" ht="14.25" customHeight="1" x14ac:dyDescent="0.3">
      <c r="A8" s="127" t="s">
        <v>13</v>
      </c>
      <c r="B8" s="113" t="s">
        <v>17</v>
      </c>
      <c r="C8" s="114" t="s">
        <v>14</v>
      </c>
      <c r="D8" s="124">
        <v>500</v>
      </c>
      <c r="E8" s="125">
        <f t="shared" si="7"/>
        <v>18.655270655270659</v>
      </c>
      <c r="F8" s="298">
        <v>0.9</v>
      </c>
      <c r="G8" s="118">
        <f t="shared" si="0"/>
        <v>9327.6353276353293</v>
      </c>
      <c r="H8" s="206">
        <f t="shared" si="1"/>
        <v>8394.8717948717967</v>
      </c>
      <c r="I8" s="80">
        <f>VLOOKUP(B8,All_Ingredients!$A$1:$F$149,6,FALSE())</f>
        <v>0.98</v>
      </c>
      <c r="J8" s="118">
        <f>VLOOKUP(B8,All_Ingredients!$A$1:$J$149,10,FALSE())</f>
        <v>3.5</v>
      </c>
      <c r="K8" s="121">
        <f t="shared" si="8"/>
        <v>8.5661957090528542</v>
      </c>
      <c r="L8" s="121">
        <f t="shared" si="9"/>
        <v>29.981684981684989</v>
      </c>
      <c r="AI8" s="78" t="s">
        <v>206</v>
      </c>
      <c r="AJ8" s="322" t="s">
        <v>214</v>
      </c>
      <c r="AK8" s="333" t="s">
        <v>161</v>
      </c>
      <c r="AL8" s="115">
        <v>200</v>
      </c>
      <c r="AM8" s="222">
        <f t="shared" si="4"/>
        <v>4.2685788787483689</v>
      </c>
      <c r="AN8" s="126">
        <v>1</v>
      </c>
      <c r="AO8" s="118">
        <f t="shared" si="5"/>
        <v>853.71577574967375</v>
      </c>
      <c r="AP8" s="119">
        <f t="shared" si="6"/>
        <v>853.71577574967375</v>
      </c>
      <c r="AQ8" s="1153">
        <f>VLOOKUP(AJ8,Marination_Ordering!$A:$J,6,FALSE)</f>
        <v>1</v>
      </c>
      <c r="AR8" s="1153">
        <f>VLOOKUP(AJ8,Marination_Ordering!$A:$J,10,FALSE)</f>
        <v>5</v>
      </c>
      <c r="AS8" s="174">
        <f t="shared" si="10"/>
        <v>853.71577574967375</v>
      </c>
      <c r="AT8" s="1153">
        <f t="shared" si="11"/>
        <v>4.2685788787483689</v>
      </c>
    </row>
    <row r="9" spans="1:46" ht="14.25" customHeight="1" x14ac:dyDescent="0.3">
      <c r="A9" s="127" t="s">
        <v>81</v>
      </c>
      <c r="B9" s="113" t="s">
        <v>80</v>
      </c>
      <c r="C9" s="114" t="s">
        <v>14</v>
      </c>
      <c r="D9" s="124">
        <v>0.5</v>
      </c>
      <c r="E9" s="125">
        <f t="shared" si="7"/>
        <v>18.655270655270659</v>
      </c>
      <c r="F9" s="298">
        <v>0.75</v>
      </c>
      <c r="G9" s="118">
        <f t="shared" si="0"/>
        <v>9.3276353276353294</v>
      </c>
      <c r="H9" s="206">
        <f t="shared" si="1"/>
        <v>6.9957264957264975</v>
      </c>
      <c r="I9" s="80">
        <f>VLOOKUP(B9,All_Ingredients!$A$1:$F$149,6,FALSE())</f>
        <v>1</v>
      </c>
      <c r="J9" s="118">
        <f>VLOOKUP(B9,All_Ingredients!$A$1:$J$149,10,FALSE())</f>
        <v>7</v>
      </c>
      <c r="K9" s="121">
        <f t="shared" si="8"/>
        <v>6.9957264957264979E-3</v>
      </c>
      <c r="L9" s="121">
        <f t="shared" si="9"/>
        <v>4.8970085470085488E-2</v>
      </c>
      <c r="AI9" s="78" t="s">
        <v>206</v>
      </c>
      <c r="AJ9" s="322" t="s">
        <v>210</v>
      </c>
      <c r="AK9" s="123" t="s">
        <v>161</v>
      </c>
      <c r="AL9" s="115">
        <v>150</v>
      </c>
      <c r="AM9" s="222">
        <f t="shared" si="4"/>
        <v>4.2685788787483689</v>
      </c>
      <c r="AN9" s="126">
        <v>1</v>
      </c>
      <c r="AO9" s="118">
        <f t="shared" si="5"/>
        <v>640.28683181225529</v>
      </c>
      <c r="AP9" s="119">
        <f t="shared" si="6"/>
        <v>640.28683181225529</v>
      </c>
      <c r="AQ9" s="1153">
        <f>VLOOKUP(AJ9,Marination_Ordering!$A:$J,6,FALSE)</f>
        <v>1</v>
      </c>
      <c r="AR9" s="1153">
        <f>VLOOKUP(AJ9,Marination_Ordering!$A:$J,10,FALSE)</f>
        <v>2.1621621621621623</v>
      </c>
      <c r="AS9" s="174">
        <f t="shared" ref="AS9:AS12" si="12">AP9/AQ9</f>
        <v>640.28683181225529</v>
      </c>
      <c r="AT9" s="1153">
        <f t="shared" ref="AT9:AT12" si="13">AR9*(AS9/1000)</f>
        <v>1.3844039606751468</v>
      </c>
    </row>
    <row r="10" spans="1:46" ht="14.25" customHeight="1" x14ac:dyDescent="0.3">
      <c r="A10" s="127" t="s">
        <v>81</v>
      </c>
      <c r="B10" s="113" t="s">
        <v>85</v>
      </c>
      <c r="C10" s="114" t="s">
        <v>14</v>
      </c>
      <c r="D10" s="124">
        <v>0.5</v>
      </c>
      <c r="E10" s="125">
        <f t="shared" si="7"/>
        <v>18.655270655270659</v>
      </c>
      <c r="F10" s="298">
        <v>0.9</v>
      </c>
      <c r="G10" s="118">
        <f t="shared" si="0"/>
        <v>9.3276353276353294</v>
      </c>
      <c r="H10" s="206">
        <f t="shared" si="1"/>
        <v>8.394871794871797</v>
      </c>
      <c r="I10" s="80">
        <f>VLOOKUP(B10,All_Ingredients!$A$1:$F$149,6,FALSE())</f>
        <v>1</v>
      </c>
      <c r="J10" s="118">
        <f>VLOOKUP(B10,All_Ingredients!$A$1:$J$149,10,FALSE())</f>
        <v>140.84507042253523</v>
      </c>
      <c r="K10" s="121">
        <f t="shared" si="8"/>
        <v>8.3948717948717968E-3</v>
      </c>
      <c r="L10" s="121">
        <f t="shared" si="9"/>
        <v>1.1823763091368729</v>
      </c>
      <c r="AI10" s="78" t="s">
        <v>95</v>
      </c>
      <c r="AJ10" s="322" t="s">
        <v>94</v>
      </c>
      <c r="AK10" s="333" t="s">
        <v>14</v>
      </c>
      <c r="AL10" s="115">
        <v>2</v>
      </c>
      <c r="AM10" s="222">
        <f t="shared" si="4"/>
        <v>4.2685788787483689</v>
      </c>
      <c r="AN10" s="126">
        <v>1</v>
      </c>
      <c r="AO10" s="118">
        <f t="shared" si="5"/>
        <v>8.5371577574967379</v>
      </c>
      <c r="AP10" s="119">
        <f t="shared" si="6"/>
        <v>8.5371577574967379</v>
      </c>
      <c r="AQ10" s="1153">
        <f>VLOOKUP(AJ10,Marination_Ordering!$A:$J,6,FALSE)</f>
        <v>1</v>
      </c>
      <c r="AR10" s="1153">
        <f>VLOOKUP(AJ10,Marination_Ordering!$A:$J,10,FALSE)</f>
        <v>0.74</v>
      </c>
      <c r="AS10" s="174">
        <f t="shared" si="12"/>
        <v>8.5371577574967379</v>
      </c>
      <c r="AT10" s="1153">
        <f t="shared" si="13"/>
        <v>6.3174967405475856E-3</v>
      </c>
    </row>
    <row r="11" spans="1:46" ht="14.25" customHeight="1" x14ac:dyDescent="0.3">
      <c r="A11" s="127" t="s">
        <v>81</v>
      </c>
      <c r="B11" s="113" t="s">
        <v>83</v>
      </c>
      <c r="C11" s="114" t="s">
        <v>14</v>
      </c>
      <c r="D11" s="124">
        <v>0.5</v>
      </c>
      <c r="E11" s="125">
        <f t="shared" si="7"/>
        <v>18.655270655270659</v>
      </c>
      <c r="F11" s="298">
        <v>0.9</v>
      </c>
      <c r="G11" s="118">
        <f t="shared" si="0"/>
        <v>9.3276353276353294</v>
      </c>
      <c r="H11" s="206">
        <f t="shared" si="1"/>
        <v>8.394871794871797</v>
      </c>
      <c r="I11" s="80">
        <f>VLOOKUP(B11,All_Ingredients!$A$1:$F$149,6,FALSE())</f>
        <v>1</v>
      </c>
      <c r="J11" s="118">
        <f>VLOOKUP(B11,All_Ingredients!$A$1:$J$149,10,FALSE())</f>
        <v>147.88732394366198</v>
      </c>
      <c r="K11" s="121">
        <f t="shared" si="8"/>
        <v>8.3948717948717968E-3</v>
      </c>
      <c r="L11" s="121">
        <f t="shared" si="9"/>
        <v>1.2414951245937165</v>
      </c>
      <c r="AI11" s="78" t="s">
        <v>95</v>
      </c>
      <c r="AJ11" s="322" t="s">
        <v>100</v>
      </c>
      <c r="AK11" s="333" t="s">
        <v>14</v>
      </c>
      <c r="AL11" s="223">
        <v>5</v>
      </c>
      <c r="AM11" s="222">
        <f t="shared" si="4"/>
        <v>4.2685788787483689</v>
      </c>
      <c r="AN11" s="126">
        <v>1</v>
      </c>
      <c r="AO11" s="118">
        <f t="shared" si="5"/>
        <v>21.342894393741844</v>
      </c>
      <c r="AP11" s="119">
        <f t="shared" si="6"/>
        <v>21.342894393741844</v>
      </c>
      <c r="AQ11" s="1153">
        <f>VLOOKUP(AJ11,Marination_Ordering!$A:$J,6,FALSE)</f>
        <v>1</v>
      </c>
      <c r="AR11" s="1153">
        <f>VLOOKUP(AJ11,Marination_Ordering!$A:$J,10,FALSE)</f>
        <v>31</v>
      </c>
      <c r="AS11" s="174">
        <f t="shared" si="12"/>
        <v>21.342894393741844</v>
      </c>
      <c r="AT11" s="1153">
        <f t="shared" si="13"/>
        <v>0.66162972620599714</v>
      </c>
    </row>
    <row r="12" spans="1:46" ht="14.25" customHeight="1" x14ac:dyDescent="0.3">
      <c r="A12" s="127" t="s">
        <v>95</v>
      </c>
      <c r="B12" s="113" t="s">
        <v>94</v>
      </c>
      <c r="C12" s="114" t="s">
        <v>14</v>
      </c>
      <c r="D12" s="124">
        <v>10</v>
      </c>
      <c r="E12" s="125">
        <f t="shared" si="7"/>
        <v>18.655270655270659</v>
      </c>
      <c r="F12" s="298">
        <v>0.75</v>
      </c>
      <c r="G12" s="118">
        <f t="shared" si="0"/>
        <v>186.55270655270658</v>
      </c>
      <c r="H12" s="206">
        <f t="shared" si="1"/>
        <v>139.91452991452994</v>
      </c>
      <c r="I12" s="80">
        <f>VLOOKUP(B12,All_Ingredients!$A$1:$F$149,6,FALSE())</f>
        <v>1</v>
      </c>
      <c r="J12" s="118">
        <f>VLOOKUP(B12,All_Ingredients!$A$1:$J$149,10,FALSE())</f>
        <v>0.74</v>
      </c>
      <c r="K12" s="121">
        <f t="shared" si="8"/>
        <v>0.13991452991452993</v>
      </c>
      <c r="L12" s="121">
        <f t="shared" si="9"/>
        <v>0.10353675213675215</v>
      </c>
      <c r="AI12" s="78" t="s">
        <v>95</v>
      </c>
      <c r="AJ12" s="322" t="s">
        <v>216</v>
      </c>
      <c r="AK12" s="333" t="s">
        <v>14</v>
      </c>
      <c r="AL12" s="223">
        <v>5</v>
      </c>
      <c r="AM12" s="222">
        <f t="shared" si="4"/>
        <v>4.2685788787483689</v>
      </c>
      <c r="AN12" s="126">
        <v>1</v>
      </c>
      <c r="AO12" s="118">
        <f>AL12*AM12</f>
        <v>21.342894393741844</v>
      </c>
      <c r="AP12" s="119">
        <f>AO12*AN12</f>
        <v>21.342894393741844</v>
      </c>
      <c r="AQ12" s="1153">
        <f>VLOOKUP(AJ12,Marination_Ordering!$A:$J,6,FALSE)</f>
        <v>1</v>
      </c>
      <c r="AR12" s="1153">
        <f>VLOOKUP(AJ12,Marination_Ordering!$A:$J,10,FALSE)</f>
        <v>35</v>
      </c>
      <c r="AS12" s="174">
        <f t="shared" si="12"/>
        <v>21.342894393741844</v>
      </c>
      <c r="AT12" s="1153">
        <f t="shared" si="13"/>
        <v>0.74700130378096452</v>
      </c>
    </row>
    <row r="13" spans="1:46" ht="14.25" customHeight="1" x14ac:dyDescent="0.3">
      <c r="A13" s="127" t="s">
        <v>95</v>
      </c>
      <c r="B13" s="113" t="s">
        <v>100</v>
      </c>
      <c r="C13" s="114" t="s">
        <v>14</v>
      </c>
      <c r="D13" s="124">
        <v>1</v>
      </c>
      <c r="E13" s="125">
        <f t="shared" si="7"/>
        <v>18.655270655270659</v>
      </c>
      <c r="F13" s="298">
        <v>0.75</v>
      </c>
      <c r="G13" s="118">
        <f t="shared" si="0"/>
        <v>18.655270655270659</v>
      </c>
      <c r="H13" s="206">
        <f t="shared" si="1"/>
        <v>13.991452991452995</v>
      </c>
      <c r="I13" s="80">
        <f>VLOOKUP(B13,All_Ingredients!$A$1:$F$149,6,FALSE())</f>
        <v>1</v>
      </c>
      <c r="J13" s="118">
        <f>VLOOKUP(B13,All_Ingredients!$A$1:$J$149,10,FALSE())</f>
        <v>31</v>
      </c>
      <c r="K13" s="121">
        <f t="shared" si="8"/>
        <v>1.3991452991452996E-2</v>
      </c>
      <c r="L13" s="121">
        <f t="shared" si="9"/>
        <v>0.43373504273504287</v>
      </c>
      <c r="AI13" s="78"/>
    </row>
    <row r="14" spans="1:46" ht="14.25" customHeight="1" x14ac:dyDescent="0.3">
      <c r="A14" s="127" t="s">
        <v>182</v>
      </c>
      <c r="B14" s="113" t="s">
        <v>185</v>
      </c>
      <c r="C14" s="114" t="s">
        <v>14</v>
      </c>
      <c r="D14" s="124">
        <v>20</v>
      </c>
      <c r="E14" s="125">
        <f t="shared" si="7"/>
        <v>18.655270655270659</v>
      </c>
      <c r="F14" s="298">
        <v>0.75</v>
      </c>
      <c r="G14" s="118">
        <f t="shared" si="0"/>
        <v>373.10541310541316</v>
      </c>
      <c r="H14" s="206">
        <f t="shared" si="1"/>
        <v>279.82905982905987</v>
      </c>
      <c r="I14" s="80">
        <f>VLOOKUP(B14,All_Ingredients!$A$1:$F$149,6,FALSE())</f>
        <v>1</v>
      </c>
      <c r="J14" s="118">
        <f>VLOOKUP(B14,All_Ingredients!$A$1:$J$149,10,FALSE())</f>
        <v>17</v>
      </c>
      <c r="K14" s="121">
        <f t="shared" si="8"/>
        <v>0.27982905982905987</v>
      </c>
      <c r="L14" s="121">
        <f t="shared" si="9"/>
        <v>4.7570940170940181</v>
      </c>
      <c r="AI14" s="78"/>
    </row>
    <row r="15" spans="1:46" ht="14.25" customHeight="1" x14ac:dyDescent="0.3">
      <c r="A15" s="127" t="s">
        <v>154</v>
      </c>
      <c r="B15" s="113" t="s">
        <v>153</v>
      </c>
      <c r="C15" s="114" t="s">
        <v>14</v>
      </c>
      <c r="D15" s="124">
        <v>30</v>
      </c>
      <c r="E15" s="125">
        <f t="shared" si="7"/>
        <v>18.655270655270659</v>
      </c>
      <c r="F15" s="298">
        <v>1</v>
      </c>
      <c r="G15" s="118">
        <f t="shared" si="0"/>
        <v>559.65811965811974</v>
      </c>
      <c r="H15" s="206">
        <f t="shared" si="1"/>
        <v>559.65811965811974</v>
      </c>
      <c r="I15" s="80">
        <f>VLOOKUP(B15,All_Ingredients!$A$1:$F$149,6,FALSE())</f>
        <v>1</v>
      </c>
      <c r="J15" s="118">
        <f>VLOOKUP(B15,All_Ingredients!$A$1:$J$149,10,FALSE())</f>
        <v>30</v>
      </c>
      <c r="K15" s="121">
        <f t="shared" si="8"/>
        <v>0.55965811965811973</v>
      </c>
      <c r="L15" s="121">
        <f t="shared" si="9"/>
        <v>16.78974358974359</v>
      </c>
      <c r="AI15" s="78"/>
    </row>
    <row r="16" spans="1:46" ht="14.25" customHeight="1" x14ac:dyDescent="0.3">
      <c r="A16" s="127" t="s">
        <v>188</v>
      </c>
      <c r="B16" s="113" t="s">
        <v>187</v>
      </c>
      <c r="C16" s="114" t="s">
        <v>14</v>
      </c>
      <c r="D16" s="124">
        <v>10</v>
      </c>
      <c r="E16" s="125">
        <f t="shared" si="7"/>
        <v>18.655270655270659</v>
      </c>
      <c r="F16" s="298">
        <v>1</v>
      </c>
      <c r="G16" s="118">
        <f t="shared" si="0"/>
        <v>186.55270655270658</v>
      </c>
      <c r="H16" s="206">
        <f t="shared" si="1"/>
        <v>186.55270655270658</v>
      </c>
      <c r="I16" s="80">
        <f>VLOOKUP(B16,All_Ingredients!$A$1:$F$149,6,FALSE())</f>
        <v>1</v>
      </c>
      <c r="J16" s="118">
        <f>VLOOKUP(B16,All_Ingredients!$A$1:$J$149,10,FALSE())</f>
        <v>1.7</v>
      </c>
      <c r="K16" s="121">
        <f t="shared" si="8"/>
        <v>0.18655270655270659</v>
      </c>
      <c r="L16" s="121">
        <f t="shared" si="9"/>
        <v>0.31713960113960121</v>
      </c>
      <c r="AI16" s="78"/>
    </row>
    <row r="17" spans="1:32" ht="14.25" customHeight="1" x14ac:dyDescent="0.3">
      <c r="A17" s="127" t="s">
        <v>154</v>
      </c>
      <c r="B17" s="113" t="s">
        <v>167</v>
      </c>
      <c r="C17" s="114" t="s">
        <v>161</v>
      </c>
      <c r="D17" s="124">
        <v>280</v>
      </c>
      <c r="E17" s="125">
        <f t="shared" si="7"/>
        <v>18.655270655270659</v>
      </c>
      <c r="F17" s="298">
        <v>1</v>
      </c>
      <c r="G17" s="118">
        <f t="shared" si="0"/>
        <v>5223.4757834757847</v>
      </c>
      <c r="H17" s="206">
        <f t="shared" si="1"/>
        <v>5223.4757834757847</v>
      </c>
      <c r="I17" s="80">
        <f>VLOOKUP(B17,All_Ingredients!$A$1:$F$149,6,FALSE())</f>
        <v>1</v>
      </c>
      <c r="J17" s="118">
        <f>VLOOKUP(B17,All_Ingredients!$A$1:$J$149,10,FALSE())</f>
        <v>12.666666666666666</v>
      </c>
      <c r="K17" s="121">
        <f t="shared" si="8"/>
        <v>5.2234757834757843</v>
      </c>
      <c r="L17" s="121">
        <f t="shared" si="9"/>
        <v>66.164026590693268</v>
      </c>
    </row>
    <row r="18" spans="1:32" ht="14.25" customHeight="1" x14ac:dyDescent="0.3">
      <c r="A18" s="127" t="s">
        <v>154</v>
      </c>
      <c r="B18" s="113" t="s">
        <v>160</v>
      </c>
      <c r="C18" s="114" t="s">
        <v>161</v>
      </c>
      <c r="D18" s="124">
        <v>400</v>
      </c>
      <c r="E18" s="125">
        <f t="shared" si="7"/>
        <v>18.655270655270659</v>
      </c>
      <c r="F18" s="298">
        <v>1</v>
      </c>
      <c r="G18" s="118">
        <f t="shared" si="0"/>
        <v>7462.1082621082633</v>
      </c>
      <c r="H18" s="206">
        <f t="shared" si="1"/>
        <v>7462.1082621082633</v>
      </c>
      <c r="I18" s="80">
        <f>VLOOKUP(B18,All_Ingredients!$A$1:$F$149,6,FALSE())</f>
        <v>1</v>
      </c>
      <c r="J18" s="118">
        <f>VLOOKUP(B18,All_Ingredients!$A$1:$J$149,10,FALSE())</f>
        <v>4.2033333333333331</v>
      </c>
      <c r="K18" s="121">
        <f t="shared" si="8"/>
        <v>7.4621082621082628</v>
      </c>
      <c r="L18" s="121">
        <f t="shared" si="9"/>
        <v>31.36572839506173</v>
      </c>
    </row>
    <row r="19" spans="1:32" ht="14.25" customHeight="1" x14ac:dyDescent="0.3">
      <c r="A19" s="127" t="s">
        <v>215</v>
      </c>
      <c r="B19" s="113" t="s">
        <v>216</v>
      </c>
      <c r="C19" s="114" t="s">
        <v>14</v>
      </c>
      <c r="D19" s="124">
        <v>1</v>
      </c>
      <c r="E19" s="125">
        <f t="shared" si="7"/>
        <v>18.655270655270659</v>
      </c>
      <c r="F19" s="298">
        <v>1</v>
      </c>
      <c r="G19" s="118">
        <f t="shared" si="0"/>
        <v>18.655270655270659</v>
      </c>
      <c r="H19" s="206">
        <f t="shared" si="1"/>
        <v>18.655270655270659</v>
      </c>
      <c r="I19" s="80">
        <f>VLOOKUP(B19,All_Ingredients!$A$1:$F$149,6,FALSE())</f>
        <v>1</v>
      </c>
      <c r="J19" s="118">
        <f>VLOOKUP(B19,All_Ingredients!$A$1:$J$149,10,FALSE())</f>
        <v>35</v>
      </c>
      <c r="K19" s="121">
        <f t="shared" si="8"/>
        <v>1.8655270655270659E-2</v>
      </c>
      <c r="L19" s="121">
        <f t="shared" si="9"/>
        <v>0.65293447293447304</v>
      </c>
    </row>
    <row r="20" spans="1:32" ht="14.75" customHeight="1" x14ac:dyDescent="0.3">
      <c r="A20" s="127" t="s">
        <v>154</v>
      </c>
      <c r="B20" s="113" t="s">
        <v>761</v>
      </c>
      <c r="C20" s="114" t="s">
        <v>14</v>
      </c>
      <c r="D20" s="124">
        <v>50</v>
      </c>
      <c r="E20" s="125">
        <f t="shared" si="7"/>
        <v>18.655270655270659</v>
      </c>
      <c r="F20" s="298">
        <v>1</v>
      </c>
      <c r="G20" s="118">
        <f t="shared" si="0"/>
        <v>932.76353276353291</v>
      </c>
      <c r="H20" s="206">
        <f t="shared" si="1"/>
        <v>932.76353276353291</v>
      </c>
      <c r="I20" s="80">
        <f>VLOOKUP(B20,All_Ingredients!$A$1:$F$149,6,FALSE())</f>
        <v>1</v>
      </c>
      <c r="J20" s="118">
        <f>VLOOKUP(B20,All_Ingredients!$A$1:$J$149,10,FALSE())</f>
        <v>67.91483113069016</v>
      </c>
      <c r="K20" s="121">
        <f t="shared" si="8"/>
        <v>0.93276353276353285</v>
      </c>
      <c r="L20" s="121">
        <f t="shared" si="9"/>
        <v>63.348477812501315</v>
      </c>
    </row>
    <row r="21" spans="1:32" ht="14.25" customHeight="1" x14ac:dyDescent="0.3">
      <c r="A21" s="127" t="s">
        <v>95</v>
      </c>
      <c r="B21" s="113" t="s">
        <v>140</v>
      </c>
      <c r="C21" s="114" t="s">
        <v>14</v>
      </c>
      <c r="D21" s="124">
        <v>5</v>
      </c>
      <c r="E21" s="125">
        <f t="shared" si="7"/>
        <v>18.655270655270659</v>
      </c>
      <c r="F21" s="567">
        <v>1</v>
      </c>
      <c r="G21" s="118">
        <f t="shared" si="0"/>
        <v>93.276353276353291</v>
      </c>
      <c r="H21" s="206">
        <f t="shared" si="1"/>
        <v>93.276353276353291</v>
      </c>
      <c r="I21" s="80">
        <f>VLOOKUP(B21,All_Ingredients!$A$1:$F$149,6,FALSE())</f>
        <v>1</v>
      </c>
      <c r="J21" s="118">
        <f>VLOOKUP(B21,All_Ingredients!$A$1:$J$149,10,FALSE())</f>
        <v>15.277777777777779</v>
      </c>
      <c r="K21" s="121">
        <f t="shared" si="8"/>
        <v>9.3276353276353294E-2</v>
      </c>
      <c r="L21" s="121">
        <f t="shared" si="9"/>
        <v>1.4250553972776199</v>
      </c>
    </row>
    <row r="22" spans="1:32" ht="14.25" customHeight="1" x14ac:dyDescent="0.35">
      <c r="A22" s="127" t="s">
        <v>192</v>
      </c>
      <c r="B22" s="113" t="s">
        <v>200</v>
      </c>
      <c r="C22" s="992" t="s">
        <v>161</v>
      </c>
      <c r="D22" s="124">
        <v>50</v>
      </c>
      <c r="E22" s="569">
        <f t="shared" si="7"/>
        <v>18.655270655270659</v>
      </c>
      <c r="F22" s="570">
        <v>1</v>
      </c>
      <c r="G22" s="452">
        <f t="shared" si="0"/>
        <v>932.76353276353291</v>
      </c>
      <c r="H22" s="571">
        <f t="shared" si="1"/>
        <v>932.76353276353291</v>
      </c>
      <c r="I22" s="80">
        <f>VLOOKUP(B22,All_Ingredients!$A$1:$F$149,6,FALSE())</f>
        <v>1</v>
      </c>
      <c r="J22" s="118">
        <f>VLOOKUP(B22,All_Ingredients!$A$1:$J$149,10,FALSE())</f>
        <v>3.25</v>
      </c>
      <c r="K22" s="121">
        <f t="shared" si="8"/>
        <v>0.93276353276353285</v>
      </c>
      <c r="L22" s="121">
        <f t="shared" si="9"/>
        <v>3.0314814814814817</v>
      </c>
      <c r="P22"/>
    </row>
    <row r="23" spans="1:32" ht="14.25" customHeight="1" x14ac:dyDescent="0.3">
      <c r="A23" s="572"/>
      <c r="B23" s="422"/>
      <c r="C23" s="573"/>
      <c r="D23" s="357"/>
      <c r="E23" s="574"/>
      <c r="F23" s="575"/>
      <c r="G23" s="469"/>
      <c r="H23" s="576"/>
      <c r="I23" s="421"/>
      <c r="J23" s="486"/>
      <c r="K23" s="421"/>
      <c r="L23" s="469"/>
    </row>
    <row r="24" spans="1:32" ht="14.25" customHeight="1" x14ac:dyDescent="0.3">
      <c r="B24" s="99"/>
      <c r="C24" s="249"/>
      <c r="D24" s="253"/>
      <c r="E24" s="134"/>
      <c r="F24" s="532"/>
      <c r="G24" s="136"/>
      <c r="H24" s="533"/>
      <c r="I24" s="91"/>
      <c r="J24" s="138"/>
      <c r="K24" s="91"/>
      <c r="L24" s="136"/>
      <c r="Z24" s="1208"/>
    </row>
    <row r="25" spans="1:32" ht="14.25" customHeight="1" x14ac:dyDescent="0.35">
      <c r="L25" s="296"/>
      <c r="R25" s="1440" t="s">
        <v>472</v>
      </c>
      <c r="S25" s="1444"/>
      <c r="T25" s="1444"/>
      <c r="U25" s="1444"/>
      <c r="V25" s="1187"/>
      <c r="W25" s="1187"/>
      <c r="Z25" s="140" t="s">
        <v>256</v>
      </c>
      <c r="AA25" s="141">
        <v>1</v>
      </c>
      <c r="AB25" s="140" t="s">
        <v>253</v>
      </c>
      <c r="AC25" s="142">
        <f>(AA25*(4/3))*AF30+(AA30*(AB28/R1))</f>
        <v>3.3402484836020568E-2</v>
      </c>
    </row>
    <row r="26" spans="1:32" ht="14.25" customHeight="1" x14ac:dyDescent="0.3">
      <c r="L26" s="296"/>
      <c r="R26" s="1459" t="s">
        <v>257</v>
      </c>
      <c r="S26" s="1444"/>
      <c r="T26" s="1444"/>
      <c r="U26" s="1444"/>
      <c r="V26" s="1187"/>
      <c r="W26" s="1187"/>
    </row>
    <row r="27" spans="1:32" ht="14.25" customHeight="1" thickBot="1" x14ac:dyDescent="0.35">
      <c r="B27" s="863"/>
      <c r="C27" s="1522"/>
      <c r="D27" s="1522"/>
      <c r="E27" s="1522"/>
      <c r="F27" s="1522"/>
      <c r="G27" s="1522"/>
      <c r="H27" s="864"/>
      <c r="L27" s="296"/>
      <c r="R27" s="144" t="s">
        <v>258</v>
      </c>
      <c r="S27" s="145" t="s">
        <v>259</v>
      </c>
      <c r="T27" s="145" t="s">
        <v>260</v>
      </c>
      <c r="U27" s="145" t="s">
        <v>261</v>
      </c>
      <c r="V27" s="145" t="s">
        <v>808</v>
      </c>
      <c r="W27" s="145" t="s">
        <v>817</v>
      </c>
      <c r="Z27" s="140" t="s">
        <v>262</v>
      </c>
      <c r="AA27" s="1166" t="s">
        <v>316</v>
      </c>
      <c r="AB27" s="146" t="s">
        <v>263</v>
      </c>
      <c r="AC27" s="146" t="s">
        <v>264</v>
      </c>
      <c r="AD27" s="146" t="s">
        <v>265</v>
      </c>
      <c r="AE27" s="1167" t="s">
        <v>817</v>
      </c>
      <c r="AF27" s="146" t="s">
        <v>266</v>
      </c>
    </row>
    <row r="28" spans="1:32" ht="15" customHeight="1" thickBot="1" x14ac:dyDescent="0.35">
      <c r="B28" s="865"/>
      <c r="C28" s="866"/>
      <c r="D28" s="867"/>
      <c r="E28" s="865"/>
      <c r="F28" s="865"/>
      <c r="G28" s="867"/>
      <c r="H28" s="868"/>
      <c r="L28" s="296"/>
      <c r="R28" s="147" t="s">
        <v>267</v>
      </c>
      <c r="S28" s="754">
        <f>U28*S40</f>
        <v>24799.999999999993</v>
      </c>
      <c r="T28" s="754">
        <f>U28*U40</f>
        <v>7440.0000000000073</v>
      </c>
      <c r="U28" s="1346">
        <f>Z1</f>
        <v>32240</v>
      </c>
      <c r="V28" s="148">
        <f>SUM(AP5:AP12)</f>
        <v>2441.6271186440667</v>
      </c>
      <c r="W28" s="148">
        <f>H37</f>
        <v>15.260000000000002</v>
      </c>
      <c r="Z28" s="150"/>
      <c r="AA28" s="1169"/>
      <c r="AB28" s="151">
        <f>AA25*$S$40</f>
        <v>0.76923076923076905</v>
      </c>
      <c r="AC28" s="151">
        <f>AA25*$U$40</f>
        <v>0.230769230769231</v>
      </c>
      <c r="AD28" s="152">
        <f>AA25*(1/3)</f>
        <v>0.33333333333333331</v>
      </c>
      <c r="AE28" s="1169"/>
      <c r="AF28" s="1289">
        <f>SUM(AB28:AD28)</f>
        <v>1.3333333333333333</v>
      </c>
    </row>
    <row r="29" spans="1:32" ht="21" customHeight="1" thickBot="1" x14ac:dyDescent="0.35">
      <c r="L29" s="296"/>
      <c r="R29" s="147" t="s">
        <v>268</v>
      </c>
      <c r="S29" s="154"/>
      <c r="T29" s="148">
        <f>U28*(1/3)</f>
        <v>10746.666666666666</v>
      </c>
      <c r="U29" s="754">
        <f>T29</f>
        <v>10746.666666666666</v>
      </c>
      <c r="V29" s="148"/>
      <c r="W29" s="148"/>
      <c r="Z29" s="150"/>
      <c r="AA29" s="1173"/>
      <c r="AB29" s="155">
        <f>AB28/$AF$28</f>
        <v>0.57692307692307687</v>
      </c>
      <c r="AC29" s="155">
        <f>AC28/$AF$28</f>
        <v>0.17307692307692327</v>
      </c>
      <c r="AD29" s="155">
        <f>AD28/$AF$28</f>
        <v>0.25</v>
      </c>
      <c r="AE29" s="1173"/>
      <c r="AF29" s="155">
        <f>AF28/$AF$28</f>
        <v>1</v>
      </c>
    </row>
    <row r="30" spans="1:32" ht="14.25" customHeight="1" thickBot="1" x14ac:dyDescent="0.35">
      <c r="L30" s="296"/>
      <c r="R30" s="147" t="s">
        <v>269</v>
      </c>
      <c r="S30" s="1318">
        <f>U30*S40</f>
        <v>384.61538461538453</v>
      </c>
      <c r="T30" s="754">
        <f>(U30*U40)+(U30*(1/3))</f>
        <v>282.05128205128216</v>
      </c>
      <c r="U30" s="1346">
        <f>AB1</f>
        <v>500</v>
      </c>
      <c r="V30" s="1124"/>
      <c r="W30" s="1124"/>
      <c r="Z30" s="140" t="s">
        <v>270</v>
      </c>
      <c r="AA30" s="1177">
        <f>V35/(S32/R1)</f>
        <v>3.0736204162783474E-4</v>
      </c>
      <c r="AB30" s="156">
        <f>S35/(S32)</f>
        <v>3.3701221915648408E-2</v>
      </c>
      <c r="AC30" s="157">
        <f>T35/T32</f>
        <v>1.2489691461310817E-2</v>
      </c>
      <c r="AD30" s="157">
        <f>T35/T32</f>
        <v>1.2489691461310817E-2</v>
      </c>
      <c r="AE30" s="1180">
        <f>W35/U32</f>
        <v>2.4201165358770741E-5</v>
      </c>
      <c r="AF30" s="1182">
        <f>SUMPRODUCT(AB30:AD30,AB29:AD29)+AE30</f>
        <v>2.4751314042633584E-2</v>
      </c>
    </row>
    <row r="31" spans="1:32" ht="14.25" customHeight="1" thickBot="1" x14ac:dyDescent="0.35">
      <c r="R31" s="147" t="s">
        <v>271</v>
      </c>
      <c r="S31" s="154"/>
      <c r="T31" s="148"/>
      <c r="U31" s="148"/>
      <c r="V31" s="148"/>
      <c r="W31" s="148"/>
    </row>
    <row r="32" spans="1:32" ht="14.25" customHeight="1" thickBot="1" x14ac:dyDescent="0.35">
      <c r="R32" s="159" t="s">
        <v>261</v>
      </c>
      <c r="S32" s="148">
        <f>SUM(S28:S30)</f>
        <v>25184.615384615376</v>
      </c>
      <c r="T32" s="148">
        <f>SUM(T28:T30)</f>
        <v>18468.717948717953</v>
      </c>
      <c r="U32" s="148">
        <f>SUM(S32:T32)</f>
        <v>43653.333333333328</v>
      </c>
      <c r="V32" s="148"/>
      <c r="W32" s="148">
        <f>SUM(W28:W30)</f>
        <v>15.260000000000002</v>
      </c>
    </row>
    <row r="33" spans="2:23" ht="14.25" customHeight="1" thickBot="1" x14ac:dyDescent="0.35">
      <c r="R33" s="160" t="s">
        <v>272</v>
      </c>
      <c r="S33" s="154"/>
      <c r="T33" s="154"/>
      <c r="U33" s="154"/>
      <c r="V33" s="154"/>
      <c r="W33" s="154"/>
    </row>
    <row r="34" spans="2:23" ht="14.25" customHeight="1" thickBot="1" x14ac:dyDescent="0.35">
      <c r="R34" s="161" t="s">
        <v>273</v>
      </c>
      <c r="S34" s="154"/>
      <c r="T34" s="148"/>
      <c r="U34" s="154"/>
      <c r="V34" s="154"/>
      <c r="W34" s="154"/>
    </row>
    <row r="35" spans="2:23" ht="14.25" customHeight="1" thickBot="1" x14ac:dyDescent="0.35">
      <c r="B35" s="1441" t="s">
        <v>696</v>
      </c>
      <c r="C35" s="1441"/>
      <c r="D35" s="1441"/>
      <c r="E35" s="1441"/>
      <c r="F35" s="1441"/>
      <c r="G35" s="877"/>
      <c r="H35" s="877"/>
      <c r="I35" s="877"/>
      <c r="J35" s="877"/>
      <c r="K35" s="877"/>
      <c r="L35" s="877"/>
      <c r="R35" s="162" t="s">
        <v>253</v>
      </c>
      <c r="S35" s="163">
        <f>$L$5</f>
        <v>848.75231193717582</v>
      </c>
      <c r="T35" s="163">
        <f>SUM(L6:L22)</f>
        <v>230.66858886546044</v>
      </c>
      <c r="U35" s="1211">
        <f>S35+T35+V35+W35</f>
        <v>1093.5973535313133</v>
      </c>
      <c r="V35" s="1125">
        <f>SUM(AT6:AT12)</f>
        <v>13.119991190215524</v>
      </c>
      <c r="W35" s="1125">
        <f>L37</f>
        <v>1.0564615384615386</v>
      </c>
    </row>
    <row r="36" spans="2:23" ht="46.5" x14ac:dyDescent="0.3">
      <c r="B36" s="848" t="s">
        <v>245</v>
      </c>
      <c r="C36" s="848" t="s">
        <v>321</v>
      </c>
      <c r="D36" s="850" t="s">
        <v>645</v>
      </c>
      <c r="E36" s="847" t="s">
        <v>646</v>
      </c>
      <c r="F36" s="850" t="s">
        <v>647</v>
      </c>
      <c r="G36" s="870"/>
      <c r="H36" s="850" t="s">
        <v>647</v>
      </c>
      <c r="I36" s="850" t="s">
        <v>250</v>
      </c>
      <c r="J36" s="850" t="s">
        <v>251</v>
      </c>
      <c r="K36" s="850" t="s">
        <v>252</v>
      </c>
      <c r="L36" s="850" t="s">
        <v>253</v>
      </c>
    </row>
    <row r="37" spans="2:23" x14ac:dyDescent="0.3">
      <c r="B37" s="843" t="s">
        <v>716</v>
      </c>
      <c r="C37" s="844" t="s">
        <v>14</v>
      </c>
      <c r="D37" s="845">
        <v>7.0000000000000007E-2</v>
      </c>
      <c r="E37" s="843">
        <f>$AD$1</f>
        <v>218</v>
      </c>
      <c r="F37" s="843">
        <f>D37*E37</f>
        <v>15.260000000000002</v>
      </c>
      <c r="G37" s="869"/>
      <c r="H37" s="843">
        <f>F37</f>
        <v>15.260000000000002</v>
      </c>
      <c r="I37" s="843">
        <f>VLOOKUP(B37,All_Ingredients!$A$1:$F$149,6,FALSE())</f>
        <v>0.65</v>
      </c>
      <c r="J37" s="843">
        <f>VLOOKUP(B37,All_Ingredients!$A$1:$J$149,10,FALSE())</f>
        <v>45</v>
      </c>
      <c r="K37" s="843">
        <f>(H37/I37)/1000</f>
        <v>2.3476923076923079E-2</v>
      </c>
      <c r="L37" s="843">
        <f>K37*J37</f>
        <v>1.0564615384615386</v>
      </c>
    </row>
    <row r="40" spans="2:23" ht="18.75" customHeight="1" x14ac:dyDescent="0.3">
      <c r="R40" s="164" t="s">
        <v>274</v>
      </c>
      <c r="S40" s="165">
        <v>0.76923076923076905</v>
      </c>
      <c r="T40" s="164" t="s">
        <v>275</v>
      </c>
      <c r="U40" s="166">
        <v>0.230769230769231</v>
      </c>
      <c r="V40" s="167">
        <f>S40+U40</f>
        <v>1</v>
      </c>
    </row>
    <row r="41" spans="2:23" ht="14.25" customHeight="1" x14ac:dyDescent="0.3">
      <c r="U41" s="168"/>
    </row>
    <row r="43" spans="2:23" ht="14.25" customHeight="1" thickBot="1" x14ac:dyDescent="0.35">
      <c r="Q43" s="169" t="s">
        <v>276</v>
      </c>
      <c r="R43" s="169" t="s">
        <v>277</v>
      </c>
      <c r="S43" s="169" t="s">
        <v>278</v>
      </c>
      <c r="T43" s="169" t="s">
        <v>279</v>
      </c>
      <c r="U43" s="169" t="s">
        <v>280</v>
      </c>
      <c r="V43" s="169" t="s">
        <v>281</v>
      </c>
      <c r="W43" s="169" t="s">
        <v>282</v>
      </c>
    </row>
    <row r="44" spans="2:23" ht="14.25" customHeight="1" thickBot="1" x14ac:dyDescent="0.35">
      <c r="Q44" s="1338">
        <v>17728</v>
      </c>
      <c r="R44" s="172">
        <f>D51</f>
        <v>10000</v>
      </c>
      <c r="S44" s="1340">
        <v>0.40909090909090912</v>
      </c>
      <c r="T44" s="1340">
        <v>0.59090909090909094</v>
      </c>
      <c r="U44" s="241">
        <f>R44*S44</f>
        <v>4090.909090909091</v>
      </c>
      <c r="V44" s="175">
        <f>R44*T44</f>
        <v>5909.090909090909</v>
      </c>
      <c r="W44" s="175">
        <f>Q44-U44</f>
        <v>13637.090909090908</v>
      </c>
    </row>
    <row r="50" spans="1:10" x14ac:dyDescent="0.3">
      <c r="B50" s="349"/>
      <c r="C50" s="177" t="s">
        <v>237</v>
      </c>
      <c r="D50" s="177" t="s">
        <v>283</v>
      </c>
      <c r="E50" s="99"/>
      <c r="F50" s="99"/>
      <c r="G50" s="144" t="s">
        <v>284</v>
      </c>
      <c r="H50" s="144" t="s">
        <v>237</v>
      </c>
      <c r="I50" s="177" t="s">
        <v>285</v>
      </c>
      <c r="J50" s="177" t="s">
        <v>286</v>
      </c>
    </row>
    <row r="51" spans="1:10" ht="14.25" customHeight="1" x14ac:dyDescent="0.3">
      <c r="B51" s="179" t="s">
        <v>287</v>
      </c>
      <c r="C51" s="180">
        <f>10/$K$1</f>
        <v>10.1010101010101</v>
      </c>
      <c r="D51" s="181">
        <f>$C$1*10</f>
        <v>10000</v>
      </c>
      <c r="E51" s="182"/>
      <c r="F51" s="99"/>
      <c r="G51" s="179" t="s">
        <v>287</v>
      </c>
      <c r="H51" s="276">
        <f>I51/$D$5</f>
        <v>10</v>
      </c>
      <c r="I51" s="180">
        <f>J51/$R$1</f>
        <v>23113.713405238828</v>
      </c>
      <c r="J51" s="180">
        <f>$W$44</f>
        <v>13637.090909090908</v>
      </c>
    </row>
    <row r="52" spans="1:10" ht="14.25" customHeight="1" x14ac:dyDescent="0.3">
      <c r="B52" s="230" t="s">
        <v>266</v>
      </c>
      <c r="C52" s="231">
        <f>$I$1</f>
        <v>18.655270655270659</v>
      </c>
      <c r="D52" s="232">
        <f>$E$1</f>
        <v>18468.717948717953</v>
      </c>
      <c r="E52" s="99"/>
      <c r="F52" s="99"/>
      <c r="G52" s="147" t="s">
        <v>266</v>
      </c>
      <c r="H52" s="209">
        <f>I52/$D$5</f>
        <v>18.467733002957786</v>
      </c>
      <c r="I52" s="175">
        <f>J52/$R$1</f>
        <v>42685.788787483689</v>
      </c>
      <c r="J52" s="183">
        <f>$S$32</f>
        <v>25184.615384615376</v>
      </c>
    </row>
    <row r="53" spans="1:10" ht="14.25" customHeight="1" x14ac:dyDescent="0.3">
      <c r="B53" s="230" t="s">
        <v>288</v>
      </c>
      <c r="C53" s="233">
        <f>MIN(C52, C51)</f>
        <v>10.1010101010101</v>
      </c>
      <c r="D53" s="232">
        <f>(C53*$K$1)*$C$1</f>
        <v>10000</v>
      </c>
      <c r="E53" s="99"/>
      <c r="F53" s="99"/>
      <c r="G53" s="147" t="s">
        <v>288</v>
      </c>
      <c r="H53" s="186">
        <f>MIN(H52,H51)</f>
        <v>10</v>
      </c>
      <c r="I53" s="175">
        <f>J53/$R$1</f>
        <v>23113.713405238828</v>
      </c>
      <c r="J53" s="175">
        <f>MIN(J52,J51)</f>
        <v>13637.090909090908</v>
      </c>
    </row>
    <row r="54" spans="1:10" ht="14.25" customHeight="1" x14ac:dyDescent="0.3">
      <c r="B54" s="230" t="s">
        <v>289</v>
      </c>
      <c r="C54" s="233">
        <f>MIN(MAX(C52-C53,0),C51)</f>
        <v>8.5542605542605585</v>
      </c>
      <c r="D54" s="232">
        <f>(C54*$K$1)*$C$1</f>
        <v>8468.7179487179528</v>
      </c>
      <c r="E54" s="99"/>
      <c r="F54" s="99"/>
      <c r="G54" s="147" t="s">
        <v>289</v>
      </c>
      <c r="H54" s="186">
        <f>MIN(MAX(H52-H53),H51)</f>
        <v>8.467733002957786</v>
      </c>
      <c r="I54" s="175">
        <f>J54/$R$1</f>
        <v>19572.075382244861</v>
      </c>
      <c r="J54" s="175">
        <f>MIN(MAX(J52-J53),J51)</f>
        <v>11547.524475524468</v>
      </c>
    </row>
    <row r="55" spans="1:10" ht="14.25" customHeight="1" x14ac:dyDescent="0.3">
      <c r="B55" s="230" t="s">
        <v>290</v>
      </c>
      <c r="C55" s="233">
        <f>MIN(MAX(C52-C53-C54,0),C51)</f>
        <v>0</v>
      </c>
      <c r="D55" s="232">
        <f>(C55*$K$1)*$C$1</f>
        <v>0</v>
      </c>
      <c r="E55" s="99"/>
      <c r="F55" s="99"/>
      <c r="G55" s="144" t="s">
        <v>290</v>
      </c>
      <c r="H55" s="186">
        <f>MIN(MAX(H52-H53-H54),H51)</f>
        <v>0</v>
      </c>
      <c r="I55" s="175">
        <f>J55/$R$1</f>
        <v>0</v>
      </c>
      <c r="J55" s="175">
        <f>MIN(MAX(J52-J53-J54),J51)</f>
        <v>0</v>
      </c>
    </row>
    <row r="56" spans="1:10" ht="14.25" customHeight="1" x14ac:dyDescent="0.3"/>
    <row r="62" spans="1:10" ht="14" customHeight="1" x14ac:dyDescent="0.3">
      <c r="A62" s="922"/>
      <c r="B62" s="1436" t="str">
        <f>"دجاج بكريمة الطماطم   1 / " &amp; COUNTIF($C$53:$C$55, "&gt;0")</f>
        <v>دجاج بكريمة الطماطم   1 / 2</v>
      </c>
      <c r="C62" s="1437"/>
      <c r="D62" s="1437"/>
      <c r="E62" s="1437"/>
      <c r="F62" s="1437"/>
      <c r="G62" s="1437"/>
      <c r="H62" s="1437"/>
    </row>
    <row r="63" spans="1:10" ht="17.75" customHeight="1" x14ac:dyDescent="0.3">
      <c r="A63" s="922"/>
      <c r="B63" s="1436" t="str">
        <f>"Pink Chicken  1 / " &amp; COUNTIF($C$53:$C$55, "&gt;0")</f>
        <v>Pink Chicken  1 / 2</v>
      </c>
      <c r="C63" s="1437"/>
      <c r="D63" s="1437"/>
      <c r="E63" s="1437"/>
      <c r="F63" s="1437"/>
      <c r="G63" s="1437"/>
      <c r="H63" s="1437"/>
    </row>
    <row r="64" spans="1:10" ht="37.5" customHeight="1" x14ac:dyDescent="0.25">
      <c r="A64" s="90"/>
      <c r="B64" s="242" t="s">
        <v>245</v>
      </c>
      <c r="C64" s="243" t="s">
        <v>246</v>
      </c>
      <c r="D64" s="244" t="s">
        <v>235</v>
      </c>
      <c r="E64" s="217" t="s">
        <v>238</v>
      </c>
      <c r="F64" s="217" t="s">
        <v>247</v>
      </c>
      <c r="G64" s="244" t="s">
        <v>248</v>
      </c>
      <c r="H64" s="217" t="s">
        <v>249</v>
      </c>
    </row>
    <row r="65" spans="1:8" ht="13" x14ac:dyDescent="0.25">
      <c r="A65" s="218" t="s">
        <v>225</v>
      </c>
      <c r="B65" s="122" t="str">
        <f t="shared" ref="B65:D82" si="14">B5</f>
        <v>Chicken - دجاج</v>
      </c>
      <c r="C65" s="122" t="str">
        <f t="shared" si="14"/>
        <v>gm</v>
      </c>
      <c r="D65" s="262">
        <f t="shared" si="14"/>
        <v>2311.3713405238827</v>
      </c>
      <c r="E65" s="222">
        <f>H53</f>
        <v>10</v>
      </c>
      <c r="F65" s="298">
        <f t="shared" ref="F65:F82" si="15">F5</f>
        <v>1</v>
      </c>
      <c r="G65" s="118">
        <f t="shared" ref="G65:G82" si="16">D65*E65</f>
        <v>23113.713405238828</v>
      </c>
      <c r="H65" s="206">
        <f t="shared" ref="H65:H70" si="17">G65*F65</f>
        <v>23113.713405238828</v>
      </c>
    </row>
    <row r="66" spans="1:8" ht="14.25" customHeight="1" x14ac:dyDescent="0.3">
      <c r="A66" s="127" t="s">
        <v>13</v>
      </c>
      <c r="B66" s="122" t="str">
        <f t="shared" si="14"/>
        <v>Onion - بصل</v>
      </c>
      <c r="C66" s="122" t="str">
        <f t="shared" si="14"/>
        <v>gm</v>
      </c>
      <c r="D66" s="122">
        <f t="shared" si="14"/>
        <v>100</v>
      </c>
      <c r="E66" s="222">
        <f t="shared" ref="E66:E82" si="18">$C$53</f>
        <v>10.1010101010101</v>
      </c>
      <c r="F66" s="298">
        <f t="shared" si="15"/>
        <v>0.95</v>
      </c>
      <c r="G66" s="118">
        <f t="shared" si="16"/>
        <v>1010.10101010101</v>
      </c>
      <c r="H66" s="206">
        <f t="shared" si="17"/>
        <v>959.59595959595947</v>
      </c>
    </row>
    <row r="67" spans="1:8" ht="14.25" customHeight="1" x14ac:dyDescent="0.3">
      <c r="A67" s="127" t="s">
        <v>13</v>
      </c>
      <c r="B67" s="122" t="str">
        <f t="shared" si="14"/>
        <v>Garlic - ثوم مقشر</v>
      </c>
      <c r="C67" s="122" t="str">
        <f t="shared" si="14"/>
        <v>gm</v>
      </c>
      <c r="D67" s="122">
        <f t="shared" si="14"/>
        <v>20</v>
      </c>
      <c r="E67" s="222">
        <f t="shared" si="18"/>
        <v>10.1010101010101</v>
      </c>
      <c r="F67" s="298">
        <f t="shared" si="15"/>
        <v>1</v>
      </c>
      <c r="G67" s="118">
        <f t="shared" si="16"/>
        <v>202.02020202020202</v>
      </c>
      <c r="H67" s="206">
        <f t="shared" si="17"/>
        <v>202.02020202020202</v>
      </c>
    </row>
    <row r="68" spans="1:8" ht="14.25" customHeight="1" x14ac:dyDescent="0.3">
      <c r="A68" s="127" t="s">
        <v>13</v>
      </c>
      <c r="B68" s="122" t="str">
        <f t="shared" si="14"/>
        <v>Tomato - طماطم</v>
      </c>
      <c r="C68" s="122" t="str">
        <f t="shared" si="14"/>
        <v>gm</v>
      </c>
      <c r="D68" s="122">
        <f t="shared" si="14"/>
        <v>500</v>
      </c>
      <c r="E68" s="222">
        <f t="shared" si="18"/>
        <v>10.1010101010101</v>
      </c>
      <c r="F68" s="298">
        <f t="shared" si="15"/>
        <v>0.9</v>
      </c>
      <c r="G68" s="118">
        <f t="shared" si="16"/>
        <v>5050.5050505050503</v>
      </c>
      <c r="H68" s="206">
        <f t="shared" si="17"/>
        <v>4545.454545454545</v>
      </c>
    </row>
    <row r="69" spans="1:8" ht="14" customHeight="1" x14ac:dyDescent="0.3">
      <c r="A69" s="127" t="s">
        <v>81</v>
      </c>
      <c r="B69" s="122" t="str">
        <f t="shared" si="14"/>
        <v>Dry Thyme - زعتر مجفف</v>
      </c>
      <c r="C69" s="122" t="str">
        <f t="shared" si="14"/>
        <v>gm</v>
      </c>
      <c r="D69" s="122">
        <f t="shared" si="14"/>
        <v>0.5</v>
      </c>
      <c r="E69" s="222">
        <f t="shared" si="18"/>
        <v>10.1010101010101</v>
      </c>
      <c r="F69" s="298">
        <f t="shared" si="15"/>
        <v>0.75</v>
      </c>
      <c r="G69" s="118">
        <f t="shared" si="16"/>
        <v>5.0505050505050502</v>
      </c>
      <c r="H69" s="206">
        <f t="shared" si="17"/>
        <v>3.7878787878787876</v>
      </c>
    </row>
    <row r="70" spans="1:8" ht="14" customHeight="1" x14ac:dyDescent="0.3">
      <c r="A70" s="127" t="s">
        <v>81</v>
      </c>
      <c r="B70" s="122" t="str">
        <f t="shared" si="14"/>
        <v>Dry Basil - ريحان مجفف</v>
      </c>
      <c r="C70" s="122" t="str">
        <f t="shared" si="14"/>
        <v>gm</v>
      </c>
      <c r="D70" s="122">
        <f t="shared" si="14"/>
        <v>0.5</v>
      </c>
      <c r="E70" s="222">
        <f t="shared" si="18"/>
        <v>10.1010101010101</v>
      </c>
      <c r="F70" s="298">
        <f t="shared" si="15"/>
        <v>0.9</v>
      </c>
      <c r="G70" s="118">
        <f t="shared" si="16"/>
        <v>5.0505050505050502</v>
      </c>
      <c r="H70" s="206">
        <f t="shared" si="17"/>
        <v>4.545454545454545</v>
      </c>
    </row>
    <row r="71" spans="1:8" ht="14.25" customHeight="1" x14ac:dyDescent="0.3">
      <c r="A71" s="127" t="s">
        <v>81</v>
      </c>
      <c r="B71" s="122" t="str">
        <f t="shared" si="14"/>
        <v>Dry Oregano - أوريجانو مجفف</v>
      </c>
      <c r="C71" s="122" t="str">
        <f t="shared" si="14"/>
        <v>gm</v>
      </c>
      <c r="D71" s="122">
        <f t="shared" si="14"/>
        <v>0.5</v>
      </c>
      <c r="E71" s="222">
        <f t="shared" si="18"/>
        <v>10.1010101010101</v>
      </c>
      <c r="F71" s="298">
        <f t="shared" si="15"/>
        <v>0.9</v>
      </c>
      <c r="G71" s="118">
        <f t="shared" si="16"/>
        <v>5.0505050505050502</v>
      </c>
      <c r="H71" s="206">
        <v>20</v>
      </c>
    </row>
    <row r="72" spans="1:8" ht="14.25" customHeight="1" x14ac:dyDescent="0.3">
      <c r="A72" s="127" t="s">
        <v>95</v>
      </c>
      <c r="B72" s="122" t="str">
        <f t="shared" si="14"/>
        <v>Salt - ملح</v>
      </c>
      <c r="C72" s="122" t="str">
        <f t="shared" si="14"/>
        <v>gm</v>
      </c>
      <c r="D72" s="122">
        <f t="shared" si="14"/>
        <v>10</v>
      </c>
      <c r="E72" s="222">
        <f t="shared" si="18"/>
        <v>10.1010101010101</v>
      </c>
      <c r="F72" s="298">
        <f t="shared" si="15"/>
        <v>0.75</v>
      </c>
      <c r="G72" s="118">
        <f t="shared" si="16"/>
        <v>101.01010101010101</v>
      </c>
      <c r="H72" s="206">
        <f t="shared" ref="H72:H82" si="19">G72*F72</f>
        <v>75.757575757575751</v>
      </c>
    </row>
    <row r="73" spans="1:8" ht="14.25" customHeight="1" x14ac:dyDescent="0.3">
      <c r="A73" s="127" t="s">
        <v>95</v>
      </c>
      <c r="B73" s="122" t="str">
        <f t="shared" si="14"/>
        <v>Black Pepper Powder - فلفل أسود مطحون</v>
      </c>
      <c r="C73" s="122" t="str">
        <f t="shared" si="14"/>
        <v>gm</v>
      </c>
      <c r="D73" s="122">
        <f t="shared" si="14"/>
        <v>1</v>
      </c>
      <c r="E73" s="222">
        <f t="shared" si="18"/>
        <v>10.1010101010101</v>
      </c>
      <c r="F73" s="298">
        <f t="shared" si="15"/>
        <v>0.75</v>
      </c>
      <c r="G73" s="118">
        <f t="shared" si="16"/>
        <v>10.1010101010101</v>
      </c>
      <c r="H73" s="206">
        <f t="shared" si="19"/>
        <v>7.5757575757575752</v>
      </c>
    </row>
    <row r="74" spans="1:8" ht="14.25" customHeight="1" x14ac:dyDescent="0.3">
      <c r="A74" s="127" t="s">
        <v>182</v>
      </c>
      <c r="B74" s="122" t="str">
        <f t="shared" si="14"/>
        <v>Honey - عسل</v>
      </c>
      <c r="C74" s="122" t="str">
        <f t="shared" si="14"/>
        <v>gm</v>
      </c>
      <c r="D74" s="122">
        <f t="shared" si="14"/>
        <v>20</v>
      </c>
      <c r="E74" s="222">
        <f t="shared" si="18"/>
        <v>10.1010101010101</v>
      </c>
      <c r="F74" s="298">
        <f t="shared" si="15"/>
        <v>0.75</v>
      </c>
      <c r="G74" s="118">
        <f t="shared" si="16"/>
        <v>202.02020202020202</v>
      </c>
      <c r="H74" s="206">
        <f t="shared" si="19"/>
        <v>151.5151515151515</v>
      </c>
    </row>
    <row r="75" spans="1:8" ht="14.25" customHeight="1" x14ac:dyDescent="0.3">
      <c r="A75" s="127" t="s">
        <v>154</v>
      </c>
      <c r="B75" s="122" t="str">
        <f t="shared" si="14"/>
        <v>Butter - زبدة</v>
      </c>
      <c r="C75" s="122" t="str">
        <f t="shared" si="14"/>
        <v>gm</v>
      </c>
      <c r="D75" s="122">
        <f t="shared" si="14"/>
        <v>30</v>
      </c>
      <c r="E75" s="222">
        <f t="shared" si="18"/>
        <v>10.1010101010101</v>
      </c>
      <c r="F75" s="298">
        <f t="shared" si="15"/>
        <v>1</v>
      </c>
      <c r="G75" s="118">
        <f t="shared" si="16"/>
        <v>303.030303030303</v>
      </c>
      <c r="H75" s="206">
        <f t="shared" si="19"/>
        <v>303.030303030303</v>
      </c>
    </row>
    <row r="76" spans="1:8" ht="14.25" customHeight="1" x14ac:dyDescent="0.3">
      <c r="A76" s="127" t="s">
        <v>188</v>
      </c>
      <c r="B76" s="122" t="str">
        <f t="shared" si="14"/>
        <v>Flour - دقيق</v>
      </c>
      <c r="C76" s="122" t="str">
        <f t="shared" si="14"/>
        <v>gm</v>
      </c>
      <c r="D76" s="122">
        <f t="shared" si="14"/>
        <v>10</v>
      </c>
      <c r="E76" s="222">
        <f t="shared" si="18"/>
        <v>10.1010101010101</v>
      </c>
      <c r="F76" s="298">
        <f t="shared" si="15"/>
        <v>1</v>
      </c>
      <c r="G76" s="118">
        <f t="shared" si="16"/>
        <v>101.01010101010101</v>
      </c>
      <c r="H76" s="206">
        <f t="shared" si="19"/>
        <v>101.01010101010101</v>
      </c>
    </row>
    <row r="77" spans="1:8" ht="14.25" customHeight="1" x14ac:dyDescent="0.3">
      <c r="A77" s="127" t="s">
        <v>154</v>
      </c>
      <c r="B77" s="122" t="str">
        <f t="shared" si="14"/>
        <v>Cooking Cream - كريمة طبخ</v>
      </c>
      <c r="C77" s="122" t="str">
        <f t="shared" si="14"/>
        <v>ml</v>
      </c>
      <c r="D77" s="122">
        <f t="shared" si="14"/>
        <v>280</v>
      </c>
      <c r="E77" s="222">
        <f t="shared" si="18"/>
        <v>10.1010101010101</v>
      </c>
      <c r="F77" s="298">
        <f t="shared" si="15"/>
        <v>1</v>
      </c>
      <c r="G77" s="118">
        <f t="shared" si="16"/>
        <v>2828.2828282828282</v>
      </c>
      <c r="H77" s="206">
        <f t="shared" si="19"/>
        <v>2828.2828282828282</v>
      </c>
    </row>
    <row r="78" spans="1:8" ht="14.25" customHeight="1" x14ac:dyDescent="0.3">
      <c r="A78" s="127" t="s">
        <v>154</v>
      </c>
      <c r="B78" s="122" t="str">
        <f t="shared" si="14"/>
        <v>Milk - حليب</v>
      </c>
      <c r="C78" s="122" t="str">
        <f t="shared" si="14"/>
        <v>ml</v>
      </c>
      <c r="D78" s="122">
        <f t="shared" si="14"/>
        <v>400</v>
      </c>
      <c r="E78" s="222">
        <f t="shared" si="18"/>
        <v>10.1010101010101</v>
      </c>
      <c r="F78" s="298">
        <f t="shared" si="15"/>
        <v>1</v>
      </c>
      <c r="G78" s="118">
        <f t="shared" si="16"/>
        <v>4040.4040404040402</v>
      </c>
      <c r="H78" s="206">
        <f t="shared" si="19"/>
        <v>4040.4040404040402</v>
      </c>
    </row>
    <row r="79" spans="1:8" ht="14.25" customHeight="1" x14ac:dyDescent="0.3">
      <c r="A79" s="127" t="s">
        <v>215</v>
      </c>
      <c r="B79" s="122" t="str">
        <f t="shared" si="14"/>
        <v>Orange Color - لون برتقالي</v>
      </c>
      <c r="C79" s="122" t="str">
        <f t="shared" si="14"/>
        <v>gm</v>
      </c>
      <c r="D79" s="122">
        <f t="shared" si="14"/>
        <v>1</v>
      </c>
      <c r="E79" s="222">
        <f t="shared" si="18"/>
        <v>10.1010101010101</v>
      </c>
      <c r="F79" s="298">
        <f t="shared" si="15"/>
        <v>1</v>
      </c>
      <c r="G79" s="118">
        <f t="shared" si="16"/>
        <v>10.1010101010101</v>
      </c>
      <c r="H79" s="206">
        <f t="shared" si="19"/>
        <v>10.1010101010101</v>
      </c>
    </row>
    <row r="80" spans="1:8" ht="14.25" customHeight="1" x14ac:dyDescent="0.3">
      <c r="A80" s="127" t="s">
        <v>154</v>
      </c>
      <c r="B80" s="122" t="str">
        <f t="shared" si="14"/>
        <v>Parmesan Cheese Powder - بديل البارميزان</v>
      </c>
      <c r="C80" s="122" t="str">
        <f t="shared" si="14"/>
        <v>gm</v>
      </c>
      <c r="D80" s="122">
        <f t="shared" si="14"/>
        <v>50</v>
      </c>
      <c r="E80" s="222">
        <f t="shared" si="18"/>
        <v>10.1010101010101</v>
      </c>
      <c r="F80" s="298">
        <f t="shared" si="15"/>
        <v>1</v>
      </c>
      <c r="G80" s="118">
        <f t="shared" si="16"/>
        <v>505.05050505050502</v>
      </c>
      <c r="H80" s="206">
        <f t="shared" si="19"/>
        <v>505.05050505050502</v>
      </c>
    </row>
    <row r="81" spans="1:8" ht="14.25" customHeight="1" x14ac:dyDescent="0.3">
      <c r="A81" s="127" t="s">
        <v>95</v>
      </c>
      <c r="B81" s="122" t="str">
        <f t="shared" si="14"/>
        <v>Maggi Cubes - مكعبات ماجي</v>
      </c>
      <c r="C81" s="122" t="str">
        <f t="shared" si="14"/>
        <v>gm</v>
      </c>
      <c r="D81" s="122">
        <f t="shared" si="14"/>
        <v>5</v>
      </c>
      <c r="E81" s="222">
        <f t="shared" si="18"/>
        <v>10.1010101010101</v>
      </c>
      <c r="F81" s="298">
        <f t="shared" si="15"/>
        <v>1</v>
      </c>
      <c r="G81" s="118">
        <f t="shared" si="16"/>
        <v>50.505050505050505</v>
      </c>
      <c r="H81" s="206">
        <f t="shared" si="19"/>
        <v>50.505050505050505</v>
      </c>
    </row>
    <row r="82" spans="1:8" ht="14.25" customHeight="1" x14ac:dyDescent="0.3">
      <c r="A82" s="127" t="s">
        <v>192</v>
      </c>
      <c r="B82" s="122" t="str">
        <f t="shared" si="14"/>
        <v>Tomato Ketchup - كاتشب طماطم</v>
      </c>
      <c r="C82" s="122" t="str">
        <f t="shared" si="14"/>
        <v>ml</v>
      </c>
      <c r="D82" s="122">
        <f t="shared" si="14"/>
        <v>50</v>
      </c>
      <c r="E82" s="222">
        <f t="shared" si="18"/>
        <v>10.1010101010101</v>
      </c>
      <c r="F82" s="298">
        <f t="shared" si="15"/>
        <v>1</v>
      </c>
      <c r="G82" s="118">
        <f t="shared" si="16"/>
        <v>505.05050505050502</v>
      </c>
      <c r="H82" s="206">
        <f t="shared" si="19"/>
        <v>505.05050505050502</v>
      </c>
    </row>
    <row r="83" spans="1:8" ht="20.75" customHeight="1" x14ac:dyDescent="0.3">
      <c r="A83" s="210"/>
      <c r="B83" s="197" t="s">
        <v>291</v>
      </c>
      <c r="C83" s="199" t="s">
        <v>277</v>
      </c>
      <c r="E83" s="199" t="s">
        <v>292</v>
      </c>
      <c r="G83" s="878" t="s">
        <v>268</v>
      </c>
      <c r="H83" s="878" t="s">
        <v>703</v>
      </c>
    </row>
    <row r="84" spans="1:8" ht="20.25" customHeight="1" x14ac:dyDescent="0.4">
      <c r="A84" s="210"/>
      <c r="B84" s="198">
        <f>$J$53</f>
        <v>13637.090909090908</v>
      </c>
      <c r="C84" s="198">
        <f>E84+G84</f>
        <v>10000</v>
      </c>
      <c r="D84" s="208"/>
      <c r="E84" s="200">
        <f>$D$53*$S$44</f>
        <v>4090.909090909091</v>
      </c>
      <c r="F84" s="99"/>
      <c r="G84" s="201">
        <f>$D$53*$T$44</f>
        <v>5909.090909090909</v>
      </c>
      <c r="H84" s="201">
        <f>B84+E84</f>
        <v>17728</v>
      </c>
    </row>
    <row r="85" spans="1:8" ht="14.25" customHeight="1" x14ac:dyDescent="0.3">
      <c r="B85" s="99"/>
      <c r="E85" s="99"/>
      <c r="F85" s="99"/>
    </row>
    <row r="86" spans="1:8" ht="14.25" customHeight="1" x14ac:dyDescent="0.3">
      <c r="A86" s="922"/>
      <c r="B86" s="1436" t="str">
        <f>"دجاج بكريمة الطماطم   2 / " &amp; COUNTIF($C$53:$C$55, "&gt;0")</f>
        <v>دجاج بكريمة الطماطم   2 / 2</v>
      </c>
      <c r="C86" s="1437"/>
      <c r="D86" s="1437"/>
      <c r="E86" s="1437"/>
      <c r="F86" s="1437"/>
      <c r="G86" s="1437"/>
      <c r="H86" s="1437"/>
    </row>
    <row r="87" spans="1:8" ht="17.75" customHeight="1" x14ac:dyDescent="0.3">
      <c r="A87" s="922"/>
      <c r="B87" s="1436" t="str">
        <f>"Pink Chicken  2 / " &amp; COUNTIF($C$53:$C$55, "&gt;0")</f>
        <v>Pink Chicken  2 / 2</v>
      </c>
      <c r="C87" s="1437"/>
      <c r="D87" s="1437"/>
      <c r="E87" s="1437"/>
      <c r="F87" s="1437"/>
      <c r="G87" s="1437"/>
      <c r="H87" s="1437"/>
    </row>
    <row r="88" spans="1:8" ht="39.5" customHeight="1" x14ac:dyDescent="0.25">
      <c r="A88" s="90"/>
      <c r="B88" s="242" t="s">
        <v>245</v>
      </c>
      <c r="C88" s="243" t="s">
        <v>246</v>
      </c>
      <c r="D88" s="244" t="s">
        <v>235</v>
      </c>
      <c r="E88" s="217" t="s">
        <v>238</v>
      </c>
      <c r="F88" s="217" t="s">
        <v>247</v>
      </c>
      <c r="G88" s="244" t="s">
        <v>248</v>
      </c>
      <c r="H88" s="217" t="s">
        <v>249</v>
      </c>
    </row>
    <row r="89" spans="1:8" x14ac:dyDescent="0.3">
      <c r="A89" s="127" t="s">
        <v>225</v>
      </c>
      <c r="B89" s="122" t="str">
        <f t="shared" ref="B89:D106" si="20">B5</f>
        <v>Chicken - دجاج</v>
      </c>
      <c r="C89" s="122" t="str">
        <f t="shared" si="20"/>
        <v>gm</v>
      </c>
      <c r="D89" s="262">
        <f t="shared" si="20"/>
        <v>2311.3713405238827</v>
      </c>
      <c r="E89" s="222">
        <f>H54</f>
        <v>8.467733002957786</v>
      </c>
      <c r="F89" s="298">
        <f t="shared" ref="F89:F106" si="21">F5</f>
        <v>1</v>
      </c>
      <c r="G89" s="118">
        <f t="shared" ref="G89:G106" si="22">D89*E89</f>
        <v>19572.075382244861</v>
      </c>
      <c r="H89" s="206">
        <f t="shared" ref="H89:H94" si="23">G89*F89</f>
        <v>19572.075382244861</v>
      </c>
    </row>
    <row r="90" spans="1:8" ht="14.25" customHeight="1" x14ac:dyDescent="0.3">
      <c r="A90" s="127" t="s">
        <v>13</v>
      </c>
      <c r="B90" s="122" t="str">
        <f t="shared" si="20"/>
        <v>Onion - بصل</v>
      </c>
      <c r="C90" s="122" t="str">
        <f t="shared" si="20"/>
        <v>gm</v>
      </c>
      <c r="D90" s="122">
        <f t="shared" si="20"/>
        <v>100</v>
      </c>
      <c r="E90" s="222">
        <f t="shared" ref="E90:E106" si="24">$C$54</f>
        <v>8.5542605542605585</v>
      </c>
      <c r="F90" s="298">
        <f t="shared" si="21"/>
        <v>0.95</v>
      </c>
      <c r="G90" s="118">
        <f t="shared" si="22"/>
        <v>855.42605542605588</v>
      </c>
      <c r="H90" s="206">
        <f t="shared" si="23"/>
        <v>812.654752654753</v>
      </c>
    </row>
    <row r="91" spans="1:8" ht="14.25" customHeight="1" x14ac:dyDescent="0.3">
      <c r="A91" s="127" t="s">
        <v>13</v>
      </c>
      <c r="B91" s="122" t="str">
        <f t="shared" si="20"/>
        <v>Garlic - ثوم مقشر</v>
      </c>
      <c r="C91" s="122" t="str">
        <f t="shared" si="20"/>
        <v>gm</v>
      </c>
      <c r="D91" s="122">
        <f t="shared" si="20"/>
        <v>20</v>
      </c>
      <c r="E91" s="222">
        <f t="shared" si="24"/>
        <v>8.5542605542605585</v>
      </c>
      <c r="F91" s="298">
        <f t="shared" si="21"/>
        <v>1</v>
      </c>
      <c r="G91" s="118">
        <f t="shared" si="22"/>
        <v>171.08521108521117</v>
      </c>
      <c r="H91" s="206">
        <f t="shared" si="23"/>
        <v>171.08521108521117</v>
      </c>
    </row>
    <row r="92" spans="1:8" ht="14.25" customHeight="1" x14ac:dyDescent="0.3">
      <c r="A92" s="127" t="s">
        <v>13</v>
      </c>
      <c r="B92" s="122" t="str">
        <f t="shared" si="20"/>
        <v>Tomato - طماطم</v>
      </c>
      <c r="C92" s="122" t="str">
        <f t="shared" si="20"/>
        <v>gm</v>
      </c>
      <c r="D92" s="122">
        <f t="shared" si="20"/>
        <v>500</v>
      </c>
      <c r="E92" s="222">
        <f t="shared" si="24"/>
        <v>8.5542605542605585</v>
      </c>
      <c r="F92" s="298">
        <f t="shared" si="21"/>
        <v>0.9</v>
      </c>
      <c r="G92" s="118">
        <f t="shared" si="22"/>
        <v>4277.130277130279</v>
      </c>
      <c r="H92" s="206">
        <f t="shared" si="23"/>
        <v>3849.4172494172512</v>
      </c>
    </row>
    <row r="93" spans="1:8" ht="14.25" customHeight="1" x14ac:dyDescent="0.3">
      <c r="A93" s="127" t="s">
        <v>81</v>
      </c>
      <c r="B93" s="122" t="str">
        <f t="shared" si="20"/>
        <v>Dry Thyme - زعتر مجفف</v>
      </c>
      <c r="C93" s="122" t="str">
        <f t="shared" si="20"/>
        <v>gm</v>
      </c>
      <c r="D93" s="122">
        <f t="shared" si="20"/>
        <v>0.5</v>
      </c>
      <c r="E93" s="222">
        <f t="shared" si="24"/>
        <v>8.5542605542605585</v>
      </c>
      <c r="F93" s="298">
        <f t="shared" si="21"/>
        <v>0.75</v>
      </c>
      <c r="G93" s="118">
        <f t="shared" si="22"/>
        <v>4.2771302771302793</v>
      </c>
      <c r="H93" s="206">
        <f t="shared" si="23"/>
        <v>3.2078477078477095</v>
      </c>
    </row>
    <row r="94" spans="1:8" ht="14.25" customHeight="1" x14ac:dyDescent="0.3">
      <c r="A94" s="127" t="s">
        <v>81</v>
      </c>
      <c r="B94" s="122" t="str">
        <f t="shared" si="20"/>
        <v>Dry Basil - ريحان مجفف</v>
      </c>
      <c r="C94" s="122" t="str">
        <f t="shared" si="20"/>
        <v>gm</v>
      </c>
      <c r="D94" s="122">
        <f t="shared" si="20"/>
        <v>0.5</v>
      </c>
      <c r="E94" s="222">
        <f t="shared" si="24"/>
        <v>8.5542605542605585</v>
      </c>
      <c r="F94" s="298">
        <f t="shared" si="21"/>
        <v>0.9</v>
      </c>
      <c r="G94" s="118">
        <f t="shared" si="22"/>
        <v>4.2771302771302793</v>
      </c>
      <c r="H94" s="206">
        <f t="shared" si="23"/>
        <v>3.8494172494172516</v>
      </c>
    </row>
    <row r="95" spans="1:8" ht="14.25" customHeight="1" x14ac:dyDescent="0.3">
      <c r="A95" s="127" t="s">
        <v>81</v>
      </c>
      <c r="B95" s="122" t="str">
        <f t="shared" si="20"/>
        <v>Dry Oregano - أوريجانو مجفف</v>
      </c>
      <c r="C95" s="122" t="str">
        <f t="shared" si="20"/>
        <v>gm</v>
      </c>
      <c r="D95" s="122">
        <f t="shared" si="20"/>
        <v>0.5</v>
      </c>
      <c r="E95" s="222">
        <f t="shared" si="24"/>
        <v>8.5542605542605585</v>
      </c>
      <c r="F95" s="298">
        <f t="shared" si="21"/>
        <v>0.9</v>
      </c>
      <c r="G95" s="118">
        <f t="shared" si="22"/>
        <v>4.2771302771302793</v>
      </c>
      <c r="H95" s="206">
        <v>20</v>
      </c>
    </row>
    <row r="96" spans="1:8" ht="14.25" customHeight="1" x14ac:dyDescent="0.3">
      <c r="A96" s="127" t="s">
        <v>95</v>
      </c>
      <c r="B96" s="122" t="str">
        <f t="shared" si="20"/>
        <v>Salt - ملح</v>
      </c>
      <c r="C96" s="122" t="str">
        <f t="shared" si="20"/>
        <v>gm</v>
      </c>
      <c r="D96" s="122">
        <f t="shared" si="20"/>
        <v>10</v>
      </c>
      <c r="E96" s="222">
        <f t="shared" si="24"/>
        <v>8.5542605542605585</v>
      </c>
      <c r="F96" s="298">
        <f t="shared" si="21"/>
        <v>0.75</v>
      </c>
      <c r="G96" s="118">
        <f t="shared" si="22"/>
        <v>85.542605542605585</v>
      </c>
      <c r="H96" s="206">
        <f t="shared" ref="H96:H106" si="25">G96*F96</f>
        <v>64.156954156954185</v>
      </c>
    </row>
    <row r="97" spans="1:8" ht="14.25" customHeight="1" x14ac:dyDescent="0.3">
      <c r="A97" s="127" t="s">
        <v>95</v>
      </c>
      <c r="B97" s="122" t="str">
        <f t="shared" si="20"/>
        <v>Black Pepper Powder - فلفل أسود مطحون</v>
      </c>
      <c r="C97" s="122" t="str">
        <f t="shared" si="20"/>
        <v>gm</v>
      </c>
      <c r="D97" s="122">
        <f t="shared" si="20"/>
        <v>1</v>
      </c>
      <c r="E97" s="222">
        <f t="shared" si="24"/>
        <v>8.5542605542605585</v>
      </c>
      <c r="F97" s="298">
        <f t="shared" si="21"/>
        <v>0.75</v>
      </c>
      <c r="G97" s="118">
        <f t="shared" si="22"/>
        <v>8.5542605542605585</v>
      </c>
      <c r="H97" s="206">
        <f t="shared" si="25"/>
        <v>6.4156954156954189</v>
      </c>
    </row>
    <row r="98" spans="1:8" ht="14.25" customHeight="1" x14ac:dyDescent="0.3">
      <c r="A98" s="127" t="s">
        <v>182</v>
      </c>
      <c r="B98" s="122" t="str">
        <f t="shared" si="20"/>
        <v>Honey - عسل</v>
      </c>
      <c r="C98" s="122" t="str">
        <f t="shared" si="20"/>
        <v>gm</v>
      </c>
      <c r="D98" s="122">
        <f t="shared" si="20"/>
        <v>20</v>
      </c>
      <c r="E98" s="222">
        <f t="shared" si="24"/>
        <v>8.5542605542605585</v>
      </c>
      <c r="F98" s="298">
        <f t="shared" si="21"/>
        <v>0.75</v>
      </c>
      <c r="G98" s="118">
        <f t="shared" si="22"/>
        <v>171.08521108521117</v>
      </c>
      <c r="H98" s="206">
        <f t="shared" si="25"/>
        <v>128.31390831390837</v>
      </c>
    </row>
    <row r="99" spans="1:8" ht="14.25" customHeight="1" x14ac:dyDescent="0.3">
      <c r="A99" s="127" t="s">
        <v>154</v>
      </c>
      <c r="B99" s="122" t="str">
        <f t="shared" si="20"/>
        <v>Butter - زبدة</v>
      </c>
      <c r="C99" s="122" t="str">
        <f t="shared" si="20"/>
        <v>gm</v>
      </c>
      <c r="D99" s="122">
        <f t="shared" si="20"/>
        <v>30</v>
      </c>
      <c r="E99" s="222">
        <f t="shared" si="24"/>
        <v>8.5542605542605585</v>
      </c>
      <c r="F99" s="298">
        <f t="shared" si="21"/>
        <v>1</v>
      </c>
      <c r="G99" s="118">
        <f t="shared" si="22"/>
        <v>256.62781662781674</v>
      </c>
      <c r="H99" s="206">
        <f t="shared" si="25"/>
        <v>256.62781662781674</v>
      </c>
    </row>
    <row r="100" spans="1:8" ht="14.25" customHeight="1" x14ac:dyDescent="0.3">
      <c r="A100" s="127" t="s">
        <v>188</v>
      </c>
      <c r="B100" s="122" t="str">
        <f t="shared" si="20"/>
        <v>Flour - دقيق</v>
      </c>
      <c r="C100" s="122" t="str">
        <f t="shared" si="20"/>
        <v>gm</v>
      </c>
      <c r="D100" s="122">
        <f t="shared" si="20"/>
        <v>10</v>
      </c>
      <c r="E100" s="222">
        <f t="shared" si="24"/>
        <v>8.5542605542605585</v>
      </c>
      <c r="F100" s="298">
        <f t="shared" si="21"/>
        <v>1</v>
      </c>
      <c r="G100" s="118">
        <f t="shared" si="22"/>
        <v>85.542605542605585</v>
      </c>
      <c r="H100" s="206">
        <f t="shared" si="25"/>
        <v>85.542605542605585</v>
      </c>
    </row>
    <row r="101" spans="1:8" ht="14.25" customHeight="1" x14ac:dyDescent="0.3">
      <c r="A101" s="127" t="s">
        <v>154</v>
      </c>
      <c r="B101" s="122" t="str">
        <f t="shared" si="20"/>
        <v>Cooking Cream - كريمة طبخ</v>
      </c>
      <c r="C101" s="122" t="str">
        <f t="shared" si="20"/>
        <v>ml</v>
      </c>
      <c r="D101" s="122">
        <f t="shared" si="20"/>
        <v>280</v>
      </c>
      <c r="E101" s="222">
        <f t="shared" si="24"/>
        <v>8.5542605542605585</v>
      </c>
      <c r="F101" s="298">
        <f t="shared" si="21"/>
        <v>1</v>
      </c>
      <c r="G101" s="118">
        <f t="shared" si="22"/>
        <v>2395.1929551929566</v>
      </c>
      <c r="H101" s="206">
        <f t="shared" si="25"/>
        <v>2395.1929551929566</v>
      </c>
    </row>
    <row r="102" spans="1:8" ht="14.25" customHeight="1" x14ac:dyDescent="0.3">
      <c r="A102" s="127" t="s">
        <v>154</v>
      </c>
      <c r="B102" s="122" t="str">
        <f t="shared" si="20"/>
        <v>Milk - حليب</v>
      </c>
      <c r="C102" s="122" t="str">
        <f t="shared" si="20"/>
        <v>ml</v>
      </c>
      <c r="D102" s="122">
        <f t="shared" si="20"/>
        <v>400</v>
      </c>
      <c r="E102" s="222">
        <f t="shared" si="24"/>
        <v>8.5542605542605585</v>
      </c>
      <c r="F102" s="298">
        <f t="shared" si="21"/>
        <v>1</v>
      </c>
      <c r="G102" s="118">
        <f t="shared" si="22"/>
        <v>3421.7042217042235</v>
      </c>
      <c r="H102" s="206">
        <f t="shared" si="25"/>
        <v>3421.7042217042235</v>
      </c>
    </row>
    <row r="103" spans="1:8" ht="14.25" customHeight="1" x14ac:dyDescent="0.3">
      <c r="A103" s="127" t="s">
        <v>215</v>
      </c>
      <c r="B103" s="122" t="str">
        <f t="shared" si="20"/>
        <v>Orange Color - لون برتقالي</v>
      </c>
      <c r="C103" s="122" t="str">
        <f t="shared" si="20"/>
        <v>gm</v>
      </c>
      <c r="D103" s="122">
        <f t="shared" si="20"/>
        <v>1</v>
      </c>
      <c r="E103" s="222">
        <f t="shared" si="24"/>
        <v>8.5542605542605585</v>
      </c>
      <c r="F103" s="298">
        <f t="shared" si="21"/>
        <v>1</v>
      </c>
      <c r="G103" s="118">
        <f t="shared" si="22"/>
        <v>8.5542605542605585</v>
      </c>
      <c r="H103" s="206">
        <f t="shared" si="25"/>
        <v>8.5542605542605585</v>
      </c>
    </row>
    <row r="104" spans="1:8" ht="14.25" customHeight="1" x14ac:dyDescent="0.3">
      <c r="A104" s="127" t="s">
        <v>154</v>
      </c>
      <c r="B104" s="122" t="str">
        <f t="shared" si="20"/>
        <v>Parmesan Cheese Powder - بديل البارميزان</v>
      </c>
      <c r="C104" s="122" t="str">
        <f t="shared" si="20"/>
        <v>gm</v>
      </c>
      <c r="D104" s="122">
        <f t="shared" si="20"/>
        <v>50</v>
      </c>
      <c r="E104" s="222">
        <f t="shared" si="24"/>
        <v>8.5542605542605585</v>
      </c>
      <c r="F104" s="298">
        <f t="shared" si="21"/>
        <v>1</v>
      </c>
      <c r="G104" s="118">
        <f t="shared" si="22"/>
        <v>427.71302771302794</v>
      </c>
      <c r="H104" s="206">
        <f t="shared" si="25"/>
        <v>427.71302771302794</v>
      </c>
    </row>
    <row r="105" spans="1:8" ht="14.25" customHeight="1" x14ac:dyDescent="0.3">
      <c r="A105" s="127" t="s">
        <v>95</v>
      </c>
      <c r="B105" s="122" t="str">
        <f t="shared" si="20"/>
        <v>Maggi Cubes - مكعبات ماجي</v>
      </c>
      <c r="C105" s="122" t="str">
        <f t="shared" si="20"/>
        <v>gm</v>
      </c>
      <c r="D105" s="122">
        <f t="shared" si="20"/>
        <v>5</v>
      </c>
      <c r="E105" s="222">
        <f t="shared" si="24"/>
        <v>8.5542605542605585</v>
      </c>
      <c r="F105" s="298">
        <f t="shared" si="21"/>
        <v>1</v>
      </c>
      <c r="G105" s="118">
        <f t="shared" si="22"/>
        <v>42.771302771302793</v>
      </c>
      <c r="H105" s="206">
        <f t="shared" si="25"/>
        <v>42.771302771302793</v>
      </c>
    </row>
    <row r="106" spans="1:8" ht="14.25" customHeight="1" x14ac:dyDescent="0.3">
      <c r="A106" s="127" t="s">
        <v>192</v>
      </c>
      <c r="B106" s="122" t="str">
        <f t="shared" si="20"/>
        <v>Tomato Ketchup - كاتشب طماطم</v>
      </c>
      <c r="C106" s="122" t="str">
        <f t="shared" si="20"/>
        <v>ml</v>
      </c>
      <c r="D106" s="122">
        <f t="shared" si="20"/>
        <v>50</v>
      </c>
      <c r="E106" s="222">
        <f t="shared" si="24"/>
        <v>8.5542605542605585</v>
      </c>
      <c r="F106" s="298">
        <f t="shared" si="21"/>
        <v>1</v>
      </c>
      <c r="G106" s="118">
        <f t="shared" si="22"/>
        <v>427.71302771302794</v>
      </c>
      <c r="H106" s="206">
        <f t="shared" si="25"/>
        <v>427.71302771302794</v>
      </c>
    </row>
    <row r="107" spans="1:8" ht="23.75" customHeight="1" x14ac:dyDescent="0.3">
      <c r="A107" s="210"/>
      <c r="B107" s="197" t="s">
        <v>291</v>
      </c>
      <c r="C107" s="199" t="s">
        <v>277</v>
      </c>
      <c r="E107" s="199" t="s">
        <v>292</v>
      </c>
      <c r="G107" s="878" t="s">
        <v>268</v>
      </c>
      <c r="H107" s="878" t="s">
        <v>703</v>
      </c>
    </row>
    <row r="108" spans="1:8" ht="20.25" customHeight="1" x14ac:dyDescent="0.4">
      <c r="A108" s="210"/>
      <c r="B108" s="198">
        <f>$J$54</f>
        <v>11547.524475524468</v>
      </c>
      <c r="C108" s="200">
        <f>E108+G108</f>
        <v>8468.7179487179528</v>
      </c>
      <c r="D108" s="208"/>
      <c r="E108" s="200">
        <f>$D$54*$S$44</f>
        <v>3464.4755244755265</v>
      </c>
      <c r="F108" s="99"/>
      <c r="G108" s="201">
        <f>$D$54*$T$44</f>
        <v>5004.2424242424268</v>
      </c>
      <c r="H108" s="201">
        <f>B108+E108</f>
        <v>15011.999999999995</v>
      </c>
    </row>
  </sheetData>
  <mergeCells count="12">
    <mergeCell ref="AE2:AG3"/>
    <mergeCell ref="B87:H87"/>
    <mergeCell ref="R26:U26"/>
    <mergeCell ref="AN2:AN3"/>
    <mergeCell ref="B86:H86"/>
    <mergeCell ref="R25:U25"/>
    <mergeCell ref="B63:H63"/>
    <mergeCell ref="F2:F3"/>
    <mergeCell ref="B62:H62"/>
    <mergeCell ref="AK2:AM2"/>
    <mergeCell ref="C27:G27"/>
    <mergeCell ref="B35:F35"/>
  </mergeCells>
  <printOptions horizontalCentered="1"/>
  <pageMargins left="0.5" right="0.5" top="1" bottom="0.5" header="0.3" footer="0.511811023622047"/>
  <pageSetup paperSize="9" scale="31" orientation="portrait" r:id="rId1"/>
  <legacyDrawing r:id="rId2"/>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70">
    <tabColor rgb="FF333F50"/>
    <pageSetUpPr fitToPage="1"/>
  </sheetPr>
  <dimension ref="A1:AT139"/>
  <sheetViews>
    <sheetView topLeftCell="A91" zoomScale="70" zoomScaleNormal="70" workbookViewId="0">
      <selection activeCell="Q111" sqref="Q111"/>
    </sheetView>
  </sheetViews>
  <sheetFormatPr defaultColWidth="12.5" defaultRowHeight="14" x14ac:dyDescent="0.3"/>
  <cols>
    <col min="1" max="1" width="12.5" style="78" customWidth="1"/>
    <col min="2" max="2" width="36" style="29"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3.83203125" style="14" customWidth="1"/>
    <col min="15" max="17" width="12.5" style="14" customWidth="1"/>
    <col min="18" max="18" width="32.08203125" style="14" customWidth="1"/>
    <col min="19" max="28" width="12.5" style="14" customWidth="1"/>
    <col min="29" max="29" width="11.9140625" style="14" bestFit="1" customWidth="1"/>
    <col min="30" max="30" width="10.83203125" style="14" customWidth="1"/>
    <col min="31" max="31" width="10" style="14" bestFit="1" customWidth="1"/>
    <col min="32" max="32" width="11.58203125" style="14" bestFit="1" customWidth="1"/>
    <col min="33" max="34" width="4.75" style="14" customWidth="1"/>
    <col min="35" max="35" width="12.5" style="14" customWidth="1"/>
    <col min="36" max="36" width="30.5" style="14" customWidth="1"/>
    <col min="37" max="37" width="12.5" style="14" customWidth="1"/>
    <col min="38" max="16384" width="12.5" style="14"/>
  </cols>
  <sheetData>
    <row r="1" spans="1:46" ht="35.25" customHeight="1" x14ac:dyDescent="0.3">
      <c r="B1" s="299" t="s">
        <v>235</v>
      </c>
      <c r="C1" s="80">
        <v>1000</v>
      </c>
      <c r="D1" s="81" t="s">
        <v>236</v>
      </c>
      <c r="E1" s="116">
        <f>T32</f>
        <v>24561.025641025648</v>
      </c>
      <c r="F1" s="79" t="s">
        <v>237</v>
      </c>
      <c r="G1" s="80">
        <f>E1/C1</f>
        <v>24.561025641025648</v>
      </c>
      <c r="H1" s="79" t="s">
        <v>238</v>
      </c>
      <c r="I1" s="248">
        <f>(G1/K1)</f>
        <v>25.062271062271069</v>
      </c>
      <c r="J1" s="85" t="s">
        <v>239</v>
      </c>
      <c r="K1" s="80">
        <v>0.98</v>
      </c>
      <c r="L1" s="99"/>
      <c r="M1" s="88"/>
      <c r="N1" s="89"/>
      <c r="O1" s="90" t="s">
        <v>240</v>
      </c>
      <c r="P1" s="91" t="s">
        <v>241</v>
      </c>
      <c r="Q1" s="92" t="s">
        <v>242</v>
      </c>
      <c r="R1" s="91">
        <v>0.59</v>
      </c>
      <c r="Y1" s="90" t="s">
        <v>463</v>
      </c>
      <c r="Z1" s="835">
        <v>43040</v>
      </c>
      <c r="AA1" s="90" t="s">
        <v>578</v>
      </c>
      <c r="AB1" s="835">
        <v>500</v>
      </c>
      <c r="AC1" s="90" t="s">
        <v>567</v>
      </c>
      <c r="AD1" s="835">
        <v>295</v>
      </c>
      <c r="AE1" s="249"/>
      <c r="AF1" s="251"/>
      <c r="AG1" s="91"/>
      <c r="AI1" s="78"/>
      <c r="AJ1" s="93" t="s">
        <v>254</v>
      </c>
      <c r="AK1" s="93">
        <v>10000</v>
      </c>
      <c r="AL1" s="623" t="s">
        <v>503</v>
      </c>
      <c r="AM1" s="624">
        <f>$S$32</f>
        <v>33492.307692307681</v>
      </c>
      <c r="AN1" s="93" t="s">
        <v>243</v>
      </c>
      <c r="AO1" s="328">
        <f>((S32)/$R$1)/$AK$1</f>
        <v>5.6766623207301157</v>
      </c>
      <c r="AP1" s="94"/>
    </row>
    <row r="2" spans="1:46" ht="12.75" customHeight="1" x14ac:dyDescent="0.3">
      <c r="A2" s="96"/>
      <c r="B2" s="577"/>
      <c r="C2" s="97"/>
      <c r="D2" s="97"/>
      <c r="E2" s="97"/>
      <c r="F2" s="1443" t="s">
        <v>473</v>
      </c>
      <c r="G2" s="97"/>
      <c r="H2" s="97"/>
      <c r="I2" s="97"/>
      <c r="J2" s="97"/>
      <c r="K2" s="97"/>
      <c r="L2" s="292"/>
      <c r="M2" s="99"/>
      <c r="N2" s="99"/>
      <c r="O2" s="99"/>
      <c r="P2" s="99"/>
      <c r="Q2" s="99"/>
      <c r="R2" s="99"/>
      <c r="AC2" s="98"/>
      <c r="AD2" s="98"/>
      <c r="AE2" s="1457"/>
      <c r="AF2" s="1460"/>
      <c r="AG2" s="1460"/>
      <c r="AI2" s="78"/>
      <c r="AJ2" s="100"/>
      <c r="AK2" s="1442" t="s">
        <v>474</v>
      </c>
      <c r="AL2" s="1442"/>
      <c r="AM2" s="1442"/>
      <c r="AN2" s="1442"/>
      <c r="AO2" s="100"/>
      <c r="AP2" s="100"/>
    </row>
    <row r="3" spans="1:46" ht="12.75" customHeight="1" x14ac:dyDescent="0.3">
      <c r="A3" s="96"/>
      <c r="B3" s="578"/>
      <c r="C3" s="102"/>
      <c r="D3" s="102"/>
      <c r="E3" s="102"/>
      <c r="F3" s="1444"/>
      <c r="G3" s="102"/>
      <c r="H3" s="102"/>
      <c r="I3" s="102"/>
      <c r="J3" s="102"/>
      <c r="K3" s="102"/>
      <c r="L3" s="292"/>
      <c r="O3" s="99"/>
      <c r="P3" s="99"/>
      <c r="Q3" s="99"/>
      <c r="R3" s="99"/>
      <c r="AC3" s="98"/>
      <c r="AD3" s="98"/>
      <c r="AE3" s="1460"/>
      <c r="AF3" s="1460"/>
      <c r="AG3" s="1460"/>
      <c r="AI3" s="78"/>
      <c r="AJ3" s="100"/>
      <c r="AK3" s="100"/>
      <c r="AL3" s="100"/>
      <c r="AM3" s="100"/>
      <c r="AN3" s="1442"/>
      <c r="AO3" s="100"/>
      <c r="AP3" s="100"/>
    </row>
    <row r="4" spans="1:46" ht="46.5" customHeight="1" x14ac:dyDescent="0.3">
      <c r="A4" s="90" t="s">
        <v>1</v>
      </c>
      <c r="B4" s="90" t="s">
        <v>245</v>
      </c>
      <c r="C4" s="106" t="s">
        <v>246</v>
      </c>
      <c r="D4" s="90" t="s">
        <v>235</v>
      </c>
      <c r="E4" s="107" t="s">
        <v>238</v>
      </c>
      <c r="F4" s="107" t="s">
        <v>247</v>
      </c>
      <c r="G4" s="90" t="s">
        <v>248</v>
      </c>
      <c r="H4" s="330" t="s">
        <v>339</v>
      </c>
      <c r="I4" s="90" t="s">
        <v>250</v>
      </c>
      <c r="J4" s="90" t="s">
        <v>251</v>
      </c>
      <c r="K4" s="90" t="s">
        <v>252</v>
      </c>
      <c r="L4" s="90" t="s">
        <v>253</v>
      </c>
      <c r="O4" s="99"/>
      <c r="P4" s="99"/>
      <c r="AA4" s="250"/>
      <c r="AB4" s="250"/>
      <c r="AC4" s="250"/>
      <c r="AD4" s="252"/>
      <c r="AE4" s="250"/>
      <c r="AF4" s="250"/>
      <c r="AG4" s="250"/>
      <c r="AI4" s="78"/>
      <c r="AJ4" s="93" t="s">
        <v>245</v>
      </c>
      <c r="AK4" s="527" t="s">
        <v>246</v>
      </c>
      <c r="AL4" s="93" t="s">
        <v>254</v>
      </c>
      <c r="AM4" s="93" t="s">
        <v>238</v>
      </c>
      <c r="AN4" s="93" t="s">
        <v>247</v>
      </c>
      <c r="AO4" s="93" t="s">
        <v>248</v>
      </c>
      <c r="AP4" s="93" t="s">
        <v>339</v>
      </c>
      <c r="AQ4" s="90" t="s">
        <v>250</v>
      </c>
      <c r="AR4" s="90" t="s">
        <v>251</v>
      </c>
      <c r="AS4" s="90" t="s">
        <v>252</v>
      </c>
      <c r="AT4" s="90" t="s">
        <v>253</v>
      </c>
    </row>
    <row r="5" spans="1:46" x14ac:dyDescent="0.3">
      <c r="A5" s="579" t="s">
        <v>225</v>
      </c>
      <c r="B5" s="308" t="s">
        <v>224</v>
      </c>
      <c r="C5" s="114" t="s">
        <v>14</v>
      </c>
      <c r="D5" s="267">
        <f>I51/10</f>
        <v>2311.3713405238827</v>
      </c>
      <c r="E5" s="125">
        <f>H52</f>
        <v>24.559715789516861</v>
      </c>
      <c r="F5" s="298">
        <v>1</v>
      </c>
      <c r="G5" s="118">
        <f t="shared" ref="G5:G24" si="0">D5*E5</f>
        <v>56766.623207301156</v>
      </c>
      <c r="H5" s="206">
        <f t="shared" ref="H5:H24" si="1">G5*F5</f>
        <v>56766.623207301156</v>
      </c>
      <c r="I5" s="80">
        <f>VLOOKUP(B5,All_Ingredients!$A$1:$F$149,6,FALSE())</f>
        <v>0.86</v>
      </c>
      <c r="J5" s="118">
        <f>VLOOKUP(B5,All_Ingredients!$A$1:$J$149,10,FALSE())</f>
        <v>17.100000000000001</v>
      </c>
      <c r="K5" s="121">
        <f t="shared" ref="K5" si="2">(H5/I5)/1000</f>
        <v>66.007701403838553</v>
      </c>
      <c r="L5" s="121">
        <f t="shared" ref="L5" si="3">K5*J5</f>
        <v>1128.7316940056394</v>
      </c>
      <c r="O5" s="99"/>
      <c r="P5" s="99"/>
      <c r="AA5" s="91"/>
      <c r="AB5" s="91"/>
      <c r="AC5" s="91"/>
      <c r="AD5" s="132"/>
      <c r="AE5" s="253"/>
      <c r="AF5" s="134"/>
      <c r="AG5" s="135"/>
      <c r="AI5" s="78"/>
      <c r="AJ5" s="373" t="s">
        <v>224</v>
      </c>
      <c r="AK5" s="580" t="s">
        <v>231</v>
      </c>
      <c r="AL5" s="581">
        <v>10</v>
      </c>
      <c r="AM5" s="582">
        <f t="shared" ref="AM5:AM12" si="4">$AO$1</f>
        <v>5.6766623207301157</v>
      </c>
      <c r="AN5" s="583">
        <v>1</v>
      </c>
      <c r="AO5" s="584">
        <f t="shared" ref="AO5:AO12" si="5">AL5*AM5</f>
        <v>56.766623207301159</v>
      </c>
      <c r="AP5" s="585">
        <f t="shared" ref="AP5:AP12" si="6">AO5*AN5</f>
        <v>56.766623207301159</v>
      </c>
      <c r="AQ5" s="294"/>
      <c r="AR5" s="1152"/>
      <c r="AS5" s="174"/>
      <c r="AT5" s="1153"/>
    </row>
    <row r="6" spans="1:46" x14ac:dyDescent="0.3">
      <c r="A6" s="127" t="s">
        <v>13</v>
      </c>
      <c r="B6" s="266" t="s">
        <v>12</v>
      </c>
      <c r="C6" s="114" t="s">
        <v>14</v>
      </c>
      <c r="D6" s="124">
        <v>150</v>
      </c>
      <c r="E6" s="196">
        <f t="shared" ref="E6:E24" si="7">$I$1</f>
        <v>25.062271062271069</v>
      </c>
      <c r="F6" s="298">
        <v>0.95</v>
      </c>
      <c r="G6" s="118">
        <f t="shared" si="0"/>
        <v>3759.3406593406603</v>
      </c>
      <c r="H6" s="206">
        <f t="shared" si="1"/>
        <v>3571.3736263736273</v>
      </c>
      <c r="I6" s="80">
        <f>VLOOKUP(B6,All_Ingredients!$A$1:$F$149,6,FALSE())</f>
        <v>0.9</v>
      </c>
      <c r="J6" s="118">
        <f>VLOOKUP(B6,All_Ingredients!$A$1:$J$149,10,FALSE())</f>
        <v>3</v>
      </c>
      <c r="K6" s="121">
        <f t="shared" ref="K6:K24" si="8">(H6/I6)/1000</f>
        <v>3.9681929181929192</v>
      </c>
      <c r="L6" s="121">
        <f t="shared" ref="L6:L24" si="9">K6*J6</f>
        <v>11.904578754578758</v>
      </c>
      <c r="AI6" s="78" t="s">
        <v>56</v>
      </c>
      <c r="AJ6" s="271" t="s">
        <v>55</v>
      </c>
      <c r="AK6" s="123" t="s">
        <v>14</v>
      </c>
      <c r="AL6" s="124">
        <v>300</v>
      </c>
      <c r="AM6" s="125">
        <f t="shared" si="4"/>
        <v>5.6766623207301157</v>
      </c>
      <c r="AN6" s="126">
        <v>1</v>
      </c>
      <c r="AO6" s="118">
        <f t="shared" si="5"/>
        <v>1702.9986962190346</v>
      </c>
      <c r="AP6" s="354">
        <f t="shared" si="6"/>
        <v>1702.9986962190346</v>
      </c>
      <c r="AQ6" s="1153">
        <f>VLOOKUP(AJ6,Marination_Ordering!$A:$J,6,FALSE)</f>
        <v>0.87</v>
      </c>
      <c r="AR6" s="1153">
        <f>VLOOKUP(AJ6,Marination_Ordering!$A:$J,10,FALSE)</f>
        <v>3.2</v>
      </c>
      <c r="AS6" s="174">
        <f>AP6/AQ6</f>
        <v>1957.4697657690053</v>
      </c>
      <c r="AT6" s="1153">
        <f>AR6*(AS6/1000)</f>
        <v>6.2639032504608174</v>
      </c>
    </row>
    <row r="7" spans="1:46" ht="15" customHeight="1" x14ac:dyDescent="0.3">
      <c r="A7" s="127" t="s">
        <v>13</v>
      </c>
      <c r="B7" s="266" t="s">
        <v>17</v>
      </c>
      <c r="C7" s="114" t="s">
        <v>14</v>
      </c>
      <c r="D7" s="124">
        <v>450</v>
      </c>
      <c r="E7" s="196">
        <f t="shared" si="7"/>
        <v>25.062271062271069</v>
      </c>
      <c r="F7" s="298">
        <v>1</v>
      </c>
      <c r="G7" s="118">
        <f t="shared" si="0"/>
        <v>11278.021978021981</v>
      </c>
      <c r="H7" s="206">
        <f t="shared" si="1"/>
        <v>11278.021978021981</v>
      </c>
      <c r="I7" s="80">
        <f>VLOOKUP(B7,All_Ingredients!$A$1:$F$149,6,FALSE())</f>
        <v>0.98</v>
      </c>
      <c r="J7" s="118">
        <f>VLOOKUP(B7,All_Ingredients!$A$1:$J$149,10,FALSE())</f>
        <v>3.5</v>
      </c>
      <c r="K7" s="121">
        <f t="shared" si="8"/>
        <v>11.508185691859167</v>
      </c>
      <c r="L7" s="121">
        <f t="shared" si="9"/>
        <v>40.278649921507082</v>
      </c>
      <c r="AI7" s="78" t="s">
        <v>13</v>
      </c>
      <c r="AJ7" s="271" t="s">
        <v>762</v>
      </c>
      <c r="AK7" s="123" t="s">
        <v>14</v>
      </c>
      <c r="AL7" s="124">
        <v>100</v>
      </c>
      <c r="AM7" s="125">
        <f t="shared" si="4"/>
        <v>5.6766623207301157</v>
      </c>
      <c r="AN7" s="126">
        <v>1</v>
      </c>
      <c r="AO7" s="118">
        <f t="shared" si="5"/>
        <v>567.66623207301154</v>
      </c>
      <c r="AP7" s="354">
        <f t="shared" si="6"/>
        <v>567.66623207301154</v>
      </c>
      <c r="AQ7" s="1153">
        <f>VLOOKUP(AJ7,Marination_Ordering!$A:$J,6,FALSE)</f>
        <v>1</v>
      </c>
      <c r="AR7" s="1153">
        <f>VLOOKUP(AJ7,Marination_Ordering!$A:$J,10,FALSE)</f>
        <v>10.5</v>
      </c>
      <c r="AS7" s="174">
        <f t="shared" ref="AS7:AS8" si="10">AP7/AQ7</f>
        <v>567.66623207301154</v>
      </c>
      <c r="AT7" s="1153">
        <f t="shared" ref="AT7:AT8" si="11">AR7*(AS7/1000)</f>
        <v>5.9604954367666219</v>
      </c>
    </row>
    <row r="8" spans="1:46" x14ac:dyDescent="0.3">
      <c r="A8" s="127" t="s">
        <v>56</v>
      </c>
      <c r="B8" s="266" t="s">
        <v>55</v>
      </c>
      <c r="C8" s="114" t="s">
        <v>14</v>
      </c>
      <c r="D8" s="124">
        <v>25</v>
      </c>
      <c r="E8" s="196">
        <f t="shared" si="7"/>
        <v>25.062271062271069</v>
      </c>
      <c r="F8" s="298">
        <v>0.9</v>
      </c>
      <c r="G8" s="118">
        <f t="shared" si="0"/>
        <v>626.55677655677675</v>
      </c>
      <c r="H8" s="206">
        <f t="shared" si="1"/>
        <v>563.90109890109909</v>
      </c>
      <c r="I8" s="80">
        <f>VLOOKUP(B8,All_Ingredients!$A$1:$F$149,6,FALSE())</f>
        <v>0.87</v>
      </c>
      <c r="J8" s="118">
        <f>VLOOKUP(B8,All_Ingredients!$A$1:$J$149,10,FALSE())</f>
        <v>7</v>
      </c>
      <c r="K8" s="121">
        <f t="shared" si="8"/>
        <v>0.64816218264494152</v>
      </c>
      <c r="L8" s="121">
        <f t="shared" si="9"/>
        <v>4.5371352785145902</v>
      </c>
      <c r="AI8" s="78" t="s">
        <v>206</v>
      </c>
      <c r="AJ8" s="271" t="s">
        <v>214</v>
      </c>
      <c r="AK8" s="123" t="s">
        <v>161</v>
      </c>
      <c r="AL8" s="124">
        <v>350</v>
      </c>
      <c r="AM8" s="125">
        <f t="shared" si="4"/>
        <v>5.6766623207301157</v>
      </c>
      <c r="AN8" s="126">
        <v>1</v>
      </c>
      <c r="AO8" s="118">
        <f t="shared" si="5"/>
        <v>1986.8318122555404</v>
      </c>
      <c r="AP8" s="354">
        <f t="shared" si="6"/>
        <v>1986.8318122555404</v>
      </c>
      <c r="AQ8" s="1153">
        <f>VLOOKUP(AJ8,Marination_Ordering!$A:$J,6,FALSE)</f>
        <v>1</v>
      </c>
      <c r="AR8" s="1153">
        <f>VLOOKUP(AJ8,Marination_Ordering!$A:$J,10,FALSE)</f>
        <v>5</v>
      </c>
      <c r="AS8" s="174">
        <f t="shared" si="10"/>
        <v>1986.8318122555404</v>
      </c>
      <c r="AT8" s="1153">
        <f t="shared" si="11"/>
        <v>9.9341590612777022</v>
      </c>
    </row>
    <row r="9" spans="1:46" x14ac:dyDescent="0.3">
      <c r="A9" s="127" t="s">
        <v>13</v>
      </c>
      <c r="B9" s="266" t="s">
        <v>762</v>
      </c>
      <c r="C9" s="114" t="s">
        <v>14</v>
      </c>
      <c r="D9" s="124">
        <v>25</v>
      </c>
      <c r="E9" s="196">
        <f t="shared" si="7"/>
        <v>25.062271062271069</v>
      </c>
      <c r="F9" s="298">
        <v>0.9</v>
      </c>
      <c r="G9" s="118">
        <f t="shared" si="0"/>
        <v>626.55677655677675</v>
      </c>
      <c r="H9" s="206">
        <f t="shared" si="1"/>
        <v>563.90109890109909</v>
      </c>
      <c r="I9" s="80">
        <f>VLOOKUP(B9,All_Ingredients!$A$1:$F$149,6,FALSE())</f>
        <v>1</v>
      </c>
      <c r="J9" s="118">
        <f>VLOOKUP(B9,All_Ingredients!$A$1:$J$149,10,FALSE())</f>
        <v>10.5</v>
      </c>
      <c r="K9" s="121">
        <f t="shared" si="8"/>
        <v>0.56390109890109907</v>
      </c>
      <c r="L9" s="121">
        <f t="shared" si="9"/>
        <v>5.9209615384615404</v>
      </c>
      <c r="AI9" s="78" t="s">
        <v>206</v>
      </c>
      <c r="AJ9" s="271" t="s">
        <v>210</v>
      </c>
      <c r="AK9" s="123" t="s">
        <v>161</v>
      </c>
      <c r="AL9" s="124">
        <v>70</v>
      </c>
      <c r="AM9" s="125">
        <f t="shared" si="4"/>
        <v>5.6766623207301157</v>
      </c>
      <c r="AN9" s="126">
        <v>1</v>
      </c>
      <c r="AO9" s="118">
        <f t="shared" si="5"/>
        <v>397.3663624511081</v>
      </c>
      <c r="AP9" s="354">
        <f t="shared" si="6"/>
        <v>397.3663624511081</v>
      </c>
      <c r="AQ9" s="1153">
        <f>VLOOKUP(AJ9,Marination_Ordering!$A:$J,6,FALSE)</f>
        <v>1</v>
      </c>
      <c r="AR9" s="1153">
        <f>VLOOKUP(AJ9,Marination_Ordering!$A:$J,10,FALSE)</f>
        <v>2.1621621621621623</v>
      </c>
      <c r="AS9" s="174">
        <f t="shared" ref="AS9:AS12" si="12">AP9/AQ9</f>
        <v>397.3663624511081</v>
      </c>
      <c r="AT9" s="1153">
        <f t="shared" ref="AT9:AT12" si="13">AR9*(AS9/1000)</f>
        <v>0.85917051340780137</v>
      </c>
    </row>
    <row r="10" spans="1:46" x14ac:dyDescent="0.3">
      <c r="A10" s="127" t="s">
        <v>13</v>
      </c>
      <c r="B10" s="266" t="s">
        <v>34</v>
      </c>
      <c r="C10" s="114" t="s">
        <v>14</v>
      </c>
      <c r="D10" s="124">
        <v>5</v>
      </c>
      <c r="E10" s="196">
        <f t="shared" si="7"/>
        <v>25.062271062271069</v>
      </c>
      <c r="F10" s="298">
        <v>0.75</v>
      </c>
      <c r="G10" s="118">
        <f t="shared" si="0"/>
        <v>125.31135531135534</v>
      </c>
      <c r="H10" s="206">
        <f t="shared" si="1"/>
        <v>93.98351648351651</v>
      </c>
      <c r="I10" s="80">
        <f>VLOOKUP(B10,All_Ingredients!$A$1:$F$149,6,FALSE())</f>
        <v>0.86</v>
      </c>
      <c r="J10" s="118">
        <f>VLOOKUP(B10,All_Ingredients!$A$1:$J$149,10,FALSE())</f>
        <v>14</v>
      </c>
      <c r="K10" s="121">
        <f t="shared" si="8"/>
        <v>0.10928315870176339</v>
      </c>
      <c r="L10" s="121">
        <f t="shared" si="9"/>
        <v>1.5299642218246874</v>
      </c>
      <c r="AI10" s="78" t="s">
        <v>95</v>
      </c>
      <c r="AJ10" s="271" t="s">
        <v>94</v>
      </c>
      <c r="AK10" s="123" t="s">
        <v>14</v>
      </c>
      <c r="AL10" s="124">
        <v>5</v>
      </c>
      <c r="AM10" s="125">
        <f t="shared" si="4"/>
        <v>5.6766623207301157</v>
      </c>
      <c r="AN10" s="126">
        <v>1</v>
      </c>
      <c r="AO10" s="118">
        <f t="shared" si="5"/>
        <v>28.383311603650579</v>
      </c>
      <c r="AP10" s="354">
        <f t="shared" si="6"/>
        <v>28.383311603650579</v>
      </c>
      <c r="AQ10" s="1153">
        <f>VLOOKUP(AJ10,Marination_Ordering!$A:$J,6,FALSE)</f>
        <v>1</v>
      </c>
      <c r="AR10" s="1153">
        <f>VLOOKUP(AJ10,Marination_Ordering!$A:$J,10,FALSE)</f>
        <v>0.74</v>
      </c>
      <c r="AS10" s="174">
        <f t="shared" si="12"/>
        <v>28.383311603650579</v>
      </c>
      <c r="AT10" s="1153">
        <f t="shared" si="13"/>
        <v>2.1003650586701429E-2</v>
      </c>
    </row>
    <row r="11" spans="1:46" x14ac:dyDescent="0.3">
      <c r="A11" s="127" t="s">
        <v>95</v>
      </c>
      <c r="B11" s="266" t="s">
        <v>106</v>
      </c>
      <c r="C11" s="114" t="s">
        <v>14</v>
      </c>
      <c r="D11" s="124">
        <v>5</v>
      </c>
      <c r="E11" s="196">
        <f t="shared" si="7"/>
        <v>25.062271062271069</v>
      </c>
      <c r="F11" s="298">
        <v>1</v>
      </c>
      <c r="G11" s="118">
        <f t="shared" si="0"/>
        <v>125.31135531135534</v>
      </c>
      <c r="H11" s="206">
        <f t="shared" si="1"/>
        <v>125.31135531135534</v>
      </c>
      <c r="I11" s="80">
        <f>VLOOKUP(B11,All_Ingredients!$A$1:$F$149,6,FALSE())</f>
        <v>1</v>
      </c>
      <c r="J11" s="118">
        <f>VLOOKUP(B11,All_Ingredients!$A$1:$J$149,10,FALSE())</f>
        <v>15</v>
      </c>
      <c r="K11" s="121">
        <f t="shared" si="8"/>
        <v>0.12531135531135534</v>
      </c>
      <c r="L11" s="121">
        <f t="shared" si="9"/>
        <v>1.8796703296703301</v>
      </c>
      <c r="AI11" s="78" t="s">
        <v>95</v>
      </c>
      <c r="AJ11" s="271" t="s">
        <v>100</v>
      </c>
      <c r="AK11" s="123" t="s">
        <v>14</v>
      </c>
      <c r="AL11" s="124">
        <v>3</v>
      </c>
      <c r="AM11" s="125">
        <f t="shared" si="4"/>
        <v>5.6766623207301157</v>
      </c>
      <c r="AN11" s="126">
        <v>1</v>
      </c>
      <c r="AO11" s="118">
        <f t="shared" si="5"/>
        <v>17.029986962190346</v>
      </c>
      <c r="AP11" s="354">
        <f t="shared" si="6"/>
        <v>17.029986962190346</v>
      </c>
      <c r="AQ11" s="1153">
        <f>VLOOKUP(AJ11,Marination_Ordering!$A:$J,6,FALSE)</f>
        <v>1</v>
      </c>
      <c r="AR11" s="1153">
        <f>VLOOKUP(AJ11,Marination_Ordering!$A:$J,10,FALSE)</f>
        <v>31</v>
      </c>
      <c r="AS11" s="174">
        <f t="shared" si="12"/>
        <v>17.029986962190346</v>
      </c>
      <c r="AT11" s="1153">
        <f t="shared" si="13"/>
        <v>0.52792959582790067</v>
      </c>
    </row>
    <row r="12" spans="1:46" ht="16.25" customHeight="1" x14ac:dyDescent="0.3">
      <c r="A12" s="127" t="s">
        <v>95</v>
      </c>
      <c r="B12" s="266" t="s">
        <v>114</v>
      </c>
      <c r="C12" s="114" t="s">
        <v>14</v>
      </c>
      <c r="D12" s="124">
        <v>3</v>
      </c>
      <c r="E12" s="196">
        <f t="shared" si="7"/>
        <v>25.062271062271069</v>
      </c>
      <c r="F12" s="298">
        <v>0.75</v>
      </c>
      <c r="G12" s="118">
        <f t="shared" si="0"/>
        <v>75.186813186813211</v>
      </c>
      <c r="H12" s="206">
        <f t="shared" si="1"/>
        <v>56.390109890109912</v>
      </c>
      <c r="I12" s="80">
        <f>VLOOKUP(B12,All_Ingredients!$A$1:$F$149,6,FALSE())</f>
        <v>1</v>
      </c>
      <c r="J12" s="118">
        <f>VLOOKUP(B12,All_Ingredients!$A$1:$J$149,10,FALSE())</f>
        <v>20</v>
      </c>
      <c r="K12" s="121">
        <f t="shared" si="8"/>
        <v>5.639010989010991E-2</v>
      </c>
      <c r="L12" s="121">
        <f t="shared" si="9"/>
        <v>1.1278021978021981</v>
      </c>
      <c r="AI12" s="78" t="s">
        <v>215</v>
      </c>
      <c r="AJ12" s="271" t="s">
        <v>877</v>
      </c>
      <c r="AK12" s="123" t="s">
        <v>14</v>
      </c>
      <c r="AL12" s="124">
        <v>5</v>
      </c>
      <c r="AM12" s="125">
        <f t="shared" si="4"/>
        <v>5.6766623207301157</v>
      </c>
      <c r="AN12" s="126">
        <v>1</v>
      </c>
      <c r="AO12" s="118">
        <f t="shared" si="5"/>
        <v>28.383311603650579</v>
      </c>
      <c r="AP12" s="354">
        <f t="shared" si="6"/>
        <v>28.383311603650579</v>
      </c>
      <c r="AQ12" s="1153">
        <f>VLOOKUP(AJ12,Marination_Ordering!$A:$J,6,FALSE)</f>
        <v>1</v>
      </c>
      <c r="AR12" s="1153">
        <f>VLOOKUP(AJ12,Marination_Ordering!$A:$J,10,FALSE)</f>
        <v>22.5</v>
      </c>
      <c r="AS12" s="174">
        <f t="shared" si="12"/>
        <v>28.383311603650579</v>
      </c>
      <c r="AT12" s="1153">
        <f t="shared" si="13"/>
        <v>0.63862451108213802</v>
      </c>
    </row>
    <row r="13" spans="1:46" x14ac:dyDescent="0.3">
      <c r="A13" s="127" t="s">
        <v>95</v>
      </c>
      <c r="B13" s="266" t="s">
        <v>140</v>
      </c>
      <c r="C13" s="114" t="s">
        <v>14</v>
      </c>
      <c r="D13" s="124">
        <v>7</v>
      </c>
      <c r="E13" s="196">
        <f t="shared" si="7"/>
        <v>25.062271062271069</v>
      </c>
      <c r="F13" s="298">
        <v>0.75</v>
      </c>
      <c r="G13" s="118">
        <f t="shared" si="0"/>
        <v>175.43589743589749</v>
      </c>
      <c r="H13" s="206">
        <f t="shared" si="1"/>
        <v>131.57692307692312</v>
      </c>
      <c r="I13" s="80">
        <f>VLOOKUP(B13,All_Ingredients!$A$1:$F$149,6,FALSE())</f>
        <v>1</v>
      </c>
      <c r="J13" s="118">
        <f>VLOOKUP(B13,All_Ingredients!$A$1:$J$149,10,FALSE())</f>
        <v>15.277777777777779</v>
      </c>
      <c r="K13" s="121">
        <f t="shared" si="8"/>
        <v>0.13157692307692312</v>
      </c>
      <c r="L13" s="121">
        <f t="shared" si="9"/>
        <v>2.0102029914529922</v>
      </c>
    </row>
    <row r="14" spans="1:46" x14ac:dyDescent="0.3">
      <c r="A14" s="127" t="s">
        <v>95</v>
      </c>
      <c r="B14" s="266" t="s">
        <v>759</v>
      </c>
      <c r="C14" s="114" t="s">
        <v>14</v>
      </c>
      <c r="D14" s="124">
        <v>1</v>
      </c>
      <c r="E14" s="196">
        <f t="shared" si="7"/>
        <v>25.062271062271069</v>
      </c>
      <c r="F14" s="298">
        <v>0.75</v>
      </c>
      <c r="G14" s="118">
        <f t="shared" si="0"/>
        <v>25.062271062271069</v>
      </c>
      <c r="H14" s="206">
        <f t="shared" si="1"/>
        <v>18.796703296703303</v>
      </c>
      <c r="I14" s="80">
        <f>VLOOKUP(B14,All_Ingredients!$A$1:$F$149,6,FALSE())</f>
        <v>1</v>
      </c>
      <c r="J14" s="118">
        <f>VLOOKUP(B14,All_Ingredients!$A$1:$J$149,10,FALSE())</f>
        <v>52</v>
      </c>
      <c r="K14" s="121">
        <f t="shared" si="8"/>
        <v>1.8796703296703302E-2</v>
      </c>
      <c r="L14" s="121">
        <f t="shared" si="9"/>
        <v>0.97742857142857176</v>
      </c>
    </row>
    <row r="15" spans="1:46" x14ac:dyDescent="0.3">
      <c r="A15" s="127" t="s">
        <v>154</v>
      </c>
      <c r="B15" s="266" t="s">
        <v>167</v>
      </c>
      <c r="C15" s="114" t="s">
        <v>161</v>
      </c>
      <c r="D15" s="124">
        <v>300</v>
      </c>
      <c r="E15" s="196">
        <f t="shared" si="7"/>
        <v>25.062271062271069</v>
      </c>
      <c r="F15" s="298">
        <v>1</v>
      </c>
      <c r="G15" s="118">
        <f t="shared" si="0"/>
        <v>7518.6813186813206</v>
      </c>
      <c r="H15" s="206">
        <f t="shared" si="1"/>
        <v>7518.6813186813206</v>
      </c>
      <c r="I15" s="80">
        <f>VLOOKUP(B15,All_Ingredients!$A$1:$F$149,6,FALSE())</f>
        <v>1</v>
      </c>
      <c r="J15" s="118">
        <f>VLOOKUP(B15,All_Ingredients!$A$1:$J$149,10,FALSE())</f>
        <v>12.666666666666666</v>
      </c>
      <c r="K15" s="121">
        <f t="shared" si="8"/>
        <v>7.5186813186813204</v>
      </c>
      <c r="L15" s="121">
        <f t="shared" si="9"/>
        <v>95.236630036630061</v>
      </c>
    </row>
    <row r="16" spans="1:46" x14ac:dyDescent="0.3">
      <c r="A16" s="127" t="s">
        <v>206</v>
      </c>
      <c r="B16" s="266" t="s">
        <v>205</v>
      </c>
      <c r="C16" s="114" t="s">
        <v>161</v>
      </c>
      <c r="D16" s="124">
        <v>100</v>
      </c>
      <c r="E16" s="196">
        <f t="shared" si="7"/>
        <v>25.062271062271069</v>
      </c>
      <c r="F16" s="298">
        <v>1</v>
      </c>
      <c r="G16" s="118">
        <f t="shared" si="0"/>
        <v>2506.227106227107</v>
      </c>
      <c r="H16" s="206">
        <f t="shared" si="1"/>
        <v>2506.227106227107</v>
      </c>
      <c r="I16" s="80">
        <f>VLOOKUP(B16,All_Ingredients!$A$1:$F$149,6,FALSE())</f>
        <v>1</v>
      </c>
      <c r="J16" s="118">
        <f>VLOOKUP(B16,All_Ingredients!$A$1:$J$149,10,FALSE())</f>
        <v>0</v>
      </c>
      <c r="K16" s="121">
        <f t="shared" si="8"/>
        <v>2.5062271062271071</v>
      </c>
      <c r="L16" s="121">
        <f t="shared" si="9"/>
        <v>0</v>
      </c>
    </row>
    <row r="17" spans="1:32" ht="14.25" customHeight="1" x14ac:dyDescent="0.3">
      <c r="A17" s="127" t="s">
        <v>95</v>
      </c>
      <c r="B17" s="266" t="s">
        <v>108</v>
      </c>
      <c r="C17" s="114" t="s">
        <v>14</v>
      </c>
      <c r="D17" s="124">
        <v>5</v>
      </c>
      <c r="E17" s="196">
        <f t="shared" si="7"/>
        <v>25.062271062271069</v>
      </c>
      <c r="F17" s="298">
        <v>1</v>
      </c>
      <c r="G17" s="118">
        <f t="shared" si="0"/>
        <v>125.31135531135534</v>
      </c>
      <c r="H17" s="206">
        <f t="shared" si="1"/>
        <v>125.31135531135534</v>
      </c>
      <c r="I17" s="80">
        <f>VLOOKUP(B17,All_Ingredients!$A$1:$F$149,6,FALSE())</f>
        <v>1</v>
      </c>
      <c r="J17" s="118">
        <f>VLOOKUP(B17,All_Ingredients!$A$1:$J$149,10,FALSE())</f>
        <v>8</v>
      </c>
      <c r="K17" s="121">
        <f t="shared" si="8"/>
        <v>0.12531135531135534</v>
      </c>
      <c r="L17" s="121">
        <f t="shared" si="9"/>
        <v>1.0024908424908427</v>
      </c>
    </row>
    <row r="18" spans="1:32" ht="14.25" customHeight="1" x14ac:dyDescent="0.3">
      <c r="A18" s="127" t="s">
        <v>215</v>
      </c>
      <c r="B18" s="266" t="s">
        <v>877</v>
      </c>
      <c r="C18" s="114" t="s">
        <v>14</v>
      </c>
      <c r="D18" s="124">
        <v>1</v>
      </c>
      <c r="E18" s="196">
        <f t="shared" si="7"/>
        <v>25.062271062271069</v>
      </c>
      <c r="F18" s="298">
        <v>1</v>
      </c>
      <c r="G18" s="118">
        <f t="shared" si="0"/>
        <v>25.062271062271069</v>
      </c>
      <c r="H18" s="206">
        <f t="shared" si="1"/>
        <v>25.062271062271069</v>
      </c>
      <c r="I18" s="80">
        <f>VLOOKUP(B18,All_Ingredients!$A$1:$F$149,6,FALSE())</f>
        <v>1</v>
      </c>
      <c r="J18" s="118">
        <f>VLOOKUP(B18,All_Ingredients!$A$1:$J$149,10,FALSE())</f>
        <v>22.5</v>
      </c>
      <c r="K18" s="121">
        <f t="shared" si="8"/>
        <v>2.5062271062271071E-2</v>
      </c>
      <c r="L18" s="121">
        <f t="shared" si="9"/>
        <v>0.56390109890109907</v>
      </c>
    </row>
    <row r="19" spans="1:32" ht="14.25" customHeight="1" x14ac:dyDescent="0.3">
      <c r="A19" s="127" t="s">
        <v>95</v>
      </c>
      <c r="B19" s="266" t="s">
        <v>94</v>
      </c>
      <c r="C19" s="114" t="s">
        <v>14</v>
      </c>
      <c r="D19" s="124">
        <v>5</v>
      </c>
      <c r="E19" s="196">
        <f t="shared" si="7"/>
        <v>25.062271062271069</v>
      </c>
      <c r="F19" s="298">
        <v>0.75</v>
      </c>
      <c r="G19" s="118">
        <f t="shared" si="0"/>
        <v>125.31135531135534</v>
      </c>
      <c r="H19" s="206">
        <f t="shared" si="1"/>
        <v>93.98351648351651</v>
      </c>
      <c r="I19" s="80">
        <f>VLOOKUP(B19,All_Ingredients!$A$1:$F$149,6,FALSE())</f>
        <v>1</v>
      </c>
      <c r="J19" s="118">
        <f>VLOOKUP(B19,All_Ingredients!$A$1:$J$149,10,FALSE())</f>
        <v>0.74</v>
      </c>
      <c r="K19" s="121">
        <f t="shared" si="8"/>
        <v>9.3983516483516508E-2</v>
      </c>
      <c r="L19" s="121">
        <f t="shared" si="9"/>
        <v>6.9547802197802211E-2</v>
      </c>
    </row>
    <row r="20" spans="1:32" ht="14.25" customHeight="1" x14ac:dyDescent="0.3">
      <c r="A20" s="127" t="s">
        <v>154</v>
      </c>
      <c r="B20" s="266" t="s">
        <v>153</v>
      </c>
      <c r="C20" s="114" t="s">
        <v>14</v>
      </c>
      <c r="D20" s="124">
        <v>40</v>
      </c>
      <c r="E20" s="196">
        <f t="shared" si="7"/>
        <v>25.062271062271069</v>
      </c>
      <c r="F20" s="298">
        <v>1</v>
      </c>
      <c r="G20" s="118">
        <f t="shared" si="0"/>
        <v>1002.4908424908427</v>
      </c>
      <c r="H20" s="206">
        <f t="shared" si="1"/>
        <v>1002.4908424908427</v>
      </c>
      <c r="I20" s="80">
        <f>VLOOKUP(B20,All_Ingredients!$A$1:$F$149,6,FALSE())</f>
        <v>1</v>
      </c>
      <c r="J20" s="118">
        <f>VLOOKUP(B20,All_Ingredients!$A$1:$J$149,10,FALSE())</f>
        <v>30</v>
      </c>
      <c r="K20" s="121">
        <f t="shared" si="8"/>
        <v>1.0024908424908427</v>
      </c>
      <c r="L20" s="121">
        <f t="shared" si="9"/>
        <v>30.074725274725282</v>
      </c>
    </row>
    <row r="21" spans="1:32" ht="14.25" customHeight="1" x14ac:dyDescent="0.3">
      <c r="A21" s="127" t="s">
        <v>192</v>
      </c>
      <c r="B21" s="22" t="s">
        <v>731</v>
      </c>
      <c r="C21" s="114" t="s">
        <v>14</v>
      </c>
      <c r="D21" s="124">
        <v>20</v>
      </c>
      <c r="E21" s="196">
        <f t="shared" si="7"/>
        <v>25.062271062271069</v>
      </c>
      <c r="F21" s="298">
        <v>1</v>
      </c>
      <c r="G21" s="118">
        <f t="shared" si="0"/>
        <v>501.24542124542137</v>
      </c>
      <c r="H21" s="206">
        <f t="shared" si="1"/>
        <v>501.24542124542137</v>
      </c>
      <c r="I21" s="80">
        <f>VLOOKUP(B21,All_Ingredients!$A$1:$F$149,6,FALSE())</f>
        <v>1</v>
      </c>
      <c r="J21" s="118">
        <f>VLOOKUP(B21,All_Ingredients!$A$1:$J$149,10,FALSE())</f>
        <v>8.1520833333333336</v>
      </c>
      <c r="K21" s="121">
        <f t="shared" si="8"/>
        <v>0.50124542124542137</v>
      </c>
      <c r="L21" s="121">
        <f t="shared" si="9"/>
        <v>4.0861944444444456</v>
      </c>
    </row>
    <row r="22" spans="1:32" ht="14.25" customHeight="1" x14ac:dyDescent="0.3">
      <c r="A22" s="127" t="s">
        <v>154</v>
      </c>
      <c r="B22" s="22" t="s">
        <v>164</v>
      </c>
      <c r="C22" s="114" t="s">
        <v>14</v>
      </c>
      <c r="D22" s="124">
        <v>100</v>
      </c>
      <c r="E22" s="196">
        <f t="shared" si="7"/>
        <v>25.062271062271069</v>
      </c>
      <c r="F22" s="298">
        <v>1</v>
      </c>
      <c r="G22" s="118">
        <f t="shared" si="0"/>
        <v>2506.227106227107</v>
      </c>
      <c r="H22" s="206">
        <f t="shared" si="1"/>
        <v>2506.227106227107</v>
      </c>
      <c r="I22" s="80">
        <f>VLOOKUP(B22,All_Ingredients!$A$1:$F$149,6,FALSE())</f>
        <v>1</v>
      </c>
      <c r="J22" s="118">
        <f>VLOOKUP(B22,All_Ingredients!$A$1:$J$149,10,FALSE())</f>
        <v>6.6959999999999997</v>
      </c>
      <c r="K22" s="121">
        <f t="shared" si="8"/>
        <v>2.5062271062271071</v>
      </c>
      <c r="L22" s="121">
        <f t="shared" si="9"/>
        <v>16.78169670329671</v>
      </c>
      <c r="M22" s="130"/>
      <c r="N22" s="130"/>
    </row>
    <row r="23" spans="1:32" ht="14.25" customHeight="1" x14ac:dyDescent="0.3">
      <c r="A23" s="254" t="s">
        <v>95</v>
      </c>
      <c r="B23" s="442" t="s">
        <v>119</v>
      </c>
      <c r="C23" s="568" t="s">
        <v>14</v>
      </c>
      <c r="D23" s="586">
        <v>5</v>
      </c>
      <c r="E23" s="420">
        <f t="shared" si="7"/>
        <v>25.062271062271069</v>
      </c>
      <c r="F23" s="587">
        <v>0.75</v>
      </c>
      <c r="G23" s="452">
        <f t="shared" si="0"/>
        <v>125.31135531135534</v>
      </c>
      <c r="H23" s="571">
        <f t="shared" si="1"/>
        <v>93.98351648351651</v>
      </c>
      <c r="I23" s="80">
        <f>VLOOKUP(B23,All_Ingredients!$A$1:$F$149,6,FALSE())</f>
        <v>1</v>
      </c>
      <c r="J23" s="118">
        <f>VLOOKUP(B23,All_Ingredients!$A$1:$J$149,10,FALSE())</f>
        <v>15</v>
      </c>
      <c r="K23" s="121">
        <f t="shared" si="8"/>
        <v>9.3983516483516508E-2</v>
      </c>
      <c r="L23" s="121">
        <f t="shared" si="9"/>
        <v>1.4097527472527476</v>
      </c>
      <c r="M23" s="130"/>
      <c r="N23" s="130"/>
      <c r="P23"/>
    </row>
    <row r="24" spans="1:32" ht="14.25" customHeight="1" x14ac:dyDescent="0.3">
      <c r="A24" s="572"/>
      <c r="B24" s="122" t="s">
        <v>189</v>
      </c>
      <c r="C24" s="123" t="s">
        <v>14</v>
      </c>
      <c r="D24" s="129">
        <v>20</v>
      </c>
      <c r="E24" s="125">
        <f t="shared" si="7"/>
        <v>25.062271062271069</v>
      </c>
      <c r="F24" s="126">
        <v>1</v>
      </c>
      <c r="G24" s="118">
        <f t="shared" si="0"/>
        <v>501.24542124542137</v>
      </c>
      <c r="H24" s="119">
        <f t="shared" si="1"/>
        <v>501.24542124542137</v>
      </c>
      <c r="I24" s="80">
        <f>VLOOKUP(B24,All_Ingredients!$A$1:$F$149,6,FALSE())</f>
        <v>0.9</v>
      </c>
      <c r="J24" s="120">
        <f>VLOOKUP(B24,All_Ingredients!$A$1:$J$149,10,FALSE())</f>
        <v>2.3199999999999998</v>
      </c>
      <c r="K24" s="121">
        <f t="shared" si="8"/>
        <v>0.55693935693935703</v>
      </c>
      <c r="L24" s="121">
        <f t="shared" si="9"/>
        <v>1.2920993080993082</v>
      </c>
      <c r="M24" s="130"/>
      <c r="N24" s="130"/>
      <c r="Z24" s="1208"/>
    </row>
    <row r="25" spans="1:32" ht="14.25" customHeight="1" x14ac:dyDescent="0.35">
      <c r="B25" s="348"/>
      <c r="C25" s="249"/>
      <c r="D25" s="211"/>
      <c r="E25" s="295"/>
      <c r="F25" s="532"/>
      <c r="G25" s="136"/>
      <c r="H25" s="533"/>
      <c r="I25" s="91"/>
      <c r="J25" s="138"/>
      <c r="K25" s="91"/>
      <c r="L25" s="136"/>
      <c r="M25" s="130"/>
      <c r="N25" s="130"/>
      <c r="R25" s="1440" t="s">
        <v>474</v>
      </c>
      <c r="S25" s="1444"/>
      <c r="T25" s="1444"/>
      <c r="U25" s="1444"/>
      <c r="V25" s="1132"/>
      <c r="Z25" s="140" t="s">
        <v>256</v>
      </c>
      <c r="AA25" s="141">
        <v>200</v>
      </c>
      <c r="AB25" s="140" t="s">
        <v>253</v>
      </c>
      <c r="AC25" s="1351">
        <f>(AA25*(4/3))*AF30+(AA30*(AB28/R1))</f>
        <v>6.3145200891269608</v>
      </c>
    </row>
    <row r="26" spans="1:32" ht="14.25" customHeight="1" x14ac:dyDescent="0.3">
      <c r="I26" s="91"/>
      <c r="J26" s="138"/>
      <c r="K26" s="91"/>
      <c r="L26" s="136"/>
      <c r="M26" s="130"/>
      <c r="N26" s="130"/>
      <c r="R26" s="1445" t="s">
        <v>257</v>
      </c>
      <c r="S26" s="1446"/>
      <c r="T26" s="1446"/>
      <c r="U26" s="1446"/>
      <c r="V26" s="1132"/>
    </row>
    <row r="27" spans="1:32" ht="14.25" customHeight="1" thickBot="1" x14ac:dyDescent="0.35">
      <c r="I27" s="91"/>
      <c r="J27" s="138"/>
      <c r="K27" s="91"/>
      <c r="L27" s="136"/>
      <c r="M27" s="130"/>
      <c r="N27" s="130"/>
      <c r="R27" s="144" t="s">
        <v>258</v>
      </c>
      <c r="S27" s="145" t="s">
        <v>259</v>
      </c>
      <c r="T27" s="145" t="s">
        <v>260</v>
      </c>
      <c r="U27" s="145" t="s">
        <v>261</v>
      </c>
      <c r="V27" s="145" t="s">
        <v>808</v>
      </c>
      <c r="W27" s="145" t="s">
        <v>817</v>
      </c>
      <c r="Z27" s="140" t="s">
        <v>262</v>
      </c>
      <c r="AA27" s="1166" t="s">
        <v>316</v>
      </c>
      <c r="AB27" s="146" t="s">
        <v>263</v>
      </c>
      <c r="AC27" s="146" t="s">
        <v>264</v>
      </c>
      <c r="AD27" s="146" t="s">
        <v>265</v>
      </c>
      <c r="AE27" s="1167" t="s">
        <v>817</v>
      </c>
      <c r="AF27" s="146" t="s">
        <v>266</v>
      </c>
    </row>
    <row r="28" spans="1:32" ht="14.25" customHeight="1" thickBot="1" x14ac:dyDescent="0.35">
      <c r="I28" s="91"/>
      <c r="J28" s="138"/>
      <c r="K28" s="91"/>
      <c r="L28" s="136"/>
      <c r="M28" s="130"/>
      <c r="N28" s="130"/>
      <c r="R28" s="147" t="s">
        <v>267</v>
      </c>
      <c r="S28" s="754">
        <f>U28*S40</f>
        <v>33107.692307692298</v>
      </c>
      <c r="T28" s="754">
        <f>U28*U40</f>
        <v>9932.3076923077024</v>
      </c>
      <c r="U28" s="760">
        <f>Z1</f>
        <v>43040</v>
      </c>
      <c r="V28" s="148">
        <f>SUM(AP6:AP12)</f>
        <v>4728.6597131681856</v>
      </c>
      <c r="W28" s="148">
        <f>SUM(H37:H38)</f>
        <v>315.64999999999998</v>
      </c>
      <c r="Z28" s="150"/>
      <c r="AA28" s="1169"/>
      <c r="AB28" s="151">
        <f>AA25*$S$40</f>
        <v>153.84615384615381</v>
      </c>
      <c r="AC28" s="151">
        <f>AA25*$U$40</f>
        <v>46.153846153846203</v>
      </c>
      <c r="AD28" s="152">
        <f>AA25*(1/3)</f>
        <v>66.666666666666657</v>
      </c>
      <c r="AE28" s="1169"/>
      <c r="AF28" s="153">
        <f>SUM(AB28:AD28)</f>
        <v>266.66666666666663</v>
      </c>
    </row>
    <row r="29" spans="1:32" ht="14.25" customHeight="1" thickBot="1" x14ac:dyDescent="0.35">
      <c r="B29" s="348"/>
      <c r="C29" s="249"/>
      <c r="D29" s="211"/>
      <c r="E29" s="295"/>
      <c r="F29" s="532"/>
      <c r="G29" s="136"/>
      <c r="H29" s="533"/>
      <c r="I29" s="91"/>
      <c r="J29" s="138"/>
      <c r="K29" s="91"/>
      <c r="L29" s="136"/>
      <c r="M29" s="130"/>
      <c r="N29" s="130"/>
      <c r="R29" s="147" t="s">
        <v>268</v>
      </c>
      <c r="S29" s="154"/>
      <c r="T29" s="1290">
        <f>U28*(1/3)</f>
        <v>14346.666666666666</v>
      </c>
      <c r="U29" s="754">
        <f>T29</f>
        <v>14346.666666666666</v>
      </c>
      <c r="V29" s="148"/>
      <c r="W29" s="148"/>
      <c r="Z29" s="150"/>
      <c r="AA29" s="1173"/>
      <c r="AB29" s="155">
        <f>AB28/$AF$28</f>
        <v>0.57692307692307687</v>
      </c>
      <c r="AC29" s="155">
        <f>AC28/$AF$28</f>
        <v>0.17307692307692329</v>
      </c>
      <c r="AD29" s="155">
        <f>AD28/$AF$28</f>
        <v>0.25</v>
      </c>
      <c r="AE29" s="1173"/>
      <c r="AF29" s="155">
        <f>AF28/$AF$28</f>
        <v>1</v>
      </c>
    </row>
    <row r="30" spans="1:32" ht="14.25" customHeight="1" thickBot="1" x14ac:dyDescent="0.35">
      <c r="I30" s="91"/>
      <c r="J30" s="138"/>
      <c r="K30" s="91"/>
      <c r="L30" s="136"/>
      <c r="M30" s="130"/>
      <c r="N30" s="130"/>
      <c r="R30" s="147" t="s">
        <v>269</v>
      </c>
      <c r="S30" s="1318">
        <f>U30*S40</f>
        <v>384.61538461538453</v>
      </c>
      <c r="T30" s="754">
        <f>(U30*U40)+(U30*(1/3))</f>
        <v>282.05128205128216</v>
      </c>
      <c r="U30" s="760">
        <f>AB1</f>
        <v>500</v>
      </c>
      <c r="V30" s="1124"/>
      <c r="W30" s="1124"/>
      <c r="Z30" s="140" t="s">
        <v>270</v>
      </c>
      <c r="AA30" s="1177">
        <f>V35/(S32/R1)</f>
        <v>4.2639996272134199E-4</v>
      </c>
      <c r="AB30" s="156">
        <f>S35/(S32)</f>
        <v>3.3701221915648408E-2</v>
      </c>
      <c r="AC30" s="157">
        <f>T35/T32</f>
        <v>8.9324988280912107E-3</v>
      </c>
      <c r="AD30" s="157">
        <f>T35/T32</f>
        <v>8.9324988280912107E-3</v>
      </c>
      <c r="AE30" s="1180">
        <f>W35/U32</f>
        <v>4.0354454915777845E-5</v>
      </c>
      <c r="AF30" s="1182">
        <f>SUMPRODUCT(AB30:AD30,AB29:AD29)+AE30</f>
        <v>2.3262501218136139E-2</v>
      </c>
    </row>
    <row r="31" spans="1:32" ht="14.25" customHeight="1" thickBot="1" x14ac:dyDescent="0.35">
      <c r="I31" s="91"/>
      <c r="J31" s="138"/>
      <c r="K31" s="91"/>
      <c r="L31" s="136"/>
      <c r="M31" s="130"/>
      <c r="N31" s="130"/>
      <c r="R31" s="147" t="s">
        <v>271</v>
      </c>
      <c r="S31" s="154"/>
      <c r="T31" s="148"/>
      <c r="U31" s="148"/>
      <c r="V31" s="148"/>
      <c r="W31" s="148"/>
    </row>
    <row r="32" spans="1:32" ht="14.25" customHeight="1" thickBot="1" x14ac:dyDescent="0.35">
      <c r="I32" s="91"/>
      <c r="J32" s="138"/>
      <c r="K32" s="91"/>
      <c r="L32" s="136"/>
      <c r="M32" s="130"/>
      <c r="N32" s="130"/>
      <c r="R32" s="159" t="s">
        <v>261</v>
      </c>
      <c r="S32" s="148">
        <f>SUM(S28:S30)</f>
        <v>33492.307692307681</v>
      </c>
      <c r="T32" s="148">
        <f>SUM(T28:T30)</f>
        <v>24561.025641025648</v>
      </c>
      <c r="U32" s="148">
        <f>SUM(S32:T32)</f>
        <v>58053.333333333328</v>
      </c>
      <c r="V32" s="148"/>
      <c r="W32" s="148">
        <f>SUM(W28:W30)</f>
        <v>315.64999999999998</v>
      </c>
    </row>
    <row r="33" spans="2:23" ht="14.25" customHeight="1" thickBot="1" x14ac:dyDescent="0.35">
      <c r="I33" s="91"/>
      <c r="J33" s="138"/>
      <c r="K33" s="91"/>
      <c r="L33" s="136"/>
      <c r="M33" s="130"/>
      <c r="N33" s="130"/>
      <c r="S33" s="170"/>
      <c r="T33" s="170"/>
      <c r="U33" s="170"/>
      <c r="V33" s="154"/>
      <c r="W33" s="154"/>
    </row>
    <row r="34" spans="2:23" ht="14.25" customHeight="1" thickBot="1" x14ac:dyDescent="0.35">
      <c r="I34" s="91"/>
      <c r="J34" s="138"/>
      <c r="K34" s="91"/>
      <c r="L34" s="136"/>
      <c r="M34" s="130"/>
      <c r="N34" s="130"/>
      <c r="R34" s="161"/>
      <c r="S34" s="154"/>
      <c r="T34" s="148"/>
      <c r="U34" s="154"/>
      <c r="V34" s="154"/>
      <c r="W34" s="154"/>
    </row>
    <row r="35" spans="2:23" ht="14.25" customHeight="1" thickBot="1" x14ac:dyDescent="0.35">
      <c r="B35" s="1441" t="s">
        <v>697</v>
      </c>
      <c r="C35" s="1441"/>
      <c r="D35" s="1441"/>
      <c r="E35" s="1441"/>
      <c r="F35" s="1441"/>
      <c r="G35" s="877"/>
      <c r="H35" s="877"/>
      <c r="I35" s="877"/>
      <c r="J35" s="877"/>
      <c r="K35" s="877"/>
      <c r="L35" s="877"/>
      <c r="M35" s="130"/>
      <c r="N35" s="130"/>
      <c r="R35" s="162" t="s">
        <v>253</v>
      </c>
      <c r="S35" s="1125">
        <f>$L$5</f>
        <v>1128.7316940056394</v>
      </c>
      <c r="T35" s="1125">
        <f>SUM(L6:L23)</f>
        <v>219.39133275517977</v>
      </c>
      <c r="U35" s="1125">
        <f>S35+T35+V35+W35</f>
        <v>1374.6710234029395</v>
      </c>
      <c r="V35" s="1125">
        <f>SUM(AT6:AT12)</f>
        <v>24.20528601940968</v>
      </c>
      <c r="W35" s="148">
        <f>SUM(L37:L38)</f>
        <v>2.3427106227106229</v>
      </c>
    </row>
    <row r="36" spans="2:23" ht="14.25" customHeight="1" x14ac:dyDescent="0.3">
      <c r="B36" s="848" t="s">
        <v>245</v>
      </c>
      <c r="C36" s="848" t="s">
        <v>321</v>
      </c>
      <c r="D36" s="850" t="s">
        <v>645</v>
      </c>
      <c r="E36" s="847" t="s">
        <v>646</v>
      </c>
      <c r="F36" s="850" t="s">
        <v>647</v>
      </c>
      <c r="G36" s="870"/>
      <c r="H36" s="850" t="s">
        <v>647</v>
      </c>
      <c r="I36" s="850" t="s">
        <v>250</v>
      </c>
      <c r="J36" s="850" t="s">
        <v>251</v>
      </c>
      <c r="K36" s="850" t="s">
        <v>252</v>
      </c>
      <c r="L36" s="850" t="s">
        <v>253</v>
      </c>
      <c r="M36" s="130"/>
      <c r="N36" s="130"/>
    </row>
    <row r="37" spans="2:23" ht="14.25" customHeight="1" x14ac:dyDescent="0.3">
      <c r="B37" s="843" t="s">
        <v>716</v>
      </c>
      <c r="C37" s="844" t="s">
        <v>14</v>
      </c>
      <c r="D37" s="845">
        <v>7.0000000000000007E-2</v>
      </c>
      <c r="E37" s="843">
        <f>$AD$1</f>
        <v>295</v>
      </c>
      <c r="F37" s="843">
        <f>D37*E37</f>
        <v>20.650000000000002</v>
      </c>
      <c r="G37" s="869"/>
      <c r="H37" s="843">
        <f>F37</f>
        <v>20.650000000000002</v>
      </c>
      <c r="I37" s="843">
        <f>VLOOKUP(B37,All_Ingredients!$A$1:$F$149,6,FALSE())</f>
        <v>0.65</v>
      </c>
      <c r="J37" s="843">
        <f>VLOOKUP(B37,All_Ingredients!$A$1:$J$149,10,FALSE())</f>
        <v>45</v>
      </c>
      <c r="K37" s="843">
        <f>(H37/I37)/1000</f>
        <v>3.1769230769230772E-2</v>
      </c>
      <c r="L37" s="843">
        <f>K37*J37</f>
        <v>1.4296153846153847</v>
      </c>
      <c r="M37" s="130"/>
      <c r="N37" s="130"/>
    </row>
    <row r="38" spans="2:23" ht="14.25" customHeight="1" x14ac:dyDescent="0.3">
      <c r="B38" s="843" t="s">
        <v>19</v>
      </c>
      <c r="C38" s="844" t="s">
        <v>14</v>
      </c>
      <c r="D38" s="845">
        <v>1</v>
      </c>
      <c r="E38" s="843">
        <f>$AD$1</f>
        <v>295</v>
      </c>
      <c r="F38" s="843">
        <f>D38*E38</f>
        <v>295</v>
      </c>
      <c r="G38" s="869"/>
      <c r="H38" s="843">
        <f>F38</f>
        <v>295</v>
      </c>
      <c r="I38" s="843">
        <f>VLOOKUP(B38,All_Ingredients!$A$1:$F$149,6,FALSE())</f>
        <v>0.84</v>
      </c>
      <c r="J38" s="843">
        <f>VLOOKUP(B38,All_Ingredients!$A$1:$J$149,10,FALSE())</f>
        <v>2.6</v>
      </c>
      <c r="K38" s="843">
        <f>(H38/I38)/1000</f>
        <v>0.35119047619047622</v>
      </c>
      <c r="L38" s="843">
        <f>K38*J38</f>
        <v>0.91309523809523818</v>
      </c>
      <c r="M38" s="130"/>
      <c r="N38" s="130"/>
    </row>
    <row r="39" spans="2:23" ht="14.25" customHeight="1" x14ac:dyDescent="0.3">
      <c r="B39" s="348"/>
      <c r="C39" s="249"/>
      <c r="D39" s="211"/>
      <c r="E39" s="295"/>
      <c r="F39" s="532"/>
      <c r="G39" s="136"/>
      <c r="H39" s="533"/>
      <c r="I39" s="91"/>
      <c r="J39" s="138"/>
      <c r="K39" s="91"/>
      <c r="L39" s="136"/>
      <c r="M39" s="130"/>
      <c r="N39" s="130"/>
    </row>
    <row r="40" spans="2:23" ht="15.75" customHeight="1" x14ac:dyDescent="0.3">
      <c r="B40" s="348"/>
      <c r="C40" s="249"/>
      <c r="D40" s="211"/>
      <c r="E40" s="295"/>
      <c r="F40" s="532"/>
      <c r="G40" s="136"/>
      <c r="H40" s="533"/>
      <c r="I40" s="91"/>
      <c r="J40" s="138"/>
      <c r="K40" s="91"/>
      <c r="L40" s="136"/>
      <c r="M40" s="130"/>
      <c r="N40" s="130"/>
      <c r="R40" s="164" t="s">
        <v>274</v>
      </c>
      <c r="S40" s="165">
        <v>0.76923076923076905</v>
      </c>
      <c r="T40" s="164" t="s">
        <v>275</v>
      </c>
      <c r="U40" s="166">
        <v>0.230769230769231</v>
      </c>
      <c r="V40" s="167">
        <f>S40+U40</f>
        <v>1</v>
      </c>
    </row>
    <row r="41" spans="2:23" ht="14.25" customHeight="1" x14ac:dyDescent="0.3">
      <c r="B41" s="348"/>
      <c r="C41" s="249"/>
      <c r="D41" s="211"/>
      <c r="E41" s="295"/>
      <c r="F41" s="532"/>
      <c r="G41" s="136"/>
      <c r="H41" s="533"/>
      <c r="I41" s="91"/>
      <c r="J41" s="138"/>
      <c r="K41" s="91"/>
      <c r="L41" s="136"/>
      <c r="M41" s="130"/>
      <c r="N41" s="130"/>
      <c r="U41" s="168"/>
    </row>
    <row r="42" spans="2:23" ht="14.25" customHeight="1" x14ac:dyDescent="0.3">
      <c r="B42" s="348"/>
      <c r="C42" s="249"/>
      <c r="D42" s="211"/>
      <c r="E42" s="295"/>
      <c r="F42" s="532"/>
      <c r="G42" s="136"/>
      <c r="H42" s="533"/>
      <c r="I42" s="91"/>
      <c r="J42" s="138"/>
      <c r="K42" s="91"/>
      <c r="L42" s="136"/>
      <c r="M42" s="130"/>
      <c r="N42" s="130"/>
    </row>
    <row r="43" spans="2:23" ht="14.25" customHeight="1" thickBot="1" x14ac:dyDescent="0.35">
      <c r="B43" s="348"/>
      <c r="C43" s="249"/>
      <c r="D43" s="211"/>
      <c r="E43" s="295"/>
      <c r="F43" s="532"/>
      <c r="G43" s="136"/>
      <c r="H43" s="533"/>
      <c r="I43" s="91"/>
      <c r="J43" s="138"/>
      <c r="K43" s="91"/>
      <c r="L43" s="136"/>
      <c r="M43" s="130"/>
      <c r="N43" s="130"/>
      <c r="Q43" s="169" t="s">
        <v>276</v>
      </c>
      <c r="R43" s="169" t="s">
        <v>277</v>
      </c>
      <c r="S43" s="169" t="s">
        <v>278</v>
      </c>
      <c r="T43" s="169" t="s">
        <v>279</v>
      </c>
      <c r="U43" s="169" t="s">
        <v>280</v>
      </c>
      <c r="V43" s="169" t="s">
        <v>281</v>
      </c>
      <c r="W43" s="169" t="s">
        <v>282</v>
      </c>
    </row>
    <row r="44" spans="2:23" ht="14.25" customHeight="1" thickBot="1" x14ac:dyDescent="0.35">
      <c r="B44" s="348"/>
      <c r="C44" s="249"/>
      <c r="D44" s="211"/>
      <c r="E44" s="295"/>
      <c r="F44" s="532"/>
      <c r="G44" s="136"/>
      <c r="H44" s="533"/>
      <c r="I44" s="91"/>
      <c r="J44" s="138"/>
      <c r="K44" s="91"/>
      <c r="L44" s="136"/>
      <c r="M44" s="130"/>
      <c r="N44" s="130"/>
      <c r="Q44" s="1338">
        <v>17728</v>
      </c>
      <c r="R44" s="172">
        <f>D51</f>
        <v>10000</v>
      </c>
      <c r="S44" s="1340">
        <v>0.40909090909090912</v>
      </c>
      <c r="T44" s="1340">
        <v>0.59090909090909094</v>
      </c>
      <c r="U44" s="241">
        <f>R44*S44</f>
        <v>4090.909090909091</v>
      </c>
      <c r="V44" s="175">
        <f>R44*T44</f>
        <v>5909.090909090909</v>
      </c>
      <c r="W44" s="175">
        <f>Q44-U44</f>
        <v>13637.090909090908</v>
      </c>
    </row>
    <row r="45" spans="2:23" ht="14.25" customHeight="1" x14ac:dyDescent="0.3">
      <c r="B45" s="348"/>
      <c r="C45" s="249"/>
      <c r="D45" s="211"/>
      <c r="E45" s="295"/>
      <c r="F45" s="532"/>
      <c r="G45" s="136"/>
      <c r="H45" s="533"/>
      <c r="I45" s="91"/>
      <c r="J45" s="138"/>
      <c r="K45" s="91"/>
      <c r="L45" s="136"/>
      <c r="M45" s="130"/>
      <c r="N45" s="130"/>
    </row>
    <row r="46" spans="2:23" ht="14.25" customHeight="1" x14ac:dyDescent="0.3">
      <c r="B46" s="348"/>
      <c r="C46" s="249"/>
      <c r="D46" s="211"/>
      <c r="E46" s="295"/>
      <c r="F46" s="532"/>
      <c r="G46" s="136"/>
      <c r="H46" s="533"/>
      <c r="I46" s="91"/>
      <c r="J46" s="138"/>
      <c r="K46" s="91"/>
      <c r="L46" s="136"/>
      <c r="M46" s="130"/>
      <c r="N46" s="130"/>
    </row>
    <row r="47" spans="2:23" ht="14.25" customHeight="1" x14ac:dyDescent="0.3">
      <c r="B47" s="348"/>
      <c r="C47" s="249"/>
      <c r="D47" s="211"/>
      <c r="E47" s="295"/>
      <c r="F47" s="532"/>
      <c r="G47" s="136"/>
      <c r="H47" s="533"/>
      <c r="I47" s="91"/>
      <c r="J47" s="138"/>
      <c r="K47" s="91"/>
      <c r="L47" s="136"/>
      <c r="M47" s="130"/>
      <c r="N47" s="130"/>
    </row>
    <row r="48" spans="2:23" ht="14.25" customHeight="1" x14ac:dyDescent="0.3">
      <c r="B48" s="348"/>
      <c r="C48" s="249"/>
      <c r="D48" s="211"/>
      <c r="E48" s="295"/>
      <c r="F48" s="532"/>
      <c r="G48" s="136"/>
      <c r="H48" s="533"/>
      <c r="I48" s="91"/>
      <c r="J48" s="138"/>
      <c r="K48" s="91"/>
      <c r="L48" s="136"/>
      <c r="M48" s="130"/>
      <c r="N48" s="130"/>
    </row>
    <row r="49" spans="1:14" ht="14.25" customHeight="1" x14ac:dyDescent="0.3">
      <c r="B49" s="348"/>
      <c r="C49" s="249"/>
      <c r="D49" s="211"/>
      <c r="E49" s="295"/>
      <c r="F49" s="532"/>
      <c r="G49" s="136"/>
      <c r="H49" s="533"/>
      <c r="I49" s="91"/>
      <c r="J49" s="138"/>
      <c r="K49" s="91"/>
      <c r="L49" s="136"/>
      <c r="M49" s="130"/>
      <c r="N49" s="130"/>
    </row>
    <row r="50" spans="1:14" ht="14.25" customHeight="1" x14ac:dyDescent="0.3">
      <c r="B50" s="588"/>
      <c r="C50" s="177" t="s">
        <v>237</v>
      </c>
      <c r="D50" s="177" t="s">
        <v>283</v>
      </c>
      <c r="E50" s="99"/>
      <c r="F50" s="99"/>
      <c r="G50" s="177" t="s">
        <v>284</v>
      </c>
      <c r="H50" s="177" t="s">
        <v>237</v>
      </c>
      <c r="I50" s="177" t="s">
        <v>285</v>
      </c>
      <c r="J50" s="177" t="s">
        <v>286</v>
      </c>
      <c r="K50" s="91"/>
      <c r="L50" s="136"/>
      <c r="M50" s="130"/>
      <c r="N50" s="130"/>
    </row>
    <row r="51" spans="1:14" ht="14.25" customHeight="1" x14ac:dyDescent="0.3">
      <c r="B51" s="179" t="s">
        <v>287</v>
      </c>
      <c r="C51" s="180">
        <f>10/$K$1</f>
        <v>10.204081632653061</v>
      </c>
      <c r="D51" s="181">
        <f>$C$1*10</f>
        <v>10000</v>
      </c>
      <c r="E51" s="182"/>
      <c r="F51" s="99"/>
      <c r="G51" s="179" t="s">
        <v>287</v>
      </c>
      <c r="H51" s="276">
        <f>I51/$D$5</f>
        <v>10</v>
      </c>
      <c r="I51" s="180">
        <f>J51/$R$1</f>
        <v>23113.713405238828</v>
      </c>
      <c r="J51" s="180">
        <f>$W$44</f>
        <v>13637.090909090908</v>
      </c>
      <c r="K51" s="91"/>
      <c r="L51" s="136"/>
      <c r="M51" s="130"/>
      <c r="N51" s="130"/>
    </row>
    <row r="52" spans="1:14" ht="14.25" customHeight="1" x14ac:dyDescent="0.3">
      <c r="B52" s="230" t="s">
        <v>266</v>
      </c>
      <c r="C52" s="231">
        <f>$I$1</f>
        <v>25.062271062271069</v>
      </c>
      <c r="D52" s="232">
        <f>$E$1</f>
        <v>24561.025641025648</v>
      </c>
      <c r="E52" s="99"/>
      <c r="F52" s="99"/>
      <c r="G52" s="147" t="s">
        <v>266</v>
      </c>
      <c r="H52" s="209">
        <f>I52/$D$5</f>
        <v>24.559715789516861</v>
      </c>
      <c r="I52" s="175">
        <f>J52/$R$1</f>
        <v>56766.623207301156</v>
      </c>
      <c r="J52" s="183">
        <f>$S$32</f>
        <v>33492.307692307681</v>
      </c>
      <c r="K52" s="91"/>
      <c r="L52" s="136"/>
      <c r="M52" s="130"/>
      <c r="N52" s="130"/>
    </row>
    <row r="53" spans="1:14" ht="14.25" customHeight="1" x14ac:dyDescent="0.3">
      <c r="B53" s="230" t="s">
        <v>288</v>
      </c>
      <c r="C53" s="233">
        <f>MIN(C52, C51)</f>
        <v>10.204081632653061</v>
      </c>
      <c r="D53" s="232">
        <f>(C53*$K$1)*$C$1</f>
        <v>10000</v>
      </c>
      <c r="E53" s="99"/>
      <c r="F53" s="99"/>
      <c r="G53" s="147" t="s">
        <v>288</v>
      </c>
      <c r="H53" s="186">
        <f>MIN(H52,H51)</f>
        <v>10</v>
      </c>
      <c r="I53" s="175">
        <f>J53/$R$1</f>
        <v>23113.713405238828</v>
      </c>
      <c r="J53" s="175">
        <f>MIN(J52,J51)</f>
        <v>13637.090909090908</v>
      </c>
      <c r="L53" s="296"/>
    </row>
    <row r="54" spans="1:14" ht="14.25" customHeight="1" x14ac:dyDescent="0.3">
      <c r="B54" s="230" t="s">
        <v>289</v>
      </c>
      <c r="C54" s="233">
        <f>MIN(MAX(C52-C53,0),C51)</f>
        <v>10.204081632653061</v>
      </c>
      <c r="D54" s="232">
        <f>(C54*$K$1)*$C$1</f>
        <v>10000</v>
      </c>
      <c r="E54" s="99"/>
      <c r="F54" s="99"/>
      <c r="G54" s="147" t="s">
        <v>289</v>
      </c>
      <c r="H54" s="186">
        <f>MIN(MAX(H52-H53),H51)</f>
        <v>10</v>
      </c>
      <c r="I54" s="175">
        <f>J54/$R$1</f>
        <v>23113.713405238828</v>
      </c>
      <c r="J54" s="175">
        <f>MIN(MAX(J52-J53),J51)</f>
        <v>13637.090909090908</v>
      </c>
      <c r="L54" s="296"/>
    </row>
    <row r="55" spans="1:14" ht="14.25" customHeight="1" x14ac:dyDescent="0.3">
      <c r="B55" s="230" t="s">
        <v>290</v>
      </c>
      <c r="C55" s="233">
        <f>MIN(MAX(C52-C53-C54,0),C51)</f>
        <v>4.6541077969649471</v>
      </c>
      <c r="D55" s="232">
        <f>(C55*$K$1)*$C$1</f>
        <v>4561.0256410256488</v>
      </c>
      <c r="E55" s="99"/>
      <c r="F55" s="99"/>
      <c r="G55" s="144" t="s">
        <v>290</v>
      </c>
      <c r="H55" s="186">
        <f>MIN(MAX(H52-H53-H54),H51)</f>
        <v>4.5597157895168614</v>
      </c>
      <c r="I55" s="175">
        <f>J55/$R$1</f>
        <v>10539.1963968235</v>
      </c>
      <c r="J55" s="175">
        <f>MIN(MAX(J52-J53-J54),J51)</f>
        <v>6218.1258741258644</v>
      </c>
    </row>
    <row r="56" spans="1:14" ht="14.25" customHeight="1" x14ac:dyDescent="0.3"/>
    <row r="57" spans="1:14" ht="14.25" customHeight="1" x14ac:dyDescent="0.3"/>
    <row r="58" spans="1:14" ht="18" customHeight="1" x14ac:dyDescent="0.3"/>
    <row r="59" spans="1:14" ht="18" customHeight="1" x14ac:dyDescent="0.3">
      <c r="B59" s="589"/>
      <c r="C59" s="318"/>
      <c r="D59" s="388"/>
      <c r="E59" s="99"/>
      <c r="F59" s="99"/>
    </row>
    <row r="60" spans="1:14" ht="14.25" customHeight="1" x14ac:dyDescent="0.3">
      <c r="B60" s="589"/>
      <c r="C60" s="318"/>
      <c r="D60" s="388"/>
      <c r="E60" s="99"/>
      <c r="F60" s="99"/>
    </row>
    <row r="62" spans="1:14" ht="17.75" customHeight="1" x14ac:dyDescent="0.3">
      <c r="A62" s="922"/>
      <c r="B62" s="1438" t="str">
        <f>"دجاج بالزنجبيل   1 / " &amp; COUNTIF($C$53:$C$55, "&gt;0")</f>
        <v>دجاج بالزنجبيل   1 / 3</v>
      </c>
      <c r="C62" s="1439"/>
      <c r="D62" s="1439"/>
      <c r="E62" s="1439"/>
      <c r="F62" s="1439"/>
      <c r="G62" s="1439"/>
      <c r="H62" s="1439"/>
    </row>
    <row r="63" spans="1:14" ht="17.75" customHeight="1" x14ac:dyDescent="0.3">
      <c r="A63" s="922"/>
      <c r="B63" s="1436" t="str">
        <f>"Ginger Chicken  1 / " &amp; COUNTIF($C$53:$C$55, "&gt;0")</f>
        <v>Ginger Chicken  1 / 3</v>
      </c>
      <c r="C63" s="1437"/>
      <c r="D63" s="1437"/>
      <c r="E63" s="1437"/>
      <c r="F63" s="1437"/>
      <c r="G63" s="1437"/>
      <c r="H63" s="1437"/>
    </row>
    <row r="64" spans="1:14" ht="36" customHeight="1" x14ac:dyDescent="0.25">
      <c r="A64" s="590"/>
      <c r="B64" s="591" t="s">
        <v>245</v>
      </c>
      <c r="C64" s="243" t="s">
        <v>246</v>
      </c>
      <c r="D64" s="244" t="s">
        <v>235</v>
      </c>
      <c r="E64" s="217" t="s">
        <v>238</v>
      </c>
      <c r="F64" s="217" t="s">
        <v>247</v>
      </c>
      <c r="G64" s="244" t="s">
        <v>248</v>
      </c>
      <c r="H64" s="217" t="s">
        <v>249</v>
      </c>
    </row>
    <row r="65" spans="1:8" ht="14.25" customHeight="1" x14ac:dyDescent="0.3">
      <c r="A65" s="127" t="s">
        <v>225</v>
      </c>
      <c r="B65" s="266" t="str">
        <f t="shared" ref="B65:D84" si="14">B5</f>
        <v>Chicken - دجاج</v>
      </c>
      <c r="C65" s="271" t="str">
        <f t="shared" si="14"/>
        <v>gm</v>
      </c>
      <c r="D65" s="592">
        <f t="shared" si="14"/>
        <v>2311.3713405238827</v>
      </c>
      <c r="E65" s="432">
        <f>H53</f>
        <v>10</v>
      </c>
      <c r="F65" s="298">
        <f t="shared" ref="F65:F84" si="15">F5</f>
        <v>1</v>
      </c>
      <c r="G65" s="118">
        <f t="shared" ref="G65:G83" si="16">D65*E65</f>
        <v>23113.713405238828</v>
      </c>
      <c r="H65" s="206">
        <f t="shared" ref="H65:H83" si="17">G65*F65</f>
        <v>23113.713405238828</v>
      </c>
    </row>
    <row r="66" spans="1:8" ht="14.25" customHeight="1" x14ac:dyDescent="0.3">
      <c r="A66" s="127" t="s">
        <v>13</v>
      </c>
      <c r="B66" s="266" t="str">
        <f t="shared" si="14"/>
        <v>Onion - بصل</v>
      </c>
      <c r="C66" s="271" t="str">
        <f t="shared" si="14"/>
        <v>gm</v>
      </c>
      <c r="D66" s="271">
        <f t="shared" si="14"/>
        <v>150</v>
      </c>
      <c r="E66" s="432">
        <f t="shared" ref="E66:E84" si="18">$C$53</f>
        <v>10.204081632653061</v>
      </c>
      <c r="F66" s="298">
        <f t="shared" si="15"/>
        <v>0.95</v>
      </c>
      <c r="G66" s="118">
        <f t="shared" si="16"/>
        <v>1530.612244897959</v>
      </c>
      <c r="H66" s="206">
        <f t="shared" si="17"/>
        <v>1454.081632653061</v>
      </c>
    </row>
    <row r="67" spans="1:8" ht="14.25" customHeight="1" x14ac:dyDescent="0.3">
      <c r="A67" s="127" t="s">
        <v>13</v>
      </c>
      <c r="B67" s="266" t="str">
        <f t="shared" si="14"/>
        <v>Tomato - طماطم</v>
      </c>
      <c r="C67" s="271" t="str">
        <f t="shared" si="14"/>
        <v>gm</v>
      </c>
      <c r="D67" s="271">
        <f t="shared" si="14"/>
        <v>450</v>
      </c>
      <c r="E67" s="432">
        <f t="shared" si="18"/>
        <v>10.204081632653061</v>
      </c>
      <c r="F67" s="298">
        <f t="shared" si="15"/>
        <v>1</v>
      </c>
      <c r="G67" s="118">
        <f t="shared" si="16"/>
        <v>4591.8367346938776</v>
      </c>
      <c r="H67" s="206">
        <f t="shared" si="17"/>
        <v>4591.8367346938776</v>
      </c>
    </row>
    <row r="68" spans="1:8" ht="14.25" customHeight="1" x14ac:dyDescent="0.3">
      <c r="A68" s="127" t="s">
        <v>56</v>
      </c>
      <c r="B68" s="266" t="str">
        <f t="shared" si="14"/>
        <v>Ginger - زنجبيل</v>
      </c>
      <c r="C68" s="271" t="str">
        <f t="shared" si="14"/>
        <v>gm</v>
      </c>
      <c r="D68" s="271">
        <f t="shared" si="14"/>
        <v>25</v>
      </c>
      <c r="E68" s="432">
        <f t="shared" si="18"/>
        <v>10.204081632653061</v>
      </c>
      <c r="F68" s="298">
        <f t="shared" si="15"/>
        <v>0.9</v>
      </c>
      <c r="G68" s="118">
        <f t="shared" si="16"/>
        <v>255.10204081632654</v>
      </c>
      <c r="H68" s="206">
        <f t="shared" si="17"/>
        <v>229.59183673469389</v>
      </c>
    </row>
    <row r="69" spans="1:8" ht="14.25" customHeight="1" x14ac:dyDescent="0.3">
      <c r="A69" s="127" t="s">
        <v>13</v>
      </c>
      <c r="B69" s="266" t="str">
        <f t="shared" si="14"/>
        <v>Garlic - ثوم مقشر</v>
      </c>
      <c r="C69" s="271" t="str">
        <f t="shared" si="14"/>
        <v>gm</v>
      </c>
      <c r="D69" s="271">
        <f t="shared" si="14"/>
        <v>25</v>
      </c>
      <c r="E69" s="432">
        <f t="shared" si="18"/>
        <v>10.204081632653061</v>
      </c>
      <c r="F69" s="298">
        <f t="shared" si="15"/>
        <v>0.9</v>
      </c>
      <c r="G69" s="118">
        <f t="shared" si="16"/>
        <v>255.10204081632654</v>
      </c>
      <c r="H69" s="206">
        <f t="shared" si="17"/>
        <v>229.59183673469389</v>
      </c>
    </row>
    <row r="70" spans="1:8" ht="14.25" customHeight="1" x14ac:dyDescent="0.3">
      <c r="A70" s="127" t="s">
        <v>13</v>
      </c>
      <c r="B70" s="266" t="str">
        <f t="shared" si="14"/>
        <v>Green Chilli Pepper - فلفل أخضر حار</v>
      </c>
      <c r="C70" s="271" t="str">
        <f t="shared" si="14"/>
        <v>gm</v>
      </c>
      <c r="D70" s="271">
        <f t="shared" si="14"/>
        <v>5</v>
      </c>
      <c r="E70" s="432">
        <f t="shared" si="18"/>
        <v>10.204081632653061</v>
      </c>
      <c r="F70" s="298">
        <f t="shared" si="15"/>
        <v>0.75</v>
      </c>
      <c r="G70" s="118">
        <f t="shared" si="16"/>
        <v>51.020408163265301</v>
      </c>
      <c r="H70" s="206">
        <f t="shared" si="17"/>
        <v>38.265306122448976</v>
      </c>
    </row>
    <row r="71" spans="1:8" ht="14.25" customHeight="1" x14ac:dyDescent="0.3">
      <c r="A71" s="127" t="s">
        <v>95</v>
      </c>
      <c r="B71" s="266" t="str">
        <f t="shared" si="14"/>
        <v>Cumin Powder - كمون مطحون</v>
      </c>
      <c r="C71" s="271" t="str">
        <f t="shared" si="14"/>
        <v>gm</v>
      </c>
      <c r="D71" s="271">
        <f t="shared" si="14"/>
        <v>5</v>
      </c>
      <c r="E71" s="432">
        <f t="shared" si="18"/>
        <v>10.204081632653061</v>
      </c>
      <c r="F71" s="298">
        <f t="shared" si="15"/>
        <v>1</v>
      </c>
      <c r="G71" s="118">
        <f t="shared" si="16"/>
        <v>51.020408163265301</v>
      </c>
      <c r="H71" s="206">
        <f t="shared" si="17"/>
        <v>51.020408163265301</v>
      </c>
    </row>
    <row r="72" spans="1:8" ht="14.25" customHeight="1" x14ac:dyDescent="0.3">
      <c r="A72" s="127" t="s">
        <v>95</v>
      </c>
      <c r="B72" s="266" t="str">
        <f t="shared" si="14"/>
        <v>Red Chilli Powder - شطة حمراء مطحونة</v>
      </c>
      <c r="C72" s="271" t="str">
        <f t="shared" si="14"/>
        <v>gm</v>
      </c>
      <c r="D72" s="271">
        <f t="shared" si="14"/>
        <v>3</v>
      </c>
      <c r="E72" s="432">
        <f t="shared" si="18"/>
        <v>10.204081632653061</v>
      </c>
      <c r="F72" s="298">
        <f t="shared" si="15"/>
        <v>0.75</v>
      </c>
      <c r="G72" s="118">
        <f t="shared" si="16"/>
        <v>30.612244897959183</v>
      </c>
      <c r="H72" s="206">
        <f t="shared" si="17"/>
        <v>22.959183673469386</v>
      </c>
    </row>
    <row r="73" spans="1:8" ht="14.25" customHeight="1" x14ac:dyDescent="0.3">
      <c r="A73" s="127" t="s">
        <v>95</v>
      </c>
      <c r="B73" s="266" t="str">
        <f t="shared" si="14"/>
        <v>Maggi Cubes - مكعبات ماجي</v>
      </c>
      <c r="C73" s="271" t="str">
        <f t="shared" si="14"/>
        <v>gm</v>
      </c>
      <c r="D73" s="271">
        <f t="shared" si="14"/>
        <v>7</v>
      </c>
      <c r="E73" s="432">
        <f t="shared" si="18"/>
        <v>10.204081632653061</v>
      </c>
      <c r="F73" s="298">
        <f t="shared" si="15"/>
        <v>0.75</v>
      </c>
      <c r="G73" s="118">
        <f t="shared" si="16"/>
        <v>71.428571428571431</v>
      </c>
      <c r="H73" s="206">
        <f t="shared" si="17"/>
        <v>53.571428571428569</v>
      </c>
    </row>
    <row r="74" spans="1:8" ht="14.25" customHeight="1" x14ac:dyDescent="0.3">
      <c r="A74" s="127" t="s">
        <v>95</v>
      </c>
      <c r="B74" s="266" t="str">
        <f t="shared" si="14"/>
        <v>Kasuri Methi - ورق حلبة مجففة</v>
      </c>
      <c r="C74" s="271" t="str">
        <f t="shared" si="14"/>
        <v>gm</v>
      </c>
      <c r="D74" s="271">
        <f t="shared" si="14"/>
        <v>1</v>
      </c>
      <c r="E74" s="432">
        <f t="shared" si="18"/>
        <v>10.204081632653061</v>
      </c>
      <c r="F74" s="298">
        <f t="shared" si="15"/>
        <v>0.75</v>
      </c>
      <c r="G74" s="118">
        <f t="shared" si="16"/>
        <v>10.204081632653061</v>
      </c>
      <c r="H74" s="206">
        <f t="shared" si="17"/>
        <v>7.6530612244897958</v>
      </c>
    </row>
    <row r="75" spans="1:8" ht="14.25" customHeight="1" x14ac:dyDescent="0.3">
      <c r="A75" s="127" t="s">
        <v>154</v>
      </c>
      <c r="B75" s="266" t="str">
        <f t="shared" si="14"/>
        <v>Cooking Cream - كريمة طبخ</v>
      </c>
      <c r="C75" s="271" t="str">
        <f t="shared" si="14"/>
        <v>ml</v>
      </c>
      <c r="D75" s="271">
        <f t="shared" si="14"/>
        <v>300</v>
      </c>
      <c r="E75" s="432">
        <f t="shared" si="18"/>
        <v>10.204081632653061</v>
      </c>
      <c r="F75" s="298">
        <f t="shared" si="15"/>
        <v>1</v>
      </c>
      <c r="G75" s="118">
        <f t="shared" si="16"/>
        <v>3061.2244897959181</v>
      </c>
      <c r="H75" s="206">
        <f t="shared" si="17"/>
        <v>3061.2244897959181</v>
      </c>
    </row>
    <row r="76" spans="1:8" ht="14.25" customHeight="1" x14ac:dyDescent="0.3">
      <c r="A76" s="127" t="s">
        <v>206</v>
      </c>
      <c r="B76" s="266" t="str">
        <f t="shared" si="14"/>
        <v>Water - ماء</v>
      </c>
      <c r="C76" s="271" t="str">
        <f t="shared" si="14"/>
        <v>ml</v>
      </c>
      <c r="D76" s="271">
        <f t="shared" si="14"/>
        <v>100</v>
      </c>
      <c r="E76" s="432">
        <f t="shared" si="18"/>
        <v>10.204081632653061</v>
      </c>
      <c r="F76" s="298">
        <f t="shared" si="15"/>
        <v>1</v>
      </c>
      <c r="G76" s="118">
        <f t="shared" si="16"/>
        <v>1020.4081632653061</v>
      </c>
      <c r="H76" s="206">
        <f t="shared" si="17"/>
        <v>1020.4081632653061</v>
      </c>
    </row>
    <row r="77" spans="1:8" ht="14.25" customHeight="1" x14ac:dyDescent="0.3">
      <c r="A77" s="127" t="s">
        <v>95</v>
      </c>
      <c r="B77" s="266" t="str">
        <f t="shared" si="14"/>
        <v>Coriander Powder - كزبرة مطحونة</v>
      </c>
      <c r="C77" s="271" t="str">
        <f t="shared" si="14"/>
        <v>gm</v>
      </c>
      <c r="D77" s="271">
        <f t="shared" si="14"/>
        <v>5</v>
      </c>
      <c r="E77" s="432">
        <f t="shared" si="18"/>
        <v>10.204081632653061</v>
      </c>
      <c r="F77" s="298">
        <f t="shared" si="15"/>
        <v>1</v>
      </c>
      <c r="G77" s="118">
        <f t="shared" si="16"/>
        <v>51.020408163265301</v>
      </c>
      <c r="H77" s="206">
        <f t="shared" si="17"/>
        <v>51.020408163265301</v>
      </c>
    </row>
    <row r="78" spans="1:8" ht="14.25" customHeight="1" x14ac:dyDescent="0.3">
      <c r="A78" s="127" t="s">
        <v>215</v>
      </c>
      <c r="B78" s="266" t="str">
        <f t="shared" si="14"/>
        <v>Saffron yellow color powder - لون صفار زعفران بودر</v>
      </c>
      <c r="C78" s="271" t="str">
        <f t="shared" si="14"/>
        <v>gm</v>
      </c>
      <c r="D78" s="271">
        <f t="shared" si="14"/>
        <v>1</v>
      </c>
      <c r="E78" s="432">
        <f t="shared" si="18"/>
        <v>10.204081632653061</v>
      </c>
      <c r="F78" s="298">
        <f t="shared" si="15"/>
        <v>1</v>
      </c>
      <c r="G78" s="118">
        <f t="shared" si="16"/>
        <v>10.204081632653061</v>
      </c>
      <c r="H78" s="206">
        <f t="shared" si="17"/>
        <v>10.204081632653061</v>
      </c>
    </row>
    <row r="79" spans="1:8" ht="14.25" customHeight="1" x14ac:dyDescent="0.3">
      <c r="A79" s="127" t="s">
        <v>95</v>
      </c>
      <c r="B79" s="266" t="str">
        <f t="shared" si="14"/>
        <v>Salt - ملح</v>
      </c>
      <c r="C79" s="271" t="str">
        <f t="shared" si="14"/>
        <v>gm</v>
      </c>
      <c r="D79" s="271">
        <f t="shared" si="14"/>
        <v>5</v>
      </c>
      <c r="E79" s="432">
        <f t="shared" si="18"/>
        <v>10.204081632653061</v>
      </c>
      <c r="F79" s="298">
        <f t="shared" si="15"/>
        <v>0.75</v>
      </c>
      <c r="G79" s="118">
        <f t="shared" si="16"/>
        <v>51.020408163265301</v>
      </c>
      <c r="H79" s="206">
        <f t="shared" si="17"/>
        <v>38.265306122448976</v>
      </c>
    </row>
    <row r="80" spans="1:8" ht="14.25" customHeight="1" x14ac:dyDescent="0.3">
      <c r="A80" s="127" t="s">
        <v>154</v>
      </c>
      <c r="B80" s="266" t="str">
        <f t="shared" si="14"/>
        <v>Butter - زبدة</v>
      </c>
      <c r="C80" s="271" t="str">
        <f t="shared" si="14"/>
        <v>gm</v>
      </c>
      <c r="D80" s="271">
        <f t="shared" si="14"/>
        <v>40</v>
      </c>
      <c r="E80" s="432">
        <f t="shared" si="18"/>
        <v>10.204081632653061</v>
      </c>
      <c r="F80" s="298">
        <f t="shared" si="15"/>
        <v>1</v>
      </c>
      <c r="G80" s="118">
        <f t="shared" si="16"/>
        <v>408.16326530612241</v>
      </c>
      <c r="H80" s="206">
        <f t="shared" si="17"/>
        <v>408.16326530612241</v>
      </c>
    </row>
    <row r="81" spans="1:8" ht="14.25" customHeight="1" x14ac:dyDescent="0.3">
      <c r="A81" s="127" t="s">
        <v>192</v>
      </c>
      <c r="B81" s="266" t="str">
        <f t="shared" si="14"/>
        <v>Tomato Paste - صلصة طماطم</v>
      </c>
      <c r="C81" s="271" t="str">
        <f t="shared" si="14"/>
        <v>gm</v>
      </c>
      <c r="D81" s="271">
        <f t="shared" si="14"/>
        <v>20</v>
      </c>
      <c r="E81" s="432">
        <f t="shared" si="18"/>
        <v>10.204081632653061</v>
      </c>
      <c r="F81" s="298">
        <f t="shared" si="15"/>
        <v>1</v>
      </c>
      <c r="G81" s="118">
        <f t="shared" si="16"/>
        <v>204.08163265306121</v>
      </c>
      <c r="H81" s="206">
        <f t="shared" si="17"/>
        <v>204.08163265306121</v>
      </c>
    </row>
    <row r="82" spans="1:8" ht="14.25" customHeight="1" x14ac:dyDescent="0.3">
      <c r="A82" s="127" t="s">
        <v>154</v>
      </c>
      <c r="B82" s="266" t="str">
        <f t="shared" si="14"/>
        <v>Yogurt - زبادي</v>
      </c>
      <c r="C82" s="271" t="str">
        <f t="shared" si="14"/>
        <v>gm</v>
      </c>
      <c r="D82" s="271">
        <f t="shared" si="14"/>
        <v>100</v>
      </c>
      <c r="E82" s="432">
        <f t="shared" si="18"/>
        <v>10.204081632653061</v>
      </c>
      <c r="F82" s="298">
        <f t="shared" si="15"/>
        <v>1</v>
      </c>
      <c r="G82" s="118">
        <f t="shared" si="16"/>
        <v>1020.4081632653061</v>
      </c>
      <c r="H82" s="206">
        <f t="shared" si="17"/>
        <v>1020.4081632653061</v>
      </c>
    </row>
    <row r="83" spans="1:8" ht="14.25" customHeight="1" x14ac:dyDescent="0.3">
      <c r="A83" s="127" t="s">
        <v>95</v>
      </c>
      <c r="B83" s="266" t="str">
        <f t="shared" si="14"/>
        <v>Turmeric - كركم</v>
      </c>
      <c r="C83" s="271" t="str">
        <f t="shared" si="14"/>
        <v>gm</v>
      </c>
      <c r="D83" s="271">
        <f t="shared" si="14"/>
        <v>5</v>
      </c>
      <c r="E83" s="432">
        <f t="shared" si="18"/>
        <v>10.204081632653061</v>
      </c>
      <c r="F83" s="298">
        <f t="shared" si="15"/>
        <v>0.75</v>
      </c>
      <c r="G83" s="118">
        <f t="shared" si="16"/>
        <v>51.020408163265301</v>
      </c>
      <c r="H83" s="206">
        <f t="shared" si="17"/>
        <v>38.265306122448976</v>
      </c>
    </row>
    <row r="84" spans="1:8" ht="20.25" customHeight="1" x14ac:dyDescent="0.3">
      <c r="B84" s="266" t="str">
        <f t="shared" si="14"/>
        <v>Corn Starch - نشا ذرة</v>
      </c>
      <c r="C84" s="271" t="str">
        <f t="shared" si="14"/>
        <v>gm</v>
      </c>
      <c r="D84" s="271">
        <f t="shared" si="14"/>
        <v>20</v>
      </c>
      <c r="E84" s="432">
        <f t="shared" si="18"/>
        <v>10.204081632653061</v>
      </c>
      <c r="F84" s="298">
        <f t="shared" si="15"/>
        <v>1</v>
      </c>
      <c r="G84" s="118">
        <f t="shared" ref="G84" si="19">D84*E84</f>
        <v>204.08163265306121</v>
      </c>
      <c r="H84" s="206">
        <f t="shared" ref="H84" si="20">G84*F84</f>
        <v>204.08163265306121</v>
      </c>
    </row>
    <row r="85" spans="1:8" ht="20.25" customHeight="1" x14ac:dyDescent="0.3">
      <c r="A85" s="210"/>
      <c r="B85" s="197" t="s">
        <v>291</v>
      </c>
      <c r="C85" s="199" t="s">
        <v>277</v>
      </c>
      <c r="E85" s="199" t="s">
        <v>292</v>
      </c>
      <c r="G85" s="878" t="s">
        <v>268</v>
      </c>
      <c r="H85" s="878" t="s">
        <v>703</v>
      </c>
    </row>
    <row r="86" spans="1:8" ht="14.25" customHeight="1" x14ac:dyDescent="0.4">
      <c r="A86" s="210"/>
      <c r="B86" s="198">
        <f>$J$53</f>
        <v>13637.090909090908</v>
      </c>
      <c r="C86" s="198">
        <f>E86+G86</f>
        <v>10000</v>
      </c>
      <c r="D86" s="915"/>
      <c r="E86" s="198">
        <f>$D$53*$S$44</f>
        <v>4090.909090909091</v>
      </c>
      <c r="F86" s="919"/>
      <c r="G86" s="198">
        <f>$D$53*$T$44</f>
        <v>5909.090909090909</v>
      </c>
      <c r="H86" s="198">
        <f>B86+E86</f>
        <v>17728</v>
      </c>
    </row>
    <row r="87" spans="1:8" ht="17.75" customHeight="1" x14ac:dyDescent="0.3">
      <c r="B87" s="99"/>
      <c r="C87" s="207"/>
      <c r="D87" s="208"/>
      <c r="E87" s="99"/>
      <c r="F87" s="99"/>
    </row>
    <row r="88" spans="1:8" ht="17.75" customHeight="1" x14ac:dyDescent="0.3">
      <c r="A88" s="922"/>
      <c r="B88" s="1438" t="str">
        <f>"دجاج بالزنجبيل   2 / " &amp; COUNTIF($C$53:$C$55, "&gt;0")</f>
        <v>دجاج بالزنجبيل   2 / 3</v>
      </c>
      <c r="C88" s="1439"/>
      <c r="D88" s="1439"/>
      <c r="E88" s="1439"/>
      <c r="F88" s="1439"/>
      <c r="G88" s="1439"/>
      <c r="H88" s="1439"/>
    </row>
    <row r="89" spans="1:8" ht="41" customHeight="1" x14ac:dyDescent="0.3">
      <c r="A89" s="922"/>
      <c r="B89" s="1436" t="str">
        <f>"Ginger Chicken  2 / " &amp; COUNTIF($C$53:$C$55, "&gt;0")</f>
        <v>Ginger Chicken  2 / 3</v>
      </c>
      <c r="C89" s="1437"/>
      <c r="D89" s="1437"/>
      <c r="E89" s="1437"/>
      <c r="F89" s="1437"/>
      <c r="G89" s="1437"/>
      <c r="H89" s="1437"/>
    </row>
    <row r="90" spans="1:8" ht="32" customHeight="1" x14ac:dyDescent="0.25">
      <c r="A90" s="590"/>
      <c r="B90" s="591" t="s">
        <v>245</v>
      </c>
      <c r="C90" s="243" t="s">
        <v>246</v>
      </c>
      <c r="D90" s="244" t="s">
        <v>235</v>
      </c>
      <c r="E90" s="217" t="s">
        <v>238</v>
      </c>
      <c r="F90" s="217" t="s">
        <v>247</v>
      </c>
      <c r="G90" s="244" t="s">
        <v>248</v>
      </c>
      <c r="H90" s="217" t="s">
        <v>249</v>
      </c>
    </row>
    <row r="91" spans="1:8" ht="14.25" customHeight="1" x14ac:dyDescent="0.3">
      <c r="A91" s="127" t="s">
        <v>225</v>
      </c>
      <c r="B91" s="271" t="str">
        <f t="shared" ref="B91:D110" si="21">B5</f>
        <v>Chicken - دجاج</v>
      </c>
      <c r="C91" s="271" t="str">
        <f t="shared" si="21"/>
        <v>gm</v>
      </c>
      <c r="D91" s="592">
        <f t="shared" si="21"/>
        <v>2311.3713405238827</v>
      </c>
      <c r="E91" s="196">
        <f>H54</f>
        <v>10</v>
      </c>
      <c r="F91" s="298">
        <f t="shared" ref="F91:F110" si="22">F5</f>
        <v>1</v>
      </c>
      <c r="G91" s="118">
        <f t="shared" ref="G91:G109" si="23">D91*E91</f>
        <v>23113.713405238828</v>
      </c>
      <c r="H91" s="206">
        <f t="shared" ref="H91:H109" si="24">G91*F91</f>
        <v>23113.713405238828</v>
      </c>
    </row>
    <row r="92" spans="1:8" ht="14.25" customHeight="1" x14ac:dyDescent="0.3">
      <c r="A92" s="127" t="s">
        <v>13</v>
      </c>
      <c r="B92" s="271" t="str">
        <f t="shared" si="21"/>
        <v>Onion - بصل</v>
      </c>
      <c r="C92" s="271" t="str">
        <f t="shared" si="21"/>
        <v>gm</v>
      </c>
      <c r="D92" s="271">
        <f t="shared" si="21"/>
        <v>150</v>
      </c>
      <c r="E92" s="196">
        <f t="shared" ref="E92:E110" si="25">$C$54</f>
        <v>10.204081632653061</v>
      </c>
      <c r="F92" s="298">
        <f t="shared" si="22"/>
        <v>0.95</v>
      </c>
      <c r="G92" s="118">
        <f t="shared" si="23"/>
        <v>1530.612244897959</v>
      </c>
      <c r="H92" s="206">
        <f t="shared" si="24"/>
        <v>1454.081632653061</v>
      </c>
    </row>
    <row r="93" spans="1:8" ht="14.25" customHeight="1" x14ac:dyDescent="0.3">
      <c r="A93" s="127" t="s">
        <v>13</v>
      </c>
      <c r="B93" s="271" t="str">
        <f t="shared" si="21"/>
        <v>Tomato - طماطم</v>
      </c>
      <c r="C93" s="271" t="str">
        <f t="shared" si="21"/>
        <v>gm</v>
      </c>
      <c r="D93" s="271">
        <f t="shared" si="21"/>
        <v>450</v>
      </c>
      <c r="E93" s="196">
        <f t="shared" si="25"/>
        <v>10.204081632653061</v>
      </c>
      <c r="F93" s="298">
        <f t="shared" si="22"/>
        <v>1</v>
      </c>
      <c r="G93" s="118">
        <f t="shared" si="23"/>
        <v>4591.8367346938776</v>
      </c>
      <c r="H93" s="206">
        <f t="shared" si="24"/>
        <v>4591.8367346938776</v>
      </c>
    </row>
    <row r="94" spans="1:8" ht="14.25" customHeight="1" x14ac:dyDescent="0.3">
      <c r="A94" s="127" t="s">
        <v>56</v>
      </c>
      <c r="B94" s="271" t="str">
        <f t="shared" si="21"/>
        <v>Ginger - زنجبيل</v>
      </c>
      <c r="C94" s="271" t="str">
        <f t="shared" si="21"/>
        <v>gm</v>
      </c>
      <c r="D94" s="271">
        <f t="shared" si="21"/>
        <v>25</v>
      </c>
      <c r="E94" s="196">
        <f t="shared" si="25"/>
        <v>10.204081632653061</v>
      </c>
      <c r="F94" s="298">
        <f t="shared" si="22"/>
        <v>0.9</v>
      </c>
      <c r="G94" s="118">
        <f t="shared" si="23"/>
        <v>255.10204081632654</v>
      </c>
      <c r="H94" s="206">
        <f t="shared" si="24"/>
        <v>229.59183673469389</v>
      </c>
    </row>
    <row r="95" spans="1:8" ht="14.25" customHeight="1" x14ac:dyDescent="0.3">
      <c r="A95" s="127" t="s">
        <v>13</v>
      </c>
      <c r="B95" s="271" t="str">
        <f t="shared" si="21"/>
        <v>Garlic - ثوم مقشر</v>
      </c>
      <c r="C95" s="271" t="str">
        <f t="shared" si="21"/>
        <v>gm</v>
      </c>
      <c r="D95" s="271">
        <f t="shared" si="21"/>
        <v>25</v>
      </c>
      <c r="E95" s="196">
        <f t="shared" si="25"/>
        <v>10.204081632653061</v>
      </c>
      <c r="F95" s="298">
        <f t="shared" si="22"/>
        <v>0.9</v>
      </c>
      <c r="G95" s="118">
        <f t="shared" si="23"/>
        <v>255.10204081632654</v>
      </c>
      <c r="H95" s="206">
        <f t="shared" si="24"/>
        <v>229.59183673469389</v>
      </c>
    </row>
    <row r="96" spans="1:8" ht="14.25" customHeight="1" x14ac:dyDescent="0.3">
      <c r="A96" s="127" t="s">
        <v>13</v>
      </c>
      <c r="B96" s="271" t="str">
        <f t="shared" si="21"/>
        <v>Green Chilli Pepper - فلفل أخضر حار</v>
      </c>
      <c r="C96" s="271" t="str">
        <f t="shared" si="21"/>
        <v>gm</v>
      </c>
      <c r="D96" s="271">
        <f t="shared" si="21"/>
        <v>5</v>
      </c>
      <c r="E96" s="196">
        <f t="shared" si="25"/>
        <v>10.204081632653061</v>
      </c>
      <c r="F96" s="298">
        <f t="shared" si="22"/>
        <v>0.75</v>
      </c>
      <c r="G96" s="118">
        <f t="shared" si="23"/>
        <v>51.020408163265301</v>
      </c>
      <c r="H96" s="206">
        <f t="shared" si="24"/>
        <v>38.265306122448976</v>
      </c>
    </row>
    <row r="97" spans="1:8" ht="14.25" customHeight="1" x14ac:dyDescent="0.3">
      <c r="A97" s="127" t="s">
        <v>95</v>
      </c>
      <c r="B97" s="271" t="str">
        <f t="shared" si="21"/>
        <v>Cumin Powder - كمون مطحون</v>
      </c>
      <c r="C97" s="271" t="str">
        <f t="shared" si="21"/>
        <v>gm</v>
      </c>
      <c r="D97" s="271">
        <f t="shared" si="21"/>
        <v>5</v>
      </c>
      <c r="E97" s="196">
        <f t="shared" si="25"/>
        <v>10.204081632653061</v>
      </c>
      <c r="F97" s="298">
        <f t="shared" si="22"/>
        <v>1</v>
      </c>
      <c r="G97" s="118">
        <f t="shared" si="23"/>
        <v>51.020408163265301</v>
      </c>
      <c r="H97" s="206">
        <f t="shared" si="24"/>
        <v>51.020408163265301</v>
      </c>
    </row>
    <row r="98" spans="1:8" ht="14.25" customHeight="1" x14ac:dyDescent="0.3">
      <c r="A98" s="127" t="s">
        <v>95</v>
      </c>
      <c r="B98" s="271" t="str">
        <f t="shared" si="21"/>
        <v>Red Chilli Powder - شطة حمراء مطحونة</v>
      </c>
      <c r="C98" s="271" t="str">
        <f t="shared" si="21"/>
        <v>gm</v>
      </c>
      <c r="D98" s="271">
        <f t="shared" si="21"/>
        <v>3</v>
      </c>
      <c r="E98" s="196">
        <f t="shared" si="25"/>
        <v>10.204081632653061</v>
      </c>
      <c r="F98" s="298">
        <f t="shared" si="22"/>
        <v>0.75</v>
      </c>
      <c r="G98" s="118">
        <f t="shared" si="23"/>
        <v>30.612244897959183</v>
      </c>
      <c r="H98" s="206">
        <f t="shared" si="24"/>
        <v>22.959183673469386</v>
      </c>
    </row>
    <row r="99" spans="1:8" ht="14.25" customHeight="1" x14ac:dyDescent="0.3">
      <c r="A99" s="127" t="s">
        <v>95</v>
      </c>
      <c r="B99" s="271" t="str">
        <f t="shared" si="21"/>
        <v>Maggi Cubes - مكعبات ماجي</v>
      </c>
      <c r="C99" s="271" t="str">
        <f t="shared" si="21"/>
        <v>gm</v>
      </c>
      <c r="D99" s="271">
        <f t="shared" si="21"/>
        <v>7</v>
      </c>
      <c r="E99" s="196">
        <f t="shared" si="25"/>
        <v>10.204081632653061</v>
      </c>
      <c r="F99" s="298">
        <f t="shared" si="22"/>
        <v>0.75</v>
      </c>
      <c r="G99" s="118">
        <f t="shared" si="23"/>
        <v>71.428571428571431</v>
      </c>
      <c r="H99" s="206">
        <f t="shared" si="24"/>
        <v>53.571428571428569</v>
      </c>
    </row>
    <row r="100" spans="1:8" ht="14.25" customHeight="1" x14ac:dyDescent="0.3">
      <c r="A100" s="127" t="s">
        <v>95</v>
      </c>
      <c r="B100" s="271" t="str">
        <f t="shared" si="21"/>
        <v>Kasuri Methi - ورق حلبة مجففة</v>
      </c>
      <c r="C100" s="271" t="str">
        <f t="shared" si="21"/>
        <v>gm</v>
      </c>
      <c r="D100" s="271">
        <f t="shared" si="21"/>
        <v>1</v>
      </c>
      <c r="E100" s="196">
        <f t="shared" si="25"/>
        <v>10.204081632653061</v>
      </c>
      <c r="F100" s="298">
        <f t="shared" si="22"/>
        <v>0.75</v>
      </c>
      <c r="G100" s="118">
        <f t="shared" si="23"/>
        <v>10.204081632653061</v>
      </c>
      <c r="H100" s="206">
        <f t="shared" si="24"/>
        <v>7.6530612244897958</v>
      </c>
    </row>
    <row r="101" spans="1:8" ht="14.25" customHeight="1" x14ac:dyDescent="0.3">
      <c r="A101" s="127" t="s">
        <v>154</v>
      </c>
      <c r="B101" s="271" t="str">
        <f t="shared" si="21"/>
        <v>Cooking Cream - كريمة طبخ</v>
      </c>
      <c r="C101" s="271" t="str">
        <f t="shared" si="21"/>
        <v>ml</v>
      </c>
      <c r="D101" s="271">
        <f t="shared" si="21"/>
        <v>300</v>
      </c>
      <c r="E101" s="196">
        <f t="shared" si="25"/>
        <v>10.204081632653061</v>
      </c>
      <c r="F101" s="298">
        <f t="shared" si="22"/>
        <v>1</v>
      </c>
      <c r="G101" s="118">
        <f t="shared" si="23"/>
        <v>3061.2244897959181</v>
      </c>
      <c r="H101" s="206">
        <f t="shared" si="24"/>
        <v>3061.2244897959181</v>
      </c>
    </row>
    <row r="102" spans="1:8" ht="14.25" customHeight="1" x14ac:dyDescent="0.3">
      <c r="A102" s="127" t="s">
        <v>206</v>
      </c>
      <c r="B102" s="271" t="str">
        <f t="shared" si="21"/>
        <v>Water - ماء</v>
      </c>
      <c r="C102" s="271" t="str">
        <f t="shared" si="21"/>
        <v>ml</v>
      </c>
      <c r="D102" s="271">
        <f t="shared" si="21"/>
        <v>100</v>
      </c>
      <c r="E102" s="196">
        <f t="shared" si="25"/>
        <v>10.204081632653061</v>
      </c>
      <c r="F102" s="298">
        <f t="shared" si="22"/>
        <v>1</v>
      </c>
      <c r="G102" s="118">
        <f t="shared" si="23"/>
        <v>1020.4081632653061</v>
      </c>
      <c r="H102" s="206">
        <f t="shared" si="24"/>
        <v>1020.4081632653061</v>
      </c>
    </row>
    <row r="103" spans="1:8" ht="14.25" customHeight="1" x14ac:dyDescent="0.3">
      <c r="A103" s="127" t="s">
        <v>95</v>
      </c>
      <c r="B103" s="271" t="str">
        <f t="shared" si="21"/>
        <v>Coriander Powder - كزبرة مطحونة</v>
      </c>
      <c r="C103" s="271" t="str">
        <f t="shared" si="21"/>
        <v>gm</v>
      </c>
      <c r="D103" s="271">
        <f t="shared" si="21"/>
        <v>5</v>
      </c>
      <c r="E103" s="196">
        <f t="shared" si="25"/>
        <v>10.204081632653061</v>
      </c>
      <c r="F103" s="298">
        <f t="shared" si="22"/>
        <v>1</v>
      </c>
      <c r="G103" s="118">
        <f t="shared" si="23"/>
        <v>51.020408163265301</v>
      </c>
      <c r="H103" s="206">
        <f t="shared" si="24"/>
        <v>51.020408163265301</v>
      </c>
    </row>
    <row r="104" spans="1:8" ht="14.25" customHeight="1" x14ac:dyDescent="0.3">
      <c r="A104" s="127" t="s">
        <v>215</v>
      </c>
      <c r="B104" s="271" t="str">
        <f t="shared" si="21"/>
        <v>Saffron yellow color powder - لون صفار زعفران بودر</v>
      </c>
      <c r="C104" s="271" t="str">
        <f t="shared" si="21"/>
        <v>gm</v>
      </c>
      <c r="D104" s="271">
        <f t="shared" si="21"/>
        <v>1</v>
      </c>
      <c r="E104" s="196">
        <f t="shared" si="25"/>
        <v>10.204081632653061</v>
      </c>
      <c r="F104" s="298">
        <f t="shared" si="22"/>
        <v>1</v>
      </c>
      <c r="G104" s="118">
        <f t="shared" si="23"/>
        <v>10.204081632653061</v>
      </c>
      <c r="H104" s="206">
        <f t="shared" si="24"/>
        <v>10.204081632653061</v>
      </c>
    </row>
    <row r="105" spans="1:8" ht="14.25" customHeight="1" x14ac:dyDescent="0.3">
      <c r="A105" s="127" t="s">
        <v>95</v>
      </c>
      <c r="B105" s="271" t="str">
        <f t="shared" si="21"/>
        <v>Salt - ملح</v>
      </c>
      <c r="C105" s="271" t="str">
        <f t="shared" si="21"/>
        <v>gm</v>
      </c>
      <c r="D105" s="271">
        <f t="shared" si="21"/>
        <v>5</v>
      </c>
      <c r="E105" s="196">
        <f t="shared" si="25"/>
        <v>10.204081632653061</v>
      </c>
      <c r="F105" s="298">
        <f t="shared" si="22"/>
        <v>0.75</v>
      </c>
      <c r="G105" s="118">
        <f t="shared" si="23"/>
        <v>51.020408163265301</v>
      </c>
      <c r="H105" s="206">
        <f t="shared" si="24"/>
        <v>38.265306122448976</v>
      </c>
    </row>
    <row r="106" spans="1:8" ht="14.25" customHeight="1" x14ac:dyDescent="0.3">
      <c r="A106" s="127" t="s">
        <v>154</v>
      </c>
      <c r="B106" s="271" t="str">
        <f t="shared" si="21"/>
        <v>Butter - زبدة</v>
      </c>
      <c r="C106" s="271" t="str">
        <f t="shared" si="21"/>
        <v>gm</v>
      </c>
      <c r="D106" s="271">
        <f t="shared" si="21"/>
        <v>40</v>
      </c>
      <c r="E106" s="196">
        <f t="shared" si="25"/>
        <v>10.204081632653061</v>
      </c>
      <c r="F106" s="298">
        <f t="shared" si="22"/>
        <v>1</v>
      </c>
      <c r="G106" s="118">
        <f t="shared" si="23"/>
        <v>408.16326530612241</v>
      </c>
      <c r="H106" s="206">
        <f t="shared" si="24"/>
        <v>408.16326530612241</v>
      </c>
    </row>
    <row r="107" spans="1:8" ht="14.25" customHeight="1" x14ac:dyDescent="0.3">
      <c r="A107" s="127" t="s">
        <v>192</v>
      </c>
      <c r="B107" s="271" t="str">
        <f t="shared" si="21"/>
        <v>Tomato Paste - صلصة طماطم</v>
      </c>
      <c r="C107" s="271" t="str">
        <f t="shared" si="21"/>
        <v>gm</v>
      </c>
      <c r="D107" s="271">
        <f t="shared" si="21"/>
        <v>20</v>
      </c>
      <c r="E107" s="196">
        <f t="shared" si="25"/>
        <v>10.204081632653061</v>
      </c>
      <c r="F107" s="298">
        <f t="shared" si="22"/>
        <v>1</v>
      </c>
      <c r="G107" s="118">
        <f t="shared" si="23"/>
        <v>204.08163265306121</v>
      </c>
      <c r="H107" s="206">
        <f t="shared" si="24"/>
        <v>204.08163265306121</v>
      </c>
    </row>
    <row r="108" spans="1:8" ht="14.25" customHeight="1" x14ac:dyDescent="0.3">
      <c r="A108" s="127" t="s">
        <v>154</v>
      </c>
      <c r="B108" s="271" t="str">
        <f t="shared" si="21"/>
        <v>Yogurt - زبادي</v>
      </c>
      <c r="C108" s="271" t="str">
        <f t="shared" si="21"/>
        <v>gm</v>
      </c>
      <c r="D108" s="271">
        <f t="shared" si="21"/>
        <v>100</v>
      </c>
      <c r="E108" s="196">
        <f t="shared" si="25"/>
        <v>10.204081632653061</v>
      </c>
      <c r="F108" s="298">
        <f t="shared" si="22"/>
        <v>1</v>
      </c>
      <c r="G108" s="118">
        <f t="shared" si="23"/>
        <v>1020.4081632653061</v>
      </c>
      <c r="H108" s="206">
        <f t="shared" si="24"/>
        <v>1020.4081632653061</v>
      </c>
    </row>
    <row r="109" spans="1:8" ht="20.25" customHeight="1" x14ac:dyDescent="0.3">
      <c r="A109" s="127" t="s">
        <v>95</v>
      </c>
      <c r="B109" s="271" t="str">
        <f t="shared" si="21"/>
        <v>Turmeric - كركم</v>
      </c>
      <c r="C109" s="271" t="str">
        <f t="shared" si="21"/>
        <v>gm</v>
      </c>
      <c r="D109" s="271">
        <f t="shared" si="21"/>
        <v>5</v>
      </c>
      <c r="E109" s="196">
        <f t="shared" si="25"/>
        <v>10.204081632653061</v>
      </c>
      <c r="F109" s="298">
        <f t="shared" si="22"/>
        <v>0.75</v>
      </c>
      <c r="G109" s="118">
        <f t="shared" si="23"/>
        <v>51.020408163265301</v>
      </c>
      <c r="H109" s="206">
        <f t="shared" si="24"/>
        <v>38.265306122448976</v>
      </c>
    </row>
    <row r="110" spans="1:8" ht="22.25" customHeight="1" x14ac:dyDescent="0.3">
      <c r="B110" s="271" t="str">
        <f t="shared" si="21"/>
        <v>Corn Starch - نشا ذرة</v>
      </c>
      <c r="C110" s="271" t="str">
        <f t="shared" si="21"/>
        <v>gm</v>
      </c>
      <c r="D110" s="271">
        <f t="shared" si="21"/>
        <v>20</v>
      </c>
      <c r="E110" s="196">
        <f t="shared" si="25"/>
        <v>10.204081632653061</v>
      </c>
      <c r="F110" s="298">
        <f t="shared" si="22"/>
        <v>1</v>
      </c>
      <c r="G110" s="118">
        <f t="shared" ref="G110" si="26">D110*E110</f>
        <v>204.08163265306121</v>
      </c>
      <c r="H110" s="206">
        <f t="shared" ref="H110" si="27">G110*F110</f>
        <v>204.08163265306121</v>
      </c>
    </row>
    <row r="111" spans="1:8" ht="18" x14ac:dyDescent="0.3">
      <c r="A111" s="210"/>
      <c r="B111" s="197" t="s">
        <v>291</v>
      </c>
      <c r="C111" s="199" t="s">
        <v>277</v>
      </c>
      <c r="E111" s="199" t="s">
        <v>292</v>
      </c>
      <c r="G111" s="878" t="s">
        <v>268</v>
      </c>
      <c r="H111" s="878" t="s">
        <v>703</v>
      </c>
    </row>
    <row r="112" spans="1:8" ht="20" x14ac:dyDescent="0.4">
      <c r="A112" s="210"/>
      <c r="B112" s="198">
        <f>$J$54</f>
        <v>13637.090909090908</v>
      </c>
      <c r="C112" s="916">
        <f>E112+G112</f>
        <v>10000</v>
      </c>
      <c r="D112" s="917"/>
      <c r="E112" s="916">
        <f>$D$54*$S$44</f>
        <v>4090.909090909091</v>
      </c>
      <c r="F112" s="918"/>
      <c r="G112" s="916">
        <f>$D$54*$T$44</f>
        <v>5909.090909090909</v>
      </c>
      <c r="H112" s="916">
        <f>B112+E112</f>
        <v>17728</v>
      </c>
    </row>
    <row r="113" spans="1:8" ht="17.75" customHeight="1" x14ac:dyDescent="0.3"/>
    <row r="114" spans="1:8" ht="17.75" customHeight="1" x14ac:dyDescent="0.3"/>
    <row r="115" spans="1:8" x14ac:dyDescent="0.3">
      <c r="A115" s="922"/>
      <c r="B115" s="1438" t="str">
        <f>"دجاج بالزنجبيل   3 / " &amp; COUNTIF($C$53:$C$55, "&gt;0")</f>
        <v>دجاج بالزنجبيل   3 / 3</v>
      </c>
      <c r="C115" s="1439"/>
      <c r="D115" s="1439"/>
      <c r="E115" s="1439"/>
      <c r="F115" s="1439"/>
      <c r="G115" s="1439"/>
      <c r="H115" s="1439"/>
    </row>
    <row r="116" spans="1:8" ht="14.25" customHeight="1" x14ac:dyDescent="0.3">
      <c r="A116" s="922"/>
      <c r="B116" s="1436" t="str">
        <f>"Ginger Chicken  3 / " &amp; COUNTIF($C$53:$C$55, "&gt;0")</f>
        <v>Ginger Chicken  3 / 3</v>
      </c>
      <c r="C116" s="1437"/>
      <c r="D116" s="1437"/>
      <c r="E116" s="1437"/>
      <c r="F116" s="1437"/>
      <c r="G116" s="1437"/>
      <c r="H116" s="1437"/>
    </row>
    <row r="117" spans="1:8" ht="34.5" customHeight="1" x14ac:dyDescent="0.25">
      <c r="A117" s="590"/>
      <c r="B117" s="591" t="s">
        <v>245</v>
      </c>
      <c r="C117" s="243" t="s">
        <v>246</v>
      </c>
      <c r="D117" s="244" t="s">
        <v>235</v>
      </c>
      <c r="E117" s="217" t="s">
        <v>238</v>
      </c>
      <c r="F117" s="217" t="s">
        <v>247</v>
      </c>
      <c r="G117" s="244" t="s">
        <v>248</v>
      </c>
      <c r="H117" s="217" t="s">
        <v>249</v>
      </c>
    </row>
    <row r="118" spans="1:8" ht="14.25" customHeight="1" x14ac:dyDescent="0.3">
      <c r="A118" s="127" t="s">
        <v>225</v>
      </c>
      <c r="B118" s="271" t="str">
        <f t="shared" ref="B118:D137" si="28">B5</f>
        <v>Chicken - دجاج</v>
      </c>
      <c r="C118" s="271" t="str">
        <f t="shared" si="28"/>
        <v>gm</v>
      </c>
      <c r="D118" s="271">
        <f t="shared" si="28"/>
        <v>2311.3713405238827</v>
      </c>
      <c r="E118" s="350">
        <f>$H$55</f>
        <v>4.5597157895168614</v>
      </c>
      <c r="F118" s="298">
        <f t="shared" ref="F118:F137" si="29">F5</f>
        <v>1</v>
      </c>
      <c r="G118" s="118">
        <f t="shared" ref="G118:G136" si="30">D118*E118</f>
        <v>10539.196396823503</v>
      </c>
      <c r="H118" s="206">
        <f t="shared" ref="H118:H136" si="31">G118*F118</f>
        <v>10539.196396823503</v>
      </c>
    </row>
    <row r="119" spans="1:8" ht="14.25" customHeight="1" x14ac:dyDescent="0.3">
      <c r="A119" s="127" t="s">
        <v>13</v>
      </c>
      <c r="B119" s="271" t="str">
        <f t="shared" si="28"/>
        <v>Onion - بصل</v>
      </c>
      <c r="C119" s="271" t="str">
        <f t="shared" si="28"/>
        <v>gm</v>
      </c>
      <c r="D119" s="271">
        <f t="shared" si="28"/>
        <v>150</v>
      </c>
      <c r="E119" s="350">
        <f t="shared" ref="E119:E137" si="32">$C$55</f>
        <v>4.6541077969649471</v>
      </c>
      <c r="F119" s="298">
        <f t="shared" si="29"/>
        <v>0.95</v>
      </c>
      <c r="G119" s="118">
        <f t="shared" si="30"/>
        <v>698.11616954474209</v>
      </c>
      <c r="H119" s="206">
        <f t="shared" si="31"/>
        <v>663.210361067505</v>
      </c>
    </row>
    <row r="120" spans="1:8" ht="14.25" customHeight="1" x14ac:dyDescent="0.3">
      <c r="A120" s="127" t="s">
        <v>13</v>
      </c>
      <c r="B120" s="271" t="str">
        <f t="shared" si="28"/>
        <v>Tomato - طماطم</v>
      </c>
      <c r="C120" s="271" t="str">
        <f t="shared" si="28"/>
        <v>gm</v>
      </c>
      <c r="D120" s="271">
        <f t="shared" si="28"/>
        <v>450</v>
      </c>
      <c r="E120" s="350">
        <f t="shared" si="32"/>
        <v>4.6541077969649471</v>
      </c>
      <c r="F120" s="298">
        <f t="shared" si="29"/>
        <v>1</v>
      </c>
      <c r="G120" s="118">
        <f t="shared" si="30"/>
        <v>2094.3485086342262</v>
      </c>
      <c r="H120" s="206">
        <f t="shared" si="31"/>
        <v>2094.3485086342262</v>
      </c>
    </row>
    <row r="121" spans="1:8" ht="14.25" customHeight="1" x14ac:dyDescent="0.3">
      <c r="A121" s="127" t="s">
        <v>56</v>
      </c>
      <c r="B121" s="271" t="str">
        <f t="shared" si="28"/>
        <v>Ginger - زنجبيل</v>
      </c>
      <c r="C121" s="271" t="str">
        <f t="shared" si="28"/>
        <v>gm</v>
      </c>
      <c r="D121" s="271">
        <f t="shared" si="28"/>
        <v>25</v>
      </c>
      <c r="E121" s="350">
        <f t="shared" si="32"/>
        <v>4.6541077969649471</v>
      </c>
      <c r="F121" s="298">
        <f t="shared" si="29"/>
        <v>0.9</v>
      </c>
      <c r="G121" s="118">
        <f t="shared" si="30"/>
        <v>116.35269492412368</v>
      </c>
      <c r="H121" s="206">
        <f t="shared" si="31"/>
        <v>104.71742543171132</v>
      </c>
    </row>
    <row r="122" spans="1:8" ht="14.25" customHeight="1" x14ac:dyDescent="0.3">
      <c r="A122" s="127" t="s">
        <v>13</v>
      </c>
      <c r="B122" s="271" t="str">
        <f t="shared" si="28"/>
        <v>Garlic - ثوم مقشر</v>
      </c>
      <c r="C122" s="271" t="str">
        <f t="shared" si="28"/>
        <v>gm</v>
      </c>
      <c r="D122" s="271">
        <f t="shared" si="28"/>
        <v>25</v>
      </c>
      <c r="E122" s="350">
        <f t="shared" si="32"/>
        <v>4.6541077969649471</v>
      </c>
      <c r="F122" s="298">
        <f t="shared" si="29"/>
        <v>0.9</v>
      </c>
      <c r="G122" s="118">
        <f t="shared" si="30"/>
        <v>116.35269492412368</v>
      </c>
      <c r="H122" s="206">
        <f t="shared" si="31"/>
        <v>104.71742543171132</v>
      </c>
    </row>
    <row r="123" spans="1:8" ht="14.25" customHeight="1" x14ac:dyDescent="0.3">
      <c r="A123" s="127" t="s">
        <v>13</v>
      </c>
      <c r="B123" s="271" t="str">
        <f t="shared" si="28"/>
        <v>Green Chilli Pepper - فلفل أخضر حار</v>
      </c>
      <c r="C123" s="271" t="str">
        <f t="shared" si="28"/>
        <v>gm</v>
      </c>
      <c r="D123" s="271">
        <f t="shared" si="28"/>
        <v>5</v>
      </c>
      <c r="E123" s="350">
        <f t="shared" si="32"/>
        <v>4.6541077969649471</v>
      </c>
      <c r="F123" s="298">
        <f t="shared" si="29"/>
        <v>0.75</v>
      </c>
      <c r="G123" s="118">
        <f t="shared" si="30"/>
        <v>23.270538984824736</v>
      </c>
      <c r="H123" s="206">
        <f t="shared" si="31"/>
        <v>17.452904238618551</v>
      </c>
    </row>
    <row r="124" spans="1:8" ht="14.25" customHeight="1" x14ac:dyDescent="0.3">
      <c r="A124" s="127" t="s">
        <v>95</v>
      </c>
      <c r="B124" s="271" t="str">
        <f t="shared" si="28"/>
        <v>Cumin Powder - كمون مطحون</v>
      </c>
      <c r="C124" s="271" t="str">
        <f t="shared" si="28"/>
        <v>gm</v>
      </c>
      <c r="D124" s="271">
        <f t="shared" si="28"/>
        <v>5</v>
      </c>
      <c r="E124" s="350">
        <f t="shared" si="32"/>
        <v>4.6541077969649471</v>
      </c>
      <c r="F124" s="298">
        <f t="shared" si="29"/>
        <v>1</v>
      </c>
      <c r="G124" s="118">
        <f t="shared" si="30"/>
        <v>23.270538984824736</v>
      </c>
      <c r="H124" s="206">
        <f t="shared" si="31"/>
        <v>23.270538984824736</v>
      </c>
    </row>
    <row r="125" spans="1:8" ht="14.25" customHeight="1" x14ac:dyDescent="0.3">
      <c r="A125" s="127" t="s">
        <v>95</v>
      </c>
      <c r="B125" s="271" t="str">
        <f t="shared" si="28"/>
        <v>Red Chilli Powder - شطة حمراء مطحونة</v>
      </c>
      <c r="C125" s="271" t="str">
        <f t="shared" si="28"/>
        <v>gm</v>
      </c>
      <c r="D125" s="271">
        <f t="shared" si="28"/>
        <v>3</v>
      </c>
      <c r="E125" s="350">
        <f t="shared" si="32"/>
        <v>4.6541077969649471</v>
      </c>
      <c r="F125" s="298">
        <f t="shared" si="29"/>
        <v>0.75</v>
      </c>
      <c r="G125" s="118">
        <f t="shared" si="30"/>
        <v>13.962323390894841</v>
      </c>
      <c r="H125" s="206">
        <f t="shared" si="31"/>
        <v>10.471742543171132</v>
      </c>
    </row>
    <row r="126" spans="1:8" ht="14.25" customHeight="1" x14ac:dyDescent="0.3">
      <c r="A126" s="127" t="s">
        <v>95</v>
      </c>
      <c r="B126" s="271" t="str">
        <f t="shared" si="28"/>
        <v>Maggi Cubes - مكعبات ماجي</v>
      </c>
      <c r="C126" s="271" t="str">
        <f t="shared" si="28"/>
        <v>gm</v>
      </c>
      <c r="D126" s="271">
        <f t="shared" si="28"/>
        <v>7</v>
      </c>
      <c r="E126" s="350">
        <f t="shared" si="32"/>
        <v>4.6541077969649471</v>
      </c>
      <c r="F126" s="298">
        <f t="shared" si="29"/>
        <v>0.75</v>
      </c>
      <c r="G126" s="118">
        <f t="shared" si="30"/>
        <v>32.578754578754626</v>
      </c>
      <c r="H126" s="206">
        <f t="shared" si="31"/>
        <v>24.43406593406597</v>
      </c>
    </row>
    <row r="127" spans="1:8" ht="14.25" customHeight="1" x14ac:dyDescent="0.3">
      <c r="A127" s="127" t="s">
        <v>95</v>
      </c>
      <c r="B127" s="271" t="str">
        <f t="shared" si="28"/>
        <v>Kasuri Methi - ورق حلبة مجففة</v>
      </c>
      <c r="C127" s="271" t="str">
        <f t="shared" si="28"/>
        <v>gm</v>
      </c>
      <c r="D127" s="271">
        <f t="shared" si="28"/>
        <v>1</v>
      </c>
      <c r="E127" s="350">
        <f t="shared" si="32"/>
        <v>4.6541077969649471</v>
      </c>
      <c r="F127" s="298">
        <f t="shared" si="29"/>
        <v>0.75</v>
      </c>
      <c r="G127" s="118">
        <f t="shared" si="30"/>
        <v>4.6541077969649471</v>
      </c>
      <c r="H127" s="206">
        <f t="shared" si="31"/>
        <v>3.4905808477237104</v>
      </c>
    </row>
    <row r="128" spans="1:8" ht="14.25" customHeight="1" x14ac:dyDescent="0.3">
      <c r="A128" s="127" t="s">
        <v>154</v>
      </c>
      <c r="B128" s="271" t="str">
        <f t="shared" si="28"/>
        <v>Cooking Cream - كريمة طبخ</v>
      </c>
      <c r="C128" s="271" t="str">
        <f t="shared" si="28"/>
        <v>ml</v>
      </c>
      <c r="D128" s="271">
        <f t="shared" si="28"/>
        <v>300</v>
      </c>
      <c r="E128" s="350">
        <f t="shared" si="32"/>
        <v>4.6541077969649471</v>
      </c>
      <c r="F128" s="298">
        <f t="shared" si="29"/>
        <v>1</v>
      </c>
      <c r="G128" s="118">
        <f t="shared" si="30"/>
        <v>1396.2323390894842</v>
      </c>
      <c r="H128" s="206">
        <f t="shared" si="31"/>
        <v>1396.2323390894842</v>
      </c>
    </row>
    <row r="129" spans="1:8" ht="17.75" customHeight="1" x14ac:dyDescent="0.3">
      <c r="A129" s="127" t="s">
        <v>206</v>
      </c>
      <c r="B129" s="271" t="str">
        <f t="shared" si="28"/>
        <v>Water - ماء</v>
      </c>
      <c r="C129" s="271" t="str">
        <f t="shared" si="28"/>
        <v>ml</v>
      </c>
      <c r="D129" s="271">
        <f t="shared" si="28"/>
        <v>100</v>
      </c>
      <c r="E129" s="350">
        <f t="shared" si="32"/>
        <v>4.6541077969649471</v>
      </c>
      <c r="F129" s="298">
        <f t="shared" si="29"/>
        <v>1</v>
      </c>
      <c r="G129" s="118">
        <f t="shared" si="30"/>
        <v>465.41077969649473</v>
      </c>
      <c r="H129" s="206">
        <f t="shared" si="31"/>
        <v>465.41077969649473</v>
      </c>
    </row>
    <row r="130" spans="1:8" ht="14.25" customHeight="1" x14ac:dyDescent="0.3">
      <c r="A130" s="127" t="s">
        <v>95</v>
      </c>
      <c r="B130" s="271" t="str">
        <f t="shared" si="28"/>
        <v>Coriander Powder - كزبرة مطحونة</v>
      </c>
      <c r="C130" s="271" t="str">
        <f t="shared" si="28"/>
        <v>gm</v>
      </c>
      <c r="D130" s="271">
        <f t="shared" si="28"/>
        <v>5</v>
      </c>
      <c r="E130" s="350">
        <f t="shared" si="32"/>
        <v>4.6541077969649471</v>
      </c>
      <c r="F130" s="298">
        <f t="shared" si="29"/>
        <v>1</v>
      </c>
      <c r="G130" s="118">
        <f t="shared" si="30"/>
        <v>23.270538984824736</v>
      </c>
      <c r="H130" s="206">
        <f t="shared" si="31"/>
        <v>23.270538984824736</v>
      </c>
    </row>
    <row r="131" spans="1:8" ht="14.25" customHeight="1" x14ac:dyDescent="0.3">
      <c r="A131" s="127" t="s">
        <v>215</v>
      </c>
      <c r="B131" s="271" t="str">
        <f t="shared" si="28"/>
        <v>Saffron yellow color powder - لون صفار زعفران بودر</v>
      </c>
      <c r="C131" s="271" t="str">
        <f t="shared" si="28"/>
        <v>gm</v>
      </c>
      <c r="D131" s="271">
        <f t="shared" si="28"/>
        <v>1</v>
      </c>
      <c r="E131" s="350">
        <f t="shared" si="32"/>
        <v>4.6541077969649471</v>
      </c>
      <c r="F131" s="298">
        <f t="shared" si="29"/>
        <v>1</v>
      </c>
      <c r="G131" s="118">
        <f t="shared" si="30"/>
        <v>4.6541077969649471</v>
      </c>
      <c r="H131" s="206">
        <f t="shared" si="31"/>
        <v>4.6541077969649471</v>
      </c>
    </row>
    <row r="132" spans="1:8" ht="14.25" customHeight="1" x14ac:dyDescent="0.3">
      <c r="A132" s="127" t="s">
        <v>95</v>
      </c>
      <c r="B132" s="271" t="str">
        <f t="shared" si="28"/>
        <v>Salt - ملح</v>
      </c>
      <c r="C132" s="271" t="str">
        <f t="shared" si="28"/>
        <v>gm</v>
      </c>
      <c r="D132" s="271">
        <f t="shared" si="28"/>
        <v>5</v>
      </c>
      <c r="E132" s="350">
        <f t="shared" si="32"/>
        <v>4.6541077969649471</v>
      </c>
      <c r="F132" s="298">
        <f t="shared" si="29"/>
        <v>0.75</v>
      </c>
      <c r="G132" s="118">
        <f t="shared" si="30"/>
        <v>23.270538984824736</v>
      </c>
      <c r="H132" s="206">
        <f t="shared" si="31"/>
        <v>17.452904238618551</v>
      </c>
    </row>
    <row r="133" spans="1:8" ht="14.25" customHeight="1" x14ac:dyDescent="0.3">
      <c r="A133" s="127" t="s">
        <v>154</v>
      </c>
      <c r="B133" s="271" t="str">
        <f t="shared" si="28"/>
        <v>Butter - زبدة</v>
      </c>
      <c r="C133" s="271" t="str">
        <f t="shared" si="28"/>
        <v>gm</v>
      </c>
      <c r="D133" s="271">
        <f t="shared" si="28"/>
        <v>40</v>
      </c>
      <c r="E133" s="350">
        <f t="shared" si="32"/>
        <v>4.6541077969649471</v>
      </c>
      <c r="F133" s="298">
        <f t="shared" si="29"/>
        <v>1</v>
      </c>
      <c r="G133" s="118">
        <f t="shared" si="30"/>
        <v>186.16431187859789</v>
      </c>
      <c r="H133" s="206">
        <f t="shared" si="31"/>
        <v>186.16431187859789</v>
      </c>
    </row>
    <row r="134" spans="1:8" ht="14.25" customHeight="1" x14ac:dyDescent="0.3">
      <c r="A134" s="127" t="s">
        <v>192</v>
      </c>
      <c r="B134" s="271" t="str">
        <f t="shared" si="28"/>
        <v>Tomato Paste - صلصة طماطم</v>
      </c>
      <c r="C134" s="271" t="str">
        <f t="shared" si="28"/>
        <v>gm</v>
      </c>
      <c r="D134" s="271">
        <f t="shared" si="28"/>
        <v>20</v>
      </c>
      <c r="E134" s="350">
        <f t="shared" si="32"/>
        <v>4.6541077969649471</v>
      </c>
      <c r="F134" s="298">
        <f t="shared" si="29"/>
        <v>1</v>
      </c>
      <c r="G134" s="118">
        <f t="shared" si="30"/>
        <v>93.082155939298943</v>
      </c>
      <c r="H134" s="206">
        <f t="shared" si="31"/>
        <v>93.082155939298943</v>
      </c>
    </row>
    <row r="135" spans="1:8" ht="20.25" customHeight="1" x14ac:dyDescent="0.3">
      <c r="A135" s="127" t="s">
        <v>154</v>
      </c>
      <c r="B135" s="271" t="str">
        <f t="shared" si="28"/>
        <v>Yogurt - زبادي</v>
      </c>
      <c r="C135" s="271" t="str">
        <f t="shared" si="28"/>
        <v>gm</v>
      </c>
      <c r="D135" s="271">
        <f t="shared" si="28"/>
        <v>100</v>
      </c>
      <c r="E135" s="350">
        <f t="shared" si="32"/>
        <v>4.6541077969649471</v>
      </c>
      <c r="F135" s="298">
        <f t="shared" si="29"/>
        <v>1</v>
      </c>
      <c r="G135" s="118">
        <f t="shared" si="30"/>
        <v>465.41077969649473</v>
      </c>
      <c r="H135" s="206">
        <f t="shared" si="31"/>
        <v>465.41077969649473</v>
      </c>
    </row>
    <row r="136" spans="1:8" x14ac:dyDescent="0.3">
      <c r="A136" s="127" t="s">
        <v>95</v>
      </c>
      <c r="B136" s="271" t="str">
        <f t="shared" si="28"/>
        <v>Turmeric - كركم</v>
      </c>
      <c r="C136" s="271" t="str">
        <f t="shared" si="28"/>
        <v>gm</v>
      </c>
      <c r="D136" s="271">
        <f t="shared" si="28"/>
        <v>5</v>
      </c>
      <c r="E136" s="350">
        <f t="shared" si="32"/>
        <v>4.6541077969649471</v>
      </c>
      <c r="F136" s="298">
        <f t="shared" si="29"/>
        <v>0.75</v>
      </c>
      <c r="G136" s="118">
        <f t="shared" si="30"/>
        <v>23.270538984824736</v>
      </c>
      <c r="H136" s="206">
        <f t="shared" si="31"/>
        <v>17.452904238618551</v>
      </c>
    </row>
    <row r="137" spans="1:8" x14ac:dyDescent="0.3">
      <c r="B137" s="271" t="str">
        <f t="shared" si="28"/>
        <v>Corn Starch - نشا ذرة</v>
      </c>
      <c r="C137" s="271" t="str">
        <f t="shared" si="28"/>
        <v>gm</v>
      </c>
      <c r="D137" s="271">
        <f t="shared" si="28"/>
        <v>20</v>
      </c>
      <c r="E137" s="350">
        <f t="shared" si="32"/>
        <v>4.6541077969649471</v>
      </c>
      <c r="F137" s="298">
        <f t="shared" si="29"/>
        <v>1</v>
      </c>
      <c r="G137" s="118">
        <f t="shared" ref="G137" si="33">D137*E137</f>
        <v>93.082155939298943</v>
      </c>
      <c r="H137" s="206">
        <f t="shared" ref="H137" si="34">G137*F137</f>
        <v>93.082155939298943</v>
      </c>
    </row>
    <row r="138" spans="1:8" ht="18" x14ac:dyDescent="0.3">
      <c r="A138" s="210"/>
      <c r="B138" s="197" t="s">
        <v>291</v>
      </c>
      <c r="C138" s="199" t="s">
        <v>277</v>
      </c>
      <c r="E138" s="199" t="s">
        <v>292</v>
      </c>
      <c r="G138" s="878" t="s">
        <v>268</v>
      </c>
      <c r="H138" s="878" t="s">
        <v>703</v>
      </c>
    </row>
    <row r="139" spans="1:8" ht="20" x14ac:dyDescent="0.4">
      <c r="A139" s="210"/>
      <c r="B139" s="198">
        <f>$J$55</f>
        <v>6218.1258741258644</v>
      </c>
      <c r="C139" s="198">
        <f>E139+G139</f>
        <v>4561.0256410256497</v>
      </c>
      <c r="D139" s="915"/>
      <c r="E139" s="198">
        <f>$D$55*$S$44</f>
        <v>1865.8741258741293</v>
      </c>
      <c r="F139" s="99"/>
      <c r="G139" s="916">
        <f>$D$55*$T$44</f>
        <v>2695.15151515152</v>
      </c>
      <c r="H139" s="916">
        <f>B139+E139</f>
        <v>8083.9999999999936</v>
      </c>
    </row>
  </sheetData>
  <mergeCells count="13">
    <mergeCell ref="B116:H116"/>
    <mergeCell ref="B63:H63"/>
    <mergeCell ref="AE2:AG3"/>
    <mergeCell ref="B89:H89"/>
    <mergeCell ref="R26:U26"/>
    <mergeCell ref="B115:H115"/>
    <mergeCell ref="B35:F35"/>
    <mergeCell ref="AN2:AN3"/>
    <mergeCell ref="B88:H88"/>
    <mergeCell ref="R25:U25"/>
    <mergeCell ref="B62:H62"/>
    <mergeCell ref="F2:F3"/>
    <mergeCell ref="AK2:AM2"/>
  </mergeCells>
  <printOptions horizontalCentered="1"/>
  <pageMargins left="0.5" right="0.5" top="1" bottom="0.5" header="0.3" footer="0.511811023622047"/>
  <pageSetup paperSize="9" scale="31" orientation="portrait" r:id="rId1"/>
  <legacyDrawing r:id="rId2"/>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71">
    <tabColor theme="3" tint="-0.249977111117893"/>
    <pageSetUpPr fitToPage="1"/>
  </sheetPr>
  <dimension ref="A1:AT112"/>
  <sheetViews>
    <sheetView topLeftCell="U1" zoomScale="85" zoomScaleNormal="55" workbookViewId="0">
      <selection activeCell="Q43" sqref="Q43:T44"/>
    </sheetView>
  </sheetViews>
  <sheetFormatPr defaultColWidth="12.5" defaultRowHeight="14" x14ac:dyDescent="0.3"/>
  <cols>
    <col min="1" max="1" width="12.5" style="1" customWidth="1"/>
    <col min="2" max="2" width="37.9140625" customWidth="1"/>
    <col min="3" max="3" width="23.9140625" customWidth="1"/>
    <col min="4" max="4" width="19" customWidth="1"/>
    <col min="5" max="5" width="16.1640625" customWidth="1"/>
    <col min="6" max="6" width="23.08203125" customWidth="1"/>
    <col min="7" max="7" width="25.1640625" customWidth="1"/>
    <col min="8" max="8" width="36.1640625" customWidth="1"/>
    <col min="12" max="12" width="8.33203125" customWidth="1"/>
    <col min="13" max="14" width="6.1640625" customWidth="1"/>
    <col min="18" max="18" width="33.9140625" customWidth="1"/>
    <col min="23" max="23" width="37.33203125" bestFit="1" customWidth="1"/>
    <col min="28" max="28" width="18.1640625" customWidth="1"/>
    <col min="29" max="29" width="11.9140625" bestFit="1" customWidth="1"/>
    <col min="30" max="30" width="13.33203125" bestFit="1" customWidth="1"/>
    <col min="31" max="31" width="10" bestFit="1" customWidth="1"/>
    <col min="32" max="32" width="11.58203125" bestFit="1" customWidth="1"/>
    <col min="33" max="34" width="5.6640625" customWidth="1"/>
    <col min="36" max="36" width="27.9140625" customWidth="1"/>
  </cols>
  <sheetData>
    <row r="1" spans="1:46" ht="35.25" customHeight="1" x14ac:dyDescent="0.3">
      <c r="B1" s="79" t="s">
        <v>235</v>
      </c>
      <c r="C1" s="80">
        <v>1000</v>
      </c>
      <c r="D1" s="81" t="s">
        <v>236</v>
      </c>
      <c r="E1" s="116">
        <f>T32</f>
        <v>18000.512820512824</v>
      </c>
      <c r="F1" s="79" t="s">
        <v>237</v>
      </c>
      <c r="G1" s="120">
        <f>E1/C1</f>
        <v>18.000512820512824</v>
      </c>
      <c r="H1" s="79" t="s">
        <v>238</v>
      </c>
      <c r="I1" s="281">
        <f>G1/K1</f>
        <v>18.182336182336186</v>
      </c>
      <c r="J1" s="85" t="s">
        <v>239</v>
      </c>
      <c r="K1" s="91">
        <v>0.99</v>
      </c>
      <c r="L1" s="593">
        <f>4.2/4.6</f>
        <v>0.91304347826086962</v>
      </c>
      <c r="M1" s="88"/>
      <c r="N1" s="326"/>
      <c r="O1" s="90" t="s">
        <v>240</v>
      </c>
      <c r="P1" s="91" t="s">
        <v>303</v>
      </c>
      <c r="Q1" s="92" t="s">
        <v>242</v>
      </c>
      <c r="R1" s="91">
        <v>0.57999999999999996</v>
      </c>
      <c r="Y1" s="90" t="s">
        <v>463</v>
      </c>
      <c r="Z1" s="835">
        <v>30910</v>
      </c>
      <c r="AA1" s="90" t="s">
        <v>578</v>
      </c>
      <c r="AB1" s="835">
        <v>1000</v>
      </c>
      <c r="AC1" s="90" t="s">
        <v>567</v>
      </c>
      <c r="AD1" s="835">
        <v>210</v>
      </c>
      <c r="AE1" s="249"/>
      <c r="AF1" s="251"/>
      <c r="AG1" s="91"/>
      <c r="AI1" s="1"/>
      <c r="AJ1" s="93" t="s">
        <v>254</v>
      </c>
      <c r="AK1" s="93">
        <v>10000</v>
      </c>
      <c r="AL1" s="623" t="s">
        <v>522</v>
      </c>
      <c r="AM1" s="624">
        <f>$S$32</f>
        <v>24546.15384615384</v>
      </c>
      <c r="AN1" s="93" t="s">
        <v>243</v>
      </c>
      <c r="AO1" s="328">
        <f>((S32)/$R$1)/$AK$1</f>
        <v>4.2320954907161799</v>
      </c>
      <c r="AP1" s="94"/>
    </row>
    <row r="2" spans="1:46" ht="12.75" customHeight="1" x14ac:dyDescent="0.3">
      <c r="A2" s="264"/>
      <c r="B2" s="1450" t="s">
        <v>152</v>
      </c>
      <c r="C2" s="1458"/>
      <c r="D2" s="1458"/>
      <c r="E2" s="1458"/>
      <c r="F2" s="1458"/>
      <c r="G2" s="1458"/>
      <c r="H2" s="1458"/>
      <c r="I2" s="1458"/>
      <c r="J2" s="1458"/>
      <c r="K2" s="1458"/>
      <c r="L2" s="292"/>
      <c r="M2" s="99"/>
      <c r="N2" s="99"/>
      <c r="O2" s="99"/>
      <c r="P2" s="99"/>
      <c r="Q2" s="99"/>
      <c r="R2" s="99"/>
      <c r="AC2" s="98"/>
      <c r="AD2" s="98"/>
      <c r="AE2" s="1457"/>
      <c r="AF2" s="1458"/>
      <c r="AG2" s="1458"/>
      <c r="AI2" s="1"/>
      <c r="AJ2" s="100"/>
      <c r="AK2" s="1442" t="s">
        <v>477</v>
      </c>
      <c r="AL2" s="1442"/>
      <c r="AM2" s="1442"/>
      <c r="AN2" s="1442"/>
      <c r="AO2" s="100"/>
      <c r="AP2" s="100"/>
    </row>
    <row r="3" spans="1:46" ht="12.75" customHeight="1" x14ac:dyDescent="0.3">
      <c r="A3" s="264"/>
      <c r="B3" s="1444"/>
      <c r="C3" s="1444"/>
      <c r="D3" s="1444"/>
      <c r="E3" s="1444"/>
      <c r="F3" s="1444"/>
      <c r="G3" s="1444"/>
      <c r="H3" s="1444"/>
      <c r="I3" s="1444"/>
      <c r="J3" s="1444"/>
      <c r="K3" s="1444"/>
      <c r="L3" s="292"/>
      <c r="M3" s="99"/>
      <c r="N3" s="99"/>
      <c r="O3" s="99"/>
      <c r="P3" s="99"/>
      <c r="Q3" s="99"/>
      <c r="R3" s="99"/>
      <c r="AC3" s="98"/>
      <c r="AD3" s="98"/>
      <c r="AE3" s="1458"/>
      <c r="AF3" s="1458"/>
      <c r="AG3" s="1458"/>
      <c r="AI3" s="1"/>
      <c r="AJ3" s="100"/>
      <c r="AK3" s="100"/>
      <c r="AL3" s="100"/>
      <c r="AM3" s="100"/>
      <c r="AN3" s="1458"/>
      <c r="AO3" s="100"/>
      <c r="AP3" s="100"/>
    </row>
    <row r="4" spans="1:46" ht="46.5" customHeight="1" x14ac:dyDescent="0.3">
      <c r="A4" s="594" t="s">
        <v>1</v>
      </c>
      <c r="B4" s="594" t="s">
        <v>245</v>
      </c>
      <c r="C4" s="106" t="s">
        <v>246</v>
      </c>
      <c r="D4" s="90" t="s">
        <v>475</v>
      </c>
      <c r="E4" s="595" t="s">
        <v>238</v>
      </c>
      <c r="F4" s="107" t="s">
        <v>247</v>
      </c>
      <c r="G4" s="90" t="s">
        <v>476</v>
      </c>
      <c r="H4" s="108" t="s">
        <v>339</v>
      </c>
      <c r="I4" s="90" t="s">
        <v>250</v>
      </c>
      <c r="J4" s="90" t="s">
        <v>251</v>
      </c>
      <c r="K4" s="90" t="s">
        <v>252</v>
      </c>
      <c r="L4" s="90" t="s">
        <v>253</v>
      </c>
      <c r="M4" s="99"/>
      <c r="N4" s="99"/>
      <c r="O4" s="99"/>
      <c r="P4" s="99"/>
      <c r="AA4" s="250"/>
      <c r="AB4" s="252"/>
      <c r="AC4" s="250"/>
      <c r="AD4" s="250"/>
      <c r="AE4" s="250"/>
      <c r="AF4" s="250"/>
      <c r="AG4" s="250"/>
      <c r="AI4" s="1"/>
      <c r="AJ4" s="93" t="s">
        <v>245</v>
      </c>
      <c r="AK4" s="527" t="s">
        <v>246</v>
      </c>
      <c r="AL4" s="93" t="s">
        <v>254</v>
      </c>
      <c r="AM4" s="93" t="s">
        <v>238</v>
      </c>
      <c r="AN4" s="93" t="s">
        <v>247</v>
      </c>
      <c r="AO4" s="93" t="s">
        <v>248</v>
      </c>
      <c r="AP4" s="93" t="s">
        <v>339</v>
      </c>
      <c r="AQ4" s="90" t="s">
        <v>250</v>
      </c>
      <c r="AR4" s="90" t="s">
        <v>251</v>
      </c>
      <c r="AS4" s="90" t="s">
        <v>252</v>
      </c>
      <c r="AT4" s="90" t="s">
        <v>253</v>
      </c>
    </row>
    <row r="5" spans="1:46" ht="14.25" customHeight="1" x14ac:dyDescent="0.3">
      <c r="A5" s="596" t="s">
        <v>225</v>
      </c>
      <c r="B5" s="22" t="s">
        <v>230</v>
      </c>
      <c r="C5" s="114" t="s">
        <v>14</v>
      </c>
      <c r="D5" s="267">
        <f>I51/10</f>
        <v>2351.2225705329156</v>
      </c>
      <c r="E5" s="125">
        <f>H52</f>
        <v>17.999552844361116</v>
      </c>
      <c r="F5" s="126">
        <v>1</v>
      </c>
      <c r="G5" s="120">
        <f t="shared" ref="G5:G15" si="0">D5*E5</f>
        <v>42320.954907161795</v>
      </c>
      <c r="H5" s="119">
        <f t="shared" ref="H5:H15" si="1">G5*F5</f>
        <v>42320.954907161795</v>
      </c>
      <c r="I5" s="80">
        <f>VLOOKUP(B5,All_Ingredients!$A$1:$F$149,6,FALSE())</f>
        <v>0.99</v>
      </c>
      <c r="J5" s="118">
        <f>VLOOKUP(B5,All_Ingredients!$A$1:$J$149,10,FALSE())</f>
        <v>11.75</v>
      </c>
      <c r="K5" s="121">
        <f t="shared" ref="K5" si="2">(H5/I5)/1000</f>
        <v>42.748439300163433</v>
      </c>
      <c r="L5" s="121">
        <f t="shared" ref="L5" si="3">K5*J5</f>
        <v>502.29416177692036</v>
      </c>
      <c r="M5" s="99"/>
      <c r="N5" s="99"/>
      <c r="O5" s="99"/>
      <c r="P5" s="99"/>
      <c r="AA5" s="91"/>
      <c r="AB5" s="132"/>
      <c r="AC5" s="253"/>
      <c r="AD5" s="134"/>
      <c r="AE5" s="134"/>
      <c r="AF5" s="134"/>
      <c r="AG5" s="135"/>
      <c r="AI5" s="1"/>
      <c r="AJ5" s="22" t="s">
        <v>230</v>
      </c>
      <c r="AK5" s="123" t="s">
        <v>231</v>
      </c>
      <c r="AL5" s="124">
        <v>10</v>
      </c>
      <c r="AM5" s="222">
        <f t="shared" ref="AM5:AM13" si="4">$AO$1</f>
        <v>4.2320954907161799</v>
      </c>
      <c r="AN5" s="126">
        <v>1</v>
      </c>
      <c r="AO5" s="120">
        <f t="shared" ref="AO5:AO13" si="5">AL5*AM5</f>
        <v>42.320954907161799</v>
      </c>
      <c r="AP5" s="119">
        <f t="shared" ref="AP5:AP13" si="6">AO5*AN5</f>
        <v>42.320954907161799</v>
      </c>
      <c r="AQ5" s="294"/>
      <c r="AR5" s="1152"/>
      <c r="AS5" s="174"/>
      <c r="AT5" s="1153"/>
    </row>
    <row r="6" spans="1:46" ht="14.25" customHeight="1" x14ac:dyDescent="0.3">
      <c r="A6" s="269" t="s">
        <v>13</v>
      </c>
      <c r="B6" s="22" t="s">
        <v>40</v>
      </c>
      <c r="C6" s="123" t="s">
        <v>14</v>
      </c>
      <c r="D6" s="124">
        <v>150</v>
      </c>
      <c r="E6" s="222">
        <f t="shared" ref="E6:E15" si="7">$I$1</f>
        <v>18.182336182336186</v>
      </c>
      <c r="F6" s="126">
        <v>1</v>
      </c>
      <c r="G6" s="120">
        <f t="shared" si="0"/>
        <v>2727.3504273504282</v>
      </c>
      <c r="H6" s="119">
        <f t="shared" si="1"/>
        <v>2727.3504273504282</v>
      </c>
      <c r="I6" s="80">
        <f>VLOOKUP(B6,All_Ingredients!$A$1:$F$149,6,FALSE())</f>
        <v>0.84</v>
      </c>
      <c r="J6" s="118">
        <f>VLOOKUP(B6,All_Ingredients!$A$1:$J$149,10,FALSE())</f>
        <v>2.9629629629629628</v>
      </c>
      <c r="K6" s="121">
        <f t="shared" ref="K6:K15" si="8">(H6/I6)/1000</f>
        <v>3.2468457468457479</v>
      </c>
      <c r="L6" s="121">
        <f t="shared" ref="L6:L15" si="9">K6*J6</f>
        <v>9.6202836943577719</v>
      </c>
      <c r="AI6" s="1" t="s">
        <v>95</v>
      </c>
      <c r="AJ6" s="322" t="s">
        <v>145</v>
      </c>
      <c r="AK6" s="333" t="s">
        <v>14</v>
      </c>
      <c r="AL6" s="124">
        <v>50</v>
      </c>
      <c r="AM6" s="222">
        <f t="shared" si="4"/>
        <v>4.2320954907161799</v>
      </c>
      <c r="AN6" s="126">
        <v>1</v>
      </c>
      <c r="AO6" s="120">
        <f t="shared" si="5"/>
        <v>211.60477453580899</v>
      </c>
      <c r="AP6" s="119">
        <f t="shared" si="6"/>
        <v>211.60477453580899</v>
      </c>
      <c r="AQ6" s="1153">
        <f>VLOOKUP(AJ6,Marination_Ordering!$A:$J,6,FALSE)</f>
        <v>1</v>
      </c>
      <c r="AR6" s="1153">
        <f>VLOOKUP(AJ6,Marination_Ordering!$A:$J,10,FALSE)</f>
        <v>18</v>
      </c>
      <c r="AS6" s="174">
        <f>AP6/AQ6</f>
        <v>211.60477453580899</v>
      </c>
      <c r="AT6" s="1153">
        <f>AR6*(AS6/1000)</f>
        <v>3.8088859416445615</v>
      </c>
    </row>
    <row r="7" spans="1:46" ht="14.25" customHeight="1" x14ac:dyDescent="0.3">
      <c r="A7" s="269" t="s">
        <v>13</v>
      </c>
      <c r="B7" s="22" t="s">
        <v>762</v>
      </c>
      <c r="C7" s="123" t="s">
        <v>14</v>
      </c>
      <c r="D7" s="124">
        <v>30</v>
      </c>
      <c r="E7" s="222">
        <f t="shared" si="7"/>
        <v>18.182336182336186</v>
      </c>
      <c r="F7" s="126">
        <v>1</v>
      </c>
      <c r="G7" s="120">
        <f t="shared" si="0"/>
        <v>545.47008547008556</v>
      </c>
      <c r="H7" s="119">
        <f t="shared" si="1"/>
        <v>545.47008547008556</v>
      </c>
      <c r="I7" s="80">
        <f>VLOOKUP(B7,All_Ingredients!$A$1:$F$149,6,FALSE())</f>
        <v>1</v>
      </c>
      <c r="J7" s="118">
        <f>VLOOKUP(B7,All_Ingredients!$A$1:$J$149,10,FALSE())</f>
        <v>10.5</v>
      </c>
      <c r="K7" s="121">
        <f t="shared" si="8"/>
        <v>0.54547008547008557</v>
      </c>
      <c r="L7" s="121">
        <f t="shared" si="9"/>
        <v>5.7274358974358988</v>
      </c>
      <c r="AI7" s="1" t="s">
        <v>95</v>
      </c>
      <c r="AJ7" s="322" t="s">
        <v>150</v>
      </c>
      <c r="AK7" s="333" t="s">
        <v>14</v>
      </c>
      <c r="AL7" s="124">
        <v>50</v>
      </c>
      <c r="AM7" s="222">
        <f t="shared" si="4"/>
        <v>4.2320954907161799</v>
      </c>
      <c r="AN7" s="126">
        <v>1</v>
      </c>
      <c r="AO7" s="120">
        <f t="shared" si="5"/>
        <v>211.60477453580899</v>
      </c>
      <c r="AP7" s="119">
        <f t="shared" si="6"/>
        <v>211.60477453580899</v>
      </c>
      <c r="AQ7" s="1153">
        <f>VLOOKUP(AJ7,Marination_Ordering!$A:$J,6,FALSE)</f>
        <v>1</v>
      </c>
      <c r="AR7" s="1153">
        <f>VLOOKUP(AJ7,Marination_Ordering!$A:$J,10,FALSE)</f>
        <v>10</v>
      </c>
      <c r="AS7" s="174">
        <f t="shared" ref="AS7:AS8" si="10">AP7/AQ7</f>
        <v>211.60477453580899</v>
      </c>
      <c r="AT7" s="1153">
        <f t="shared" ref="AT7:AT8" si="11">AR7*(AS7/1000)</f>
        <v>2.1160477453580899</v>
      </c>
    </row>
    <row r="8" spans="1:46" ht="14.25" customHeight="1" x14ac:dyDescent="0.3">
      <c r="A8" s="269" t="s">
        <v>95</v>
      </c>
      <c r="B8" s="22" t="s">
        <v>102</v>
      </c>
      <c r="C8" s="123" t="s">
        <v>14</v>
      </c>
      <c r="D8" s="124">
        <v>6</v>
      </c>
      <c r="E8" s="222">
        <f t="shared" si="7"/>
        <v>18.182336182336186</v>
      </c>
      <c r="F8" s="126">
        <v>0.75</v>
      </c>
      <c r="G8" s="120">
        <f t="shared" si="0"/>
        <v>109.09401709401712</v>
      </c>
      <c r="H8" s="119">
        <f t="shared" si="1"/>
        <v>81.820512820512846</v>
      </c>
      <c r="I8" s="80">
        <f>VLOOKUP(B8,All_Ingredients!$A$1:$F$149,6,FALSE())</f>
        <v>1</v>
      </c>
      <c r="J8" s="118">
        <f>VLOOKUP(B8,All_Ingredients!$A$1:$J$149,10,FALSE())</f>
        <v>47</v>
      </c>
      <c r="K8" s="121">
        <f t="shared" si="8"/>
        <v>8.182051282051285E-2</v>
      </c>
      <c r="L8" s="121">
        <f t="shared" si="9"/>
        <v>3.8455641025641039</v>
      </c>
      <c r="AI8" s="1" t="s">
        <v>95</v>
      </c>
      <c r="AJ8" s="322" t="s">
        <v>106</v>
      </c>
      <c r="AK8" s="333" t="s">
        <v>14</v>
      </c>
      <c r="AL8" s="124">
        <v>50</v>
      </c>
      <c r="AM8" s="222">
        <f t="shared" si="4"/>
        <v>4.2320954907161799</v>
      </c>
      <c r="AN8" s="126">
        <v>1</v>
      </c>
      <c r="AO8" s="120">
        <f t="shared" si="5"/>
        <v>211.60477453580899</v>
      </c>
      <c r="AP8" s="119">
        <f t="shared" si="6"/>
        <v>211.60477453580899</v>
      </c>
      <c r="AQ8" s="1153">
        <f>VLOOKUP(AJ8,Marination_Ordering!$A:$J,6,FALSE)</f>
        <v>1</v>
      </c>
      <c r="AR8" s="1153">
        <f>VLOOKUP(AJ8,Marination_Ordering!$A:$J,10,FALSE)</f>
        <v>15</v>
      </c>
      <c r="AS8" s="174">
        <f t="shared" si="10"/>
        <v>211.60477453580899</v>
      </c>
      <c r="AT8" s="1153">
        <f t="shared" si="11"/>
        <v>3.1740716180371344</v>
      </c>
    </row>
    <row r="9" spans="1:46" ht="14.25" customHeight="1" x14ac:dyDescent="0.3">
      <c r="A9" s="269" t="s">
        <v>95</v>
      </c>
      <c r="B9" s="22" t="s">
        <v>140</v>
      </c>
      <c r="C9" s="123" t="s">
        <v>14</v>
      </c>
      <c r="D9" s="124">
        <v>10</v>
      </c>
      <c r="E9" s="222">
        <f t="shared" si="7"/>
        <v>18.182336182336186</v>
      </c>
      <c r="F9" s="126">
        <v>0.9</v>
      </c>
      <c r="G9" s="120">
        <f t="shared" si="0"/>
        <v>181.82336182336186</v>
      </c>
      <c r="H9" s="119">
        <f t="shared" si="1"/>
        <v>163.64102564102569</v>
      </c>
      <c r="I9" s="80">
        <f>VLOOKUP(B9,All_Ingredients!$A$1:$F$149,6,FALSE())</f>
        <v>1</v>
      </c>
      <c r="J9" s="118">
        <f>VLOOKUP(B9,All_Ingredients!$A$1:$J$149,10,FALSE())</f>
        <v>15.277777777777779</v>
      </c>
      <c r="K9" s="121">
        <f t="shared" si="8"/>
        <v>0.1636410256410257</v>
      </c>
      <c r="L9" s="121">
        <f t="shared" si="9"/>
        <v>2.5000712250712263</v>
      </c>
      <c r="AI9" s="1" t="s">
        <v>95</v>
      </c>
      <c r="AJ9" s="322" t="s">
        <v>760</v>
      </c>
      <c r="AK9" s="333" t="s">
        <v>14</v>
      </c>
      <c r="AL9" s="124">
        <v>100</v>
      </c>
      <c r="AM9" s="222">
        <f t="shared" si="4"/>
        <v>4.2320954907161799</v>
      </c>
      <c r="AN9" s="126">
        <v>1</v>
      </c>
      <c r="AO9" s="120">
        <f t="shared" si="5"/>
        <v>423.20954907161797</v>
      </c>
      <c r="AP9" s="119">
        <f t="shared" si="6"/>
        <v>423.20954907161797</v>
      </c>
      <c r="AQ9" s="1153">
        <f>VLOOKUP(AJ9,Marination_Ordering!$A:$J,6,FALSE)</f>
        <v>1</v>
      </c>
      <c r="AR9" s="1153">
        <f>VLOOKUP(AJ9,Marination_Ordering!$A:$J,10,FALSE)</f>
        <v>43.333333333333336</v>
      </c>
      <c r="AS9" s="174">
        <f t="shared" ref="AS9:AS13" si="12">AP9/AQ9</f>
        <v>423.20954907161797</v>
      </c>
      <c r="AT9" s="1153">
        <f t="shared" ref="AT9:AT13" si="13">AR9*(AS9/1000)</f>
        <v>18.339080459770113</v>
      </c>
    </row>
    <row r="10" spans="1:46" ht="14.25" customHeight="1" x14ac:dyDescent="0.3">
      <c r="A10" s="269" t="s">
        <v>154</v>
      </c>
      <c r="B10" s="22" t="s">
        <v>160</v>
      </c>
      <c r="C10" s="123" t="s">
        <v>161</v>
      </c>
      <c r="D10" s="124">
        <v>600</v>
      </c>
      <c r="E10" s="222">
        <f t="shared" si="7"/>
        <v>18.182336182336186</v>
      </c>
      <c r="F10" s="126">
        <v>1</v>
      </c>
      <c r="G10" s="118">
        <f t="shared" si="0"/>
        <v>10909.401709401713</v>
      </c>
      <c r="H10" s="119">
        <f t="shared" si="1"/>
        <v>10909.401709401713</v>
      </c>
      <c r="I10" s="80">
        <f>VLOOKUP(B10,All_Ingredients!$A$1:$F$149,6,FALSE())</f>
        <v>1</v>
      </c>
      <c r="J10" s="118">
        <f>VLOOKUP(B10,All_Ingredients!$A$1:$J$149,10,FALSE())</f>
        <v>4.2033333333333331</v>
      </c>
      <c r="K10" s="121">
        <f t="shared" si="8"/>
        <v>10.909401709401713</v>
      </c>
      <c r="L10" s="121">
        <f t="shared" si="9"/>
        <v>45.855851851851867</v>
      </c>
      <c r="AI10" s="1" t="s">
        <v>95</v>
      </c>
      <c r="AJ10" s="322" t="s">
        <v>94</v>
      </c>
      <c r="AK10" s="333" t="s">
        <v>14</v>
      </c>
      <c r="AL10" s="124">
        <v>25</v>
      </c>
      <c r="AM10" s="222">
        <f t="shared" si="4"/>
        <v>4.2320954907161799</v>
      </c>
      <c r="AN10" s="126">
        <v>1</v>
      </c>
      <c r="AO10" s="120">
        <f t="shared" si="5"/>
        <v>105.80238726790449</v>
      </c>
      <c r="AP10" s="119">
        <f t="shared" si="6"/>
        <v>105.80238726790449</v>
      </c>
      <c r="AQ10" s="1153">
        <f>VLOOKUP(AJ10,Marination_Ordering!$A:$J,6,FALSE)</f>
        <v>1</v>
      </c>
      <c r="AR10" s="1153">
        <f>VLOOKUP(AJ10,Marination_Ordering!$A:$J,10,FALSE)</f>
        <v>0.74</v>
      </c>
      <c r="AS10" s="174">
        <f t="shared" si="12"/>
        <v>105.80238726790449</v>
      </c>
      <c r="AT10" s="1153">
        <f t="shared" si="13"/>
        <v>7.8293766578249324E-2</v>
      </c>
    </row>
    <row r="11" spans="1:46" ht="14.25" customHeight="1" x14ac:dyDescent="0.3">
      <c r="A11" s="269" t="s">
        <v>154</v>
      </c>
      <c r="B11" s="22" t="s">
        <v>167</v>
      </c>
      <c r="C11" s="123" t="s">
        <v>161</v>
      </c>
      <c r="D11" s="124">
        <v>600</v>
      </c>
      <c r="E11" s="222">
        <f t="shared" si="7"/>
        <v>18.182336182336186</v>
      </c>
      <c r="F11" s="126">
        <v>1</v>
      </c>
      <c r="G11" s="118">
        <f t="shared" si="0"/>
        <v>10909.401709401713</v>
      </c>
      <c r="H11" s="119">
        <f t="shared" si="1"/>
        <v>10909.401709401713</v>
      </c>
      <c r="I11" s="80">
        <f>VLOOKUP(B11,All_Ingredients!$A$1:$F$149,6,FALSE())</f>
        <v>1</v>
      </c>
      <c r="J11" s="118">
        <f>VLOOKUP(B11,All_Ingredients!$A$1:$J$149,10,FALSE())</f>
        <v>12.666666666666666</v>
      </c>
      <c r="K11" s="121">
        <f t="shared" si="8"/>
        <v>10.909401709401713</v>
      </c>
      <c r="L11" s="121">
        <f t="shared" si="9"/>
        <v>138.18575498575504</v>
      </c>
      <c r="AI11" s="1" t="s">
        <v>95</v>
      </c>
      <c r="AJ11" s="322" t="s">
        <v>100</v>
      </c>
      <c r="AK11" s="333" t="s">
        <v>14</v>
      </c>
      <c r="AL11" s="124">
        <v>25</v>
      </c>
      <c r="AM11" s="222">
        <f t="shared" si="4"/>
        <v>4.2320954907161799</v>
      </c>
      <c r="AN11" s="126">
        <v>1</v>
      </c>
      <c r="AO11" s="120">
        <f t="shared" si="5"/>
        <v>105.80238726790449</v>
      </c>
      <c r="AP11" s="119">
        <f t="shared" si="6"/>
        <v>105.80238726790449</v>
      </c>
      <c r="AQ11" s="1153">
        <f>VLOOKUP(AJ11,Marination_Ordering!$A:$J,6,FALSE)</f>
        <v>1</v>
      </c>
      <c r="AR11" s="1153">
        <f>VLOOKUP(AJ11,Marination_Ordering!$A:$J,10,FALSE)</f>
        <v>31</v>
      </c>
      <c r="AS11" s="174">
        <f t="shared" si="12"/>
        <v>105.80238726790449</v>
      </c>
      <c r="AT11" s="1153">
        <f t="shared" si="13"/>
        <v>3.279874005305039</v>
      </c>
    </row>
    <row r="12" spans="1:46" ht="14.25" customHeight="1" x14ac:dyDescent="0.3">
      <c r="A12" s="269" t="s">
        <v>95</v>
      </c>
      <c r="B12" s="22" t="s">
        <v>94</v>
      </c>
      <c r="C12" s="123" t="s">
        <v>14</v>
      </c>
      <c r="D12" s="124">
        <v>5</v>
      </c>
      <c r="E12" s="222">
        <f t="shared" si="7"/>
        <v>18.182336182336186</v>
      </c>
      <c r="F12" s="126">
        <v>1</v>
      </c>
      <c r="G12" s="120">
        <f t="shared" si="0"/>
        <v>90.911680911680932</v>
      </c>
      <c r="H12" s="119">
        <f t="shared" si="1"/>
        <v>90.911680911680932</v>
      </c>
      <c r="I12" s="80">
        <f>VLOOKUP(B12,All_Ingredients!$A$1:$F$149,6,FALSE())</f>
        <v>1</v>
      </c>
      <c r="J12" s="118">
        <f>VLOOKUP(B12,All_Ingredients!$A$1:$J$149,10,FALSE())</f>
        <v>0.74</v>
      </c>
      <c r="K12" s="121">
        <f t="shared" si="8"/>
        <v>9.0911680911680934E-2</v>
      </c>
      <c r="L12" s="121">
        <f t="shared" si="9"/>
        <v>6.7274643874643894E-2</v>
      </c>
      <c r="AI12" s="1" t="s">
        <v>95</v>
      </c>
      <c r="AJ12" s="322" t="s">
        <v>108</v>
      </c>
      <c r="AK12" s="333" t="s">
        <v>14</v>
      </c>
      <c r="AL12" s="124">
        <v>50</v>
      </c>
      <c r="AM12" s="222">
        <f t="shared" si="4"/>
        <v>4.2320954907161799</v>
      </c>
      <c r="AN12" s="126">
        <v>1</v>
      </c>
      <c r="AO12" s="120">
        <f t="shared" si="5"/>
        <v>211.60477453580899</v>
      </c>
      <c r="AP12" s="119">
        <f t="shared" si="6"/>
        <v>211.60477453580899</v>
      </c>
      <c r="AQ12" s="1153">
        <f>VLOOKUP(AJ12,Marination_Ordering!$A:$J,6,FALSE)</f>
        <v>1</v>
      </c>
      <c r="AR12" s="1153">
        <f>VLOOKUP(AJ12,Marination_Ordering!$A:$J,10,FALSE)</f>
        <v>8</v>
      </c>
      <c r="AS12" s="174">
        <f t="shared" si="12"/>
        <v>211.60477453580899</v>
      </c>
      <c r="AT12" s="1153">
        <f t="shared" si="13"/>
        <v>1.6928381962864718</v>
      </c>
    </row>
    <row r="13" spans="1:46" ht="14.25" customHeight="1" x14ac:dyDescent="0.3">
      <c r="A13" s="269" t="s">
        <v>188</v>
      </c>
      <c r="B13" s="22" t="s">
        <v>187</v>
      </c>
      <c r="C13" s="123" t="s">
        <v>14</v>
      </c>
      <c r="D13" s="124">
        <v>50</v>
      </c>
      <c r="E13" s="222">
        <f t="shared" si="7"/>
        <v>18.182336182336186</v>
      </c>
      <c r="F13" s="126">
        <v>1</v>
      </c>
      <c r="G13" s="120">
        <f t="shared" si="0"/>
        <v>909.11680911680935</v>
      </c>
      <c r="H13" s="119">
        <f t="shared" si="1"/>
        <v>909.11680911680935</v>
      </c>
      <c r="I13" s="80">
        <f>VLOOKUP(B13,All_Ingredients!$A$1:$F$149,6,FALSE())</f>
        <v>1</v>
      </c>
      <c r="J13" s="118">
        <f>VLOOKUP(B13,All_Ingredients!$A$1:$J$149,10,FALSE())</f>
        <v>1.7</v>
      </c>
      <c r="K13" s="121">
        <f t="shared" si="8"/>
        <v>0.90911680911680937</v>
      </c>
      <c r="L13" s="121">
        <f t="shared" si="9"/>
        <v>1.5454985754985759</v>
      </c>
      <c r="AI13" s="1" t="s">
        <v>95</v>
      </c>
      <c r="AJ13" s="322" t="s">
        <v>119</v>
      </c>
      <c r="AK13" s="333" t="s">
        <v>14</v>
      </c>
      <c r="AL13" s="124">
        <v>50</v>
      </c>
      <c r="AM13" s="222">
        <f t="shared" si="4"/>
        <v>4.2320954907161799</v>
      </c>
      <c r="AN13" s="126">
        <v>1</v>
      </c>
      <c r="AO13" s="120">
        <f t="shared" si="5"/>
        <v>211.60477453580899</v>
      </c>
      <c r="AP13" s="119">
        <f t="shared" si="6"/>
        <v>211.60477453580899</v>
      </c>
      <c r="AQ13" s="1153">
        <f>VLOOKUP(AJ13,Marination_Ordering!$A:$J,6,FALSE)</f>
        <v>1</v>
      </c>
      <c r="AR13" s="1153">
        <f>VLOOKUP(AJ13,Marination_Ordering!$A:$J,10,FALSE)</f>
        <v>15</v>
      </c>
      <c r="AS13" s="174">
        <f t="shared" si="12"/>
        <v>211.60477453580899</v>
      </c>
      <c r="AT13" s="1153">
        <f t="shared" si="13"/>
        <v>3.1740716180371344</v>
      </c>
    </row>
    <row r="14" spans="1:46" ht="14.25" customHeight="1" x14ac:dyDescent="0.3">
      <c r="A14" s="269" t="s">
        <v>154</v>
      </c>
      <c r="B14" s="22" t="s">
        <v>761</v>
      </c>
      <c r="C14" s="123" t="s">
        <v>14</v>
      </c>
      <c r="D14" s="124">
        <v>45</v>
      </c>
      <c r="E14" s="222">
        <f t="shared" si="7"/>
        <v>18.182336182336186</v>
      </c>
      <c r="F14" s="126">
        <v>1</v>
      </c>
      <c r="G14" s="120">
        <f t="shared" si="0"/>
        <v>818.2051282051284</v>
      </c>
      <c r="H14" s="119">
        <f t="shared" si="1"/>
        <v>818.2051282051284</v>
      </c>
      <c r="I14" s="80">
        <f>VLOOKUP(B14,All_Ingredients!$A$1:$F$149,6,FALSE())</f>
        <v>1</v>
      </c>
      <c r="J14" s="118">
        <f>VLOOKUP(B14,All_Ingredients!$A$1:$J$149,10,FALSE())</f>
        <v>67.91483113069016</v>
      </c>
      <c r="K14" s="121">
        <f t="shared" si="8"/>
        <v>0.81820512820512836</v>
      </c>
      <c r="L14" s="121">
        <f t="shared" si="9"/>
        <v>55.568263112315982</v>
      </c>
    </row>
    <row r="15" spans="1:46" ht="14.25" customHeight="1" x14ac:dyDescent="0.3">
      <c r="A15" s="269" t="s">
        <v>154</v>
      </c>
      <c r="B15" s="266" t="s">
        <v>153</v>
      </c>
      <c r="C15" s="123" t="s">
        <v>14</v>
      </c>
      <c r="D15" s="124">
        <v>20</v>
      </c>
      <c r="E15" s="222">
        <f t="shared" si="7"/>
        <v>18.182336182336186</v>
      </c>
      <c r="F15" s="126">
        <v>1</v>
      </c>
      <c r="G15" s="120">
        <f t="shared" si="0"/>
        <v>363.64672364672373</v>
      </c>
      <c r="H15" s="119">
        <f t="shared" si="1"/>
        <v>363.64672364672373</v>
      </c>
      <c r="I15" s="80">
        <f>VLOOKUP(B15,All_Ingredients!$A$1:$F$149,6,FALSE())</f>
        <v>1</v>
      </c>
      <c r="J15" s="118">
        <f>VLOOKUP(B15,All_Ingredients!$A$1:$J$149,10,FALSE())</f>
        <v>30</v>
      </c>
      <c r="K15" s="121">
        <f t="shared" si="8"/>
        <v>0.36364672364672374</v>
      </c>
      <c r="L15" s="121">
        <f t="shared" si="9"/>
        <v>10.909401709401711</v>
      </c>
    </row>
    <row r="18" spans="2:32" ht="14.25" customHeight="1" x14ac:dyDescent="0.3">
      <c r="L18" s="208"/>
    </row>
    <row r="19" spans="2:32" ht="14.25" customHeight="1" x14ac:dyDescent="0.3">
      <c r="L19" s="208"/>
    </row>
    <row r="20" spans="2:32" ht="14.25" customHeight="1" x14ac:dyDescent="0.3">
      <c r="L20" s="208"/>
      <c r="R20" s="5"/>
    </row>
    <row r="21" spans="2:32" ht="14.25" customHeight="1" x14ac:dyDescent="0.3">
      <c r="L21" s="208"/>
    </row>
    <row r="22" spans="2:32" ht="14.25" customHeight="1" x14ac:dyDescent="0.3">
      <c r="L22" s="208"/>
    </row>
    <row r="23" spans="2:32" ht="14.25" customHeight="1" x14ac:dyDescent="0.3">
      <c r="L23" s="208"/>
    </row>
    <row r="24" spans="2:32" ht="14.25" customHeight="1" x14ac:dyDescent="0.3">
      <c r="L24" s="208"/>
      <c r="Z24" s="1265"/>
    </row>
    <row r="25" spans="2:32" ht="14.25" customHeight="1" x14ac:dyDescent="0.35">
      <c r="L25" s="208"/>
      <c r="R25" s="1440" t="s">
        <v>477</v>
      </c>
      <c r="S25" s="1444"/>
      <c r="T25" s="1444"/>
      <c r="U25" s="1444"/>
      <c r="V25" s="1132"/>
      <c r="Z25" s="140" t="s">
        <v>256</v>
      </c>
      <c r="AA25" s="141">
        <v>1</v>
      </c>
      <c r="AB25" s="140" t="s">
        <v>253</v>
      </c>
      <c r="AC25" s="142">
        <f>(AA25*(4/3))*AF30+(AA30*(AB28/R1))</f>
        <v>2.5716788621938706E-2</v>
      </c>
      <c r="AD25" s="14"/>
    </row>
    <row r="26" spans="2:32" ht="14.25" customHeight="1" x14ac:dyDescent="0.3">
      <c r="L26" s="208"/>
      <c r="R26" s="1459" t="s">
        <v>257</v>
      </c>
      <c r="S26" s="1444"/>
      <c r="T26" s="1444"/>
      <c r="U26" s="1444"/>
      <c r="V26" s="1132"/>
      <c r="Z26" s="14"/>
      <c r="AA26" s="14"/>
      <c r="AB26" s="14"/>
      <c r="AC26" s="14"/>
      <c r="AD26" s="14"/>
    </row>
    <row r="27" spans="2:32" ht="14.25" customHeight="1" thickBot="1" x14ac:dyDescent="0.35">
      <c r="B27" s="99"/>
      <c r="E27" s="99"/>
      <c r="F27" s="99"/>
      <c r="R27" s="144" t="s">
        <v>258</v>
      </c>
      <c r="S27" s="145" t="s">
        <v>387</v>
      </c>
      <c r="T27" s="145" t="s">
        <v>260</v>
      </c>
      <c r="U27" s="145" t="s">
        <v>261</v>
      </c>
      <c r="V27" s="145" t="s">
        <v>808</v>
      </c>
      <c r="W27" s="145" t="s">
        <v>817</v>
      </c>
      <c r="Z27" s="140" t="s">
        <v>262</v>
      </c>
      <c r="AA27" s="1166" t="s">
        <v>316</v>
      </c>
      <c r="AB27" s="146" t="s">
        <v>263</v>
      </c>
      <c r="AC27" s="146" t="s">
        <v>264</v>
      </c>
      <c r="AD27" s="146" t="s">
        <v>265</v>
      </c>
      <c r="AE27" s="1167" t="s">
        <v>817</v>
      </c>
      <c r="AF27" s="146" t="s">
        <v>266</v>
      </c>
    </row>
    <row r="28" spans="2:32" ht="14.25" customHeight="1" thickBot="1" x14ac:dyDescent="0.35">
      <c r="B28" s="99"/>
      <c r="E28" s="99"/>
      <c r="F28" s="99"/>
      <c r="R28" s="147" t="s">
        <v>267</v>
      </c>
      <c r="S28" s="754">
        <f>U28*S40</f>
        <v>23776.923076923071</v>
      </c>
      <c r="T28" s="754">
        <f>U28*U40</f>
        <v>7133.0769230769301</v>
      </c>
      <c r="U28" s="760">
        <f>Z1</f>
        <v>30910</v>
      </c>
      <c r="V28" s="148">
        <f>SUM(AP5:AP13)</f>
        <v>1735.1591511936335</v>
      </c>
      <c r="W28" s="148">
        <f>SUM(F37:F38)</f>
        <v>420</v>
      </c>
      <c r="Z28" s="150"/>
      <c r="AA28" s="1169"/>
      <c r="AB28" s="151">
        <f>AA25*$S$40</f>
        <v>0.76923076923076905</v>
      </c>
      <c r="AC28" s="151">
        <f>AA25*$U$40</f>
        <v>0.230769230769231</v>
      </c>
      <c r="AD28" s="152">
        <f>AA25*(1/3)</f>
        <v>0.33333333333333331</v>
      </c>
      <c r="AE28" s="1169"/>
      <c r="AF28" s="153">
        <f>SUM(AB28:AD28)</f>
        <v>1.3333333333333333</v>
      </c>
    </row>
    <row r="29" spans="2:32" ht="14.25" customHeight="1" thickBot="1" x14ac:dyDescent="0.35">
      <c r="B29" s="99"/>
      <c r="E29" s="99"/>
      <c r="F29" s="99"/>
      <c r="R29" s="147" t="s">
        <v>268</v>
      </c>
      <c r="S29" s="756"/>
      <c r="T29" s="148">
        <f>U28*(1/3)</f>
        <v>10303.333333333332</v>
      </c>
      <c r="U29" s="754">
        <f>T29</f>
        <v>10303.333333333332</v>
      </c>
      <c r="V29" s="148"/>
      <c r="W29" s="148"/>
      <c r="Z29" s="150"/>
      <c r="AA29" s="1173"/>
      <c r="AB29" s="155">
        <f>AB28/$AF$28</f>
        <v>0.57692307692307687</v>
      </c>
      <c r="AC29" s="155">
        <f>AC28/$AF$28</f>
        <v>0.17307692307692327</v>
      </c>
      <c r="AD29" s="155">
        <f>AD28/$AF$28</f>
        <v>0.25</v>
      </c>
      <c r="AE29" s="1173"/>
      <c r="AF29" s="155">
        <f>AF28/$AF$28</f>
        <v>1</v>
      </c>
    </row>
    <row r="30" spans="2:32" ht="14.25" customHeight="1" thickBot="1" x14ac:dyDescent="0.35">
      <c r="R30" s="147" t="s">
        <v>269</v>
      </c>
      <c r="S30" s="1343">
        <f>U30*S40</f>
        <v>769.23076923076906</v>
      </c>
      <c r="T30" s="754">
        <f>(U30*U40)+(U30*(1/3))</f>
        <v>564.10256410256432</v>
      </c>
      <c r="U30" s="1329">
        <f>AB1</f>
        <v>1000</v>
      </c>
      <c r="V30" s="1124"/>
      <c r="W30" s="1124"/>
      <c r="Z30" s="140" t="s">
        <v>270</v>
      </c>
      <c r="AA30" s="1177">
        <f>V35/(S32/R1)</f>
        <v>8.4268333333333337E-4</v>
      </c>
      <c r="AB30" s="156">
        <f>S35/(S32)</f>
        <v>2.0463253221873916E-2</v>
      </c>
      <c r="AC30" s="157">
        <f>T35/T32</f>
        <v>1.5212088818163222E-2</v>
      </c>
      <c r="AD30" s="157">
        <f>T35/T32</f>
        <v>1.5212088818163222E-2</v>
      </c>
      <c r="AE30" s="1180">
        <f>W35/U32</f>
        <v>2.0777185835161392E-4</v>
      </c>
      <c r="AF30" s="1182">
        <f>SUMPRODUCT(AB30:AD30,AB29:AD29)+AE30</f>
        <v>1.8449378601732545E-2</v>
      </c>
    </row>
    <row r="31" spans="2:32" ht="14.25" customHeight="1" thickBot="1" x14ac:dyDescent="0.35">
      <c r="B31" s="99"/>
      <c r="E31" s="99"/>
      <c r="F31" s="99"/>
      <c r="R31" s="147" t="s">
        <v>271</v>
      </c>
      <c r="S31" s="154"/>
      <c r="T31" s="148"/>
      <c r="U31" s="148"/>
      <c r="V31" s="148"/>
      <c r="W31" s="148"/>
    </row>
    <row r="32" spans="2:32" ht="14.25" customHeight="1" thickBot="1" x14ac:dyDescent="0.35">
      <c r="B32" s="99"/>
      <c r="E32" s="99"/>
      <c r="F32" s="99"/>
      <c r="R32" s="159" t="s">
        <v>261</v>
      </c>
      <c r="S32" s="148">
        <f>SUM(S28:S30)</f>
        <v>24546.15384615384</v>
      </c>
      <c r="T32" s="148">
        <f>SUM(T28:T30)</f>
        <v>18000.512820512824</v>
      </c>
      <c r="U32" s="148">
        <f>SUM(S32:T32)</f>
        <v>42546.666666666664</v>
      </c>
      <c r="V32" s="148"/>
      <c r="W32" s="148">
        <f>SUM(W28:W30)</f>
        <v>420</v>
      </c>
    </row>
    <row r="33" spans="2:23" ht="14.25" customHeight="1" thickBot="1" x14ac:dyDescent="0.35">
      <c r="B33" s="99"/>
      <c r="E33" s="99"/>
      <c r="F33" s="99"/>
      <c r="R33" s="160" t="s">
        <v>272</v>
      </c>
      <c r="S33" s="154"/>
      <c r="T33" s="154"/>
      <c r="U33" s="154"/>
      <c r="V33" s="154"/>
      <c r="W33" s="154"/>
    </row>
    <row r="34" spans="2:23" ht="14.25" customHeight="1" thickBot="1" x14ac:dyDescent="0.35">
      <c r="B34" s="99"/>
      <c r="E34" s="99"/>
      <c r="F34" s="99"/>
      <c r="R34" s="161" t="s">
        <v>273</v>
      </c>
      <c r="S34" s="154"/>
      <c r="T34" s="148"/>
      <c r="U34" s="154"/>
      <c r="V34" s="154"/>
      <c r="W34" s="154"/>
    </row>
    <row r="35" spans="2:23" ht="14.25" customHeight="1" thickBot="1" x14ac:dyDescent="0.35">
      <c r="B35" s="1441" t="s">
        <v>698</v>
      </c>
      <c r="C35" s="1441"/>
      <c r="D35" s="1441"/>
      <c r="E35" s="1441"/>
      <c r="F35" s="1441"/>
      <c r="G35" s="877"/>
      <c r="H35" s="877"/>
      <c r="I35" s="877"/>
      <c r="J35" s="877"/>
      <c r="K35" s="877"/>
      <c r="L35" s="877"/>
      <c r="R35" s="162" t="s">
        <v>253</v>
      </c>
      <c r="S35" s="1125">
        <f>$L$5</f>
        <v>502.29416177692036</v>
      </c>
      <c r="T35" s="1284">
        <f>SUM(L6:L15)</f>
        <v>273.82539979812685</v>
      </c>
      <c r="U35" s="1184">
        <f>S35+T35+V35+W35</f>
        <v>820.62272492606405</v>
      </c>
      <c r="V35" s="1184">
        <f>SUM(AT6:AT13)</f>
        <v>35.663163351016792</v>
      </c>
      <c r="W35" s="1198">
        <f>SUM(L37:L38)</f>
        <v>8.84</v>
      </c>
    </row>
    <row r="36" spans="2:23" ht="46.5" x14ac:dyDescent="0.3">
      <c r="B36" s="848" t="s">
        <v>245</v>
      </c>
      <c r="C36" s="848" t="s">
        <v>321</v>
      </c>
      <c r="D36" s="850" t="s">
        <v>645</v>
      </c>
      <c r="E36" s="847" t="s">
        <v>646</v>
      </c>
      <c r="F36" s="850" t="s">
        <v>647</v>
      </c>
      <c r="G36" s="870"/>
      <c r="H36" s="850" t="s">
        <v>647</v>
      </c>
      <c r="I36" s="850" t="s">
        <v>250</v>
      </c>
      <c r="J36" s="850" t="s">
        <v>251</v>
      </c>
      <c r="K36" s="850" t="s">
        <v>252</v>
      </c>
      <c r="L36" s="850" t="s">
        <v>253</v>
      </c>
    </row>
    <row r="37" spans="2:23" x14ac:dyDescent="0.3">
      <c r="B37" s="843" t="s">
        <v>178</v>
      </c>
      <c r="C37" s="844" t="s">
        <v>14</v>
      </c>
      <c r="D37" s="845">
        <v>1</v>
      </c>
      <c r="E37" s="843">
        <f>$AD$1</f>
        <v>210</v>
      </c>
      <c r="F37" s="843">
        <f>D37*E37</f>
        <v>210</v>
      </c>
      <c r="G37" s="869"/>
      <c r="H37" s="843">
        <f>F37</f>
        <v>210</v>
      </c>
      <c r="I37" s="843">
        <f>VLOOKUP(B37,All_Ingredients!$A$1:$F$149,6,FALSE())</f>
        <v>1</v>
      </c>
      <c r="J37" s="843">
        <f>VLOOKUP(B37,All_Ingredients!$A$1:$J$149,10,FALSE())</f>
        <v>39</v>
      </c>
      <c r="K37" s="843">
        <f>(H37/I37)/1000</f>
        <v>0.21</v>
      </c>
      <c r="L37" s="843">
        <f>K37*J37</f>
        <v>8.19</v>
      </c>
    </row>
    <row r="38" spans="2:23" x14ac:dyDescent="0.3">
      <c r="B38" s="843" t="s">
        <v>19</v>
      </c>
      <c r="C38" s="844" t="s">
        <v>14</v>
      </c>
      <c r="D38" s="845">
        <v>1</v>
      </c>
      <c r="E38" s="843">
        <f>$AD$1</f>
        <v>210</v>
      </c>
      <c r="F38" s="843">
        <f>D38*E38</f>
        <v>210</v>
      </c>
      <c r="G38" s="869"/>
      <c r="H38" s="843">
        <f>F38</f>
        <v>210</v>
      </c>
      <c r="I38" s="843">
        <f>VLOOKUP(B38,All_Ingredients!$A$1:$F$149,6,FALSE())</f>
        <v>0.84</v>
      </c>
      <c r="J38" s="843">
        <f>VLOOKUP(B38,All_Ingredients!$A$1:$J$149,10,FALSE())</f>
        <v>2.6</v>
      </c>
      <c r="K38" s="843">
        <f>(H38/I38)/1000</f>
        <v>0.25</v>
      </c>
      <c r="L38" s="843">
        <f>K38*J38</f>
        <v>0.65</v>
      </c>
    </row>
    <row r="40" spans="2:23" ht="15.75" customHeight="1" x14ac:dyDescent="0.3">
      <c r="Q40" s="14"/>
      <c r="R40" s="164" t="s">
        <v>274</v>
      </c>
      <c r="S40" s="165">
        <v>0.76923076923076905</v>
      </c>
      <c r="T40" s="164" t="s">
        <v>275</v>
      </c>
      <c r="U40" s="166">
        <v>0.230769230769231</v>
      </c>
      <c r="V40" s="167">
        <f>S40+U40</f>
        <v>1</v>
      </c>
      <c r="W40" s="14"/>
    </row>
    <row r="41" spans="2:23" ht="14.25" customHeight="1" x14ac:dyDescent="0.3">
      <c r="Q41" s="14"/>
      <c r="R41" s="14"/>
      <c r="S41" s="14"/>
      <c r="T41" s="14"/>
      <c r="U41" s="168"/>
      <c r="V41" s="14"/>
      <c r="W41" s="14"/>
    </row>
    <row r="42" spans="2:23" ht="14.25" customHeight="1" x14ac:dyDescent="0.3">
      <c r="Q42" s="14"/>
      <c r="R42" s="14"/>
      <c r="S42" s="14"/>
      <c r="T42" s="14"/>
      <c r="U42" s="14"/>
      <c r="V42" s="14"/>
      <c r="W42" s="14"/>
    </row>
    <row r="43" spans="2:23" ht="14.25" customHeight="1" thickBot="1" x14ac:dyDescent="0.35">
      <c r="Q43" s="169" t="s">
        <v>276</v>
      </c>
      <c r="R43" s="169" t="s">
        <v>277</v>
      </c>
      <c r="S43" s="169" t="s">
        <v>278</v>
      </c>
      <c r="T43" s="169" t="s">
        <v>279</v>
      </c>
      <c r="U43" s="169" t="s">
        <v>280</v>
      </c>
      <c r="V43" s="169" t="s">
        <v>281</v>
      </c>
      <c r="W43" s="169" t="s">
        <v>282</v>
      </c>
    </row>
    <row r="44" spans="2:23" ht="12.75" customHeight="1" thickBot="1" x14ac:dyDescent="0.35">
      <c r="Q44" s="1338">
        <v>17728</v>
      </c>
      <c r="R44" s="172">
        <f>D51</f>
        <v>10000</v>
      </c>
      <c r="S44" s="1340">
        <v>0.40909090909090912</v>
      </c>
      <c r="T44" s="1340">
        <v>0.59090909090909094</v>
      </c>
      <c r="U44" s="241">
        <f>R44*S44</f>
        <v>4090.909090909091</v>
      </c>
      <c r="V44" s="175">
        <f>R44*T44</f>
        <v>5909.090909090909</v>
      </c>
      <c r="W44" s="175">
        <f>Q44-U44</f>
        <v>13637.090909090908</v>
      </c>
    </row>
    <row r="50" spans="1:10" x14ac:dyDescent="0.3">
      <c r="B50" s="275"/>
      <c r="C50" s="144" t="s">
        <v>237</v>
      </c>
      <c r="D50" s="144" t="s">
        <v>283</v>
      </c>
      <c r="E50" s="99"/>
      <c r="F50" s="99"/>
      <c r="G50" s="144" t="s">
        <v>284</v>
      </c>
      <c r="H50" s="144" t="s">
        <v>237</v>
      </c>
      <c r="I50" s="144" t="s">
        <v>285</v>
      </c>
      <c r="J50" s="144" t="s">
        <v>286</v>
      </c>
    </row>
    <row r="51" spans="1:10" ht="14.25" customHeight="1" x14ac:dyDescent="0.3">
      <c r="B51" s="179" t="s">
        <v>287</v>
      </c>
      <c r="C51" s="180">
        <f>10/$K$1</f>
        <v>10.1010101010101</v>
      </c>
      <c r="D51" s="181">
        <f>$C$1*10</f>
        <v>10000</v>
      </c>
      <c r="E51" s="182"/>
      <c r="F51" s="99"/>
      <c r="G51" s="179" t="s">
        <v>287</v>
      </c>
      <c r="H51" s="276">
        <f>I51/$D$5</f>
        <v>10</v>
      </c>
      <c r="I51" s="180">
        <f>J51/$R$1</f>
        <v>23512.225705329154</v>
      </c>
      <c r="J51" s="180">
        <f>$W$44</f>
        <v>13637.090909090908</v>
      </c>
    </row>
    <row r="52" spans="1:10" ht="14.25" customHeight="1" x14ac:dyDescent="0.3">
      <c r="B52" s="230" t="s">
        <v>266</v>
      </c>
      <c r="C52" s="231">
        <f>$I$1</f>
        <v>18.182336182336186</v>
      </c>
      <c r="D52" s="232">
        <f>$E$1</f>
        <v>18000.512820512824</v>
      </c>
      <c r="E52" s="99"/>
      <c r="F52" s="99"/>
      <c r="G52" s="147" t="s">
        <v>266</v>
      </c>
      <c r="H52" s="209">
        <f>I52/$D$5</f>
        <v>17.999552844361116</v>
      </c>
      <c r="I52" s="175">
        <f>J52/$R$1</f>
        <v>42320.954907161795</v>
      </c>
      <c r="J52" s="183">
        <f>$S$32</f>
        <v>24546.15384615384</v>
      </c>
    </row>
    <row r="53" spans="1:10" ht="14.25" customHeight="1" x14ac:dyDescent="0.3">
      <c r="B53" s="230" t="s">
        <v>288</v>
      </c>
      <c r="C53" s="233">
        <f>MIN(C52, C51)</f>
        <v>10.1010101010101</v>
      </c>
      <c r="D53" s="232">
        <f>(C53*$K$1)*$C$1</f>
        <v>10000</v>
      </c>
      <c r="E53" s="99"/>
      <c r="F53" s="99"/>
      <c r="G53" s="147" t="s">
        <v>288</v>
      </c>
      <c r="H53" s="186">
        <f>MIN(H52,H51)</f>
        <v>10</v>
      </c>
      <c r="I53" s="175">
        <f>J53/$R$1</f>
        <v>23512.225705329154</v>
      </c>
      <c r="J53" s="175">
        <f>MIN(J52,J51)</f>
        <v>13637.090909090908</v>
      </c>
    </row>
    <row r="54" spans="1:10" ht="14.25" customHeight="1" x14ac:dyDescent="0.3">
      <c r="B54" s="230" t="s">
        <v>289</v>
      </c>
      <c r="C54" s="233">
        <f>MIN(MAX(C52-C53,0),C51)</f>
        <v>8.0813260813260861</v>
      </c>
      <c r="D54" s="232">
        <f>(C54*$K$1)*$C$1</f>
        <v>8000.512820512824</v>
      </c>
      <c r="E54" s="99"/>
      <c r="F54" s="99"/>
      <c r="G54" s="147" t="s">
        <v>289</v>
      </c>
      <c r="H54" s="186">
        <f>MIN(MAX(H52-H53),H51)</f>
        <v>7.9995528443611157</v>
      </c>
      <c r="I54" s="175">
        <f>J54/$R$1</f>
        <v>18808.729201832644</v>
      </c>
      <c r="J54" s="175">
        <f>MIN(MAX(J52-J53),J51)</f>
        <v>10909.062937062932</v>
      </c>
    </row>
    <row r="55" spans="1:10" ht="14.25" customHeight="1" x14ac:dyDescent="0.3">
      <c r="B55" s="230" t="s">
        <v>290</v>
      </c>
      <c r="C55" s="233">
        <f>MIN(MAX(C52-C53-C54,0),C51)</f>
        <v>0</v>
      </c>
      <c r="D55" s="232">
        <f>(C55*$K$1)*$C$1</f>
        <v>0</v>
      </c>
      <c r="E55" s="99"/>
      <c r="F55" s="99"/>
      <c r="G55" s="144" t="s">
        <v>290</v>
      </c>
      <c r="H55" s="186">
        <f>MIN(MAX(H52-H53-H54),H51)</f>
        <v>0</v>
      </c>
      <c r="I55" s="175">
        <f>J55/$R$1</f>
        <v>0</v>
      </c>
      <c r="J55" s="175">
        <f>MIN(MAX(J52-J53-J54),J51)</f>
        <v>0</v>
      </c>
    </row>
    <row r="56" spans="1:10" ht="14.25" customHeight="1" x14ac:dyDescent="0.3"/>
    <row r="62" spans="1:10" ht="17.75" customHeight="1" x14ac:dyDescent="0.3">
      <c r="A62" s="923"/>
      <c r="B62" s="1438" t="str">
        <f>"كرات اللحم الفرنسية   1 / " &amp; COUNTIF($C$53:$C$55, "&gt;0")</f>
        <v>كرات اللحم الفرنسية   1 / 2</v>
      </c>
      <c r="C62" s="1439"/>
      <c r="D62" s="1439"/>
      <c r="E62" s="1439"/>
      <c r="F62" s="1439"/>
      <c r="G62" s="1439"/>
      <c r="H62" s="1439"/>
    </row>
    <row r="63" spans="1:10" ht="17.75" customHeight="1" x14ac:dyDescent="0.3">
      <c r="A63" s="923"/>
      <c r="B63" s="1436" t="str">
        <f>"French Meatball   1 / " &amp; COUNTIF($C$53:$C$55, "&gt;0")</f>
        <v>French Meatball   1 / 2</v>
      </c>
      <c r="C63" s="1437"/>
      <c r="D63" s="1437"/>
      <c r="E63" s="1437"/>
      <c r="F63" s="1437"/>
      <c r="G63" s="1437"/>
      <c r="H63" s="1437"/>
    </row>
    <row r="64" spans="1:10" ht="41" customHeight="1" x14ac:dyDescent="0.3">
      <c r="A64" s="90"/>
      <c r="B64" s="90" t="s">
        <v>245</v>
      </c>
      <c r="C64" s="106" t="s">
        <v>246</v>
      </c>
      <c r="D64" s="90" t="s">
        <v>235</v>
      </c>
      <c r="E64" s="107" t="s">
        <v>238</v>
      </c>
      <c r="F64" s="107" t="s">
        <v>247</v>
      </c>
      <c r="G64" s="90" t="s">
        <v>248</v>
      </c>
      <c r="H64" s="217" t="s">
        <v>249</v>
      </c>
    </row>
    <row r="65" spans="1:8" ht="14.25" customHeight="1" x14ac:dyDescent="0.3">
      <c r="A65" s="269" t="s">
        <v>225</v>
      </c>
      <c r="B65" s="123" t="str">
        <f t="shared" ref="B65:D75" si="14">B5</f>
        <v>Indian Meat Tammam Mafroom - مفروم هندى</v>
      </c>
      <c r="C65" s="123" t="str">
        <f t="shared" si="14"/>
        <v>gm</v>
      </c>
      <c r="D65" s="119">
        <f t="shared" si="14"/>
        <v>2351.2225705329156</v>
      </c>
      <c r="E65" s="196">
        <f>H53</f>
        <v>10</v>
      </c>
      <c r="F65" s="126">
        <f t="shared" ref="F65:F75" si="15">F5</f>
        <v>1</v>
      </c>
      <c r="G65" s="118">
        <f t="shared" ref="G65:G75" si="16">D65*E65</f>
        <v>23512.225705329154</v>
      </c>
      <c r="H65" s="119">
        <f t="shared" ref="H65:H75" si="17">G65*F65</f>
        <v>23512.225705329154</v>
      </c>
    </row>
    <row r="66" spans="1:8" ht="14.25" customHeight="1" x14ac:dyDescent="0.3">
      <c r="A66" s="269" t="s">
        <v>13</v>
      </c>
      <c r="B66" s="123" t="str">
        <f t="shared" si="14"/>
        <v>Green Onion - بصل أخضر</v>
      </c>
      <c r="C66" s="123" t="str">
        <f t="shared" si="14"/>
        <v>gm</v>
      </c>
      <c r="D66" s="123">
        <f t="shared" si="14"/>
        <v>150</v>
      </c>
      <c r="E66" s="196">
        <f t="shared" ref="E66:E75" si="18">$C$53</f>
        <v>10.1010101010101</v>
      </c>
      <c r="F66" s="126">
        <f t="shared" si="15"/>
        <v>1</v>
      </c>
      <c r="G66" s="118">
        <f t="shared" si="16"/>
        <v>1515.151515151515</v>
      </c>
      <c r="H66" s="119">
        <f t="shared" si="17"/>
        <v>1515.151515151515</v>
      </c>
    </row>
    <row r="67" spans="1:8" ht="14.25" customHeight="1" x14ac:dyDescent="0.3">
      <c r="A67" s="269" t="s">
        <v>13</v>
      </c>
      <c r="B67" s="123" t="str">
        <f t="shared" si="14"/>
        <v>Garlic - ثوم مقشر</v>
      </c>
      <c r="C67" s="123" t="str">
        <f t="shared" si="14"/>
        <v>gm</v>
      </c>
      <c r="D67" s="123">
        <f t="shared" si="14"/>
        <v>30</v>
      </c>
      <c r="E67" s="196">
        <f t="shared" si="18"/>
        <v>10.1010101010101</v>
      </c>
      <c r="F67" s="126">
        <f t="shared" si="15"/>
        <v>1</v>
      </c>
      <c r="G67" s="118">
        <f t="shared" si="16"/>
        <v>303.030303030303</v>
      </c>
      <c r="H67" s="119">
        <f t="shared" si="17"/>
        <v>303.030303030303</v>
      </c>
    </row>
    <row r="68" spans="1:8" ht="14.25" customHeight="1" x14ac:dyDescent="0.3">
      <c r="A68" s="269" t="s">
        <v>95</v>
      </c>
      <c r="B68" s="123" t="str">
        <f t="shared" si="14"/>
        <v>White Pepper - فلفل أبيض</v>
      </c>
      <c r="C68" s="123" t="str">
        <f t="shared" si="14"/>
        <v>gm</v>
      </c>
      <c r="D68" s="123">
        <f t="shared" si="14"/>
        <v>6</v>
      </c>
      <c r="E68" s="196">
        <f t="shared" si="18"/>
        <v>10.1010101010101</v>
      </c>
      <c r="F68" s="126">
        <f t="shared" si="15"/>
        <v>0.75</v>
      </c>
      <c r="G68" s="118">
        <f t="shared" si="16"/>
        <v>60.606060606060602</v>
      </c>
      <c r="H68" s="119">
        <f t="shared" si="17"/>
        <v>45.454545454545453</v>
      </c>
    </row>
    <row r="69" spans="1:8" ht="14.25" customHeight="1" x14ac:dyDescent="0.3">
      <c r="A69" s="269" t="s">
        <v>95</v>
      </c>
      <c r="B69" s="123" t="str">
        <f t="shared" si="14"/>
        <v>Maggi Cubes - مكعبات ماجي</v>
      </c>
      <c r="C69" s="123" t="str">
        <f t="shared" si="14"/>
        <v>gm</v>
      </c>
      <c r="D69" s="123">
        <f t="shared" si="14"/>
        <v>10</v>
      </c>
      <c r="E69" s="196">
        <f t="shared" si="18"/>
        <v>10.1010101010101</v>
      </c>
      <c r="F69" s="126">
        <f t="shared" si="15"/>
        <v>0.9</v>
      </c>
      <c r="G69" s="118">
        <f t="shared" si="16"/>
        <v>101.01010101010101</v>
      </c>
      <c r="H69" s="119">
        <f t="shared" si="17"/>
        <v>90.909090909090907</v>
      </c>
    </row>
    <row r="70" spans="1:8" ht="14.25" customHeight="1" x14ac:dyDescent="0.3">
      <c r="A70" s="269" t="s">
        <v>154</v>
      </c>
      <c r="B70" s="123" t="str">
        <f t="shared" si="14"/>
        <v>Milk - حليب</v>
      </c>
      <c r="C70" s="123" t="str">
        <f t="shared" si="14"/>
        <v>ml</v>
      </c>
      <c r="D70" s="123">
        <f t="shared" si="14"/>
        <v>600</v>
      </c>
      <c r="E70" s="196">
        <f t="shared" si="18"/>
        <v>10.1010101010101</v>
      </c>
      <c r="F70" s="126">
        <f t="shared" si="15"/>
        <v>1</v>
      </c>
      <c r="G70" s="118">
        <f t="shared" si="16"/>
        <v>6060.6060606060601</v>
      </c>
      <c r="H70" s="119">
        <f t="shared" si="17"/>
        <v>6060.6060606060601</v>
      </c>
    </row>
    <row r="71" spans="1:8" ht="14.25" customHeight="1" x14ac:dyDescent="0.3">
      <c r="A71" s="269" t="s">
        <v>154</v>
      </c>
      <c r="B71" s="123" t="str">
        <f t="shared" si="14"/>
        <v>Cooking Cream - كريمة طبخ</v>
      </c>
      <c r="C71" s="123" t="str">
        <f t="shared" si="14"/>
        <v>ml</v>
      </c>
      <c r="D71" s="123">
        <f t="shared" si="14"/>
        <v>600</v>
      </c>
      <c r="E71" s="196">
        <f t="shared" si="18"/>
        <v>10.1010101010101</v>
      </c>
      <c r="F71" s="126">
        <f t="shared" si="15"/>
        <v>1</v>
      </c>
      <c r="G71" s="118">
        <f t="shared" si="16"/>
        <v>6060.6060606060601</v>
      </c>
      <c r="H71" s="119">
        <f t="shared" si="17"/>
        <v>6060.6060606060601</v>
      </c>
    </row>
    <row r="72" spans="1:8" ht="14.25" customHeight="1" x14ac:dyDescent="0.3">
      <c r="A72" s="269" t="s">
        <v>95</v>
      </c>
      <c r="B72" s="123" t="str">
        <f t="shared" si="14"/>
        <v>Salt - ملح</v>
      </c>
      <c r="C72" s="123" t="str">
        <f t="shared" si="14"/>
        <v>gm</v>
      </c>
      <c r="D72" s="123">
        <f t="shared" si="14"/>
        <v>5</v>
      </c>
      <c r="E72" s="196">
        <f t="shared" si="18"/>
        <v>10.1010101010101</v>
      </c>
      <c r="F72" s="126">
        <f t="shared" si="15"/>
        <v>1</v>
      </c>
      <c r="G72" s="118">
        <f t="shared" si="16"/>
        <v>50.505050505050505</v>
      </c>
      <c r="H72" s="119">
        <f t="shared" si="17"/>
        <v>50.505050505050505</v>
      </c>
    </row>
    <row r="73" spans="1:8" ht="14.25" customHeight="1" x14ac:dyDescent="0.3">
      <c r="A73" s="269" t="s">
        <v>188</v>
      </c>
      <c r="B73" s="123" t="str">
        <f t="shared" si="14"/>
        <v>Flour - دقيق</v>
      </c>
      <c r="C73" s="123" t="str">
        <f t="shared" si="14"/>
        <v>gm</v>
      </c>
      <c r="D73" s="123">
        <f t="shared" si="14"/>
        <v>50</v>
      </c>
      <c r="E73" s="196">
        <f t="shared" si="18"/>
        <v>10.1010101010101</v>
      </c>
      <c r="F73" s="126">
        <f t="shared" si="15"/>
        <v>1</v>
      </c>
      <c r="G73" s="118">
        <f t="shared" si="16"/>
        <v>505.05050505050502</v>
      </c>
      <c r="H73" s="119">
        <f t="shared" si="17"/>
        <v>505.05050505050502</v>
      </c>
    </row>
    <row r="74" spans="1:8" ht="14.25" customHeight="1" x14ac:dyDescent="0.3">
      <c r="A74" s="269" t="s">
        <v>154</v>
      </c>
      <c r="B74" s="123" t="str">
        <f t="shared" si="14"/>
        <v>Parmesan Cheese Powder - بديل البارميزان</v>
      </c>
      <c r="C74" s="123" t="str">
        <f t="shared" si="14"/>
        <v>gm</v>
      </c>
      <c r="D74" s="123">
        <f t="shared" si="14"/>
        <v>45</v>
      </c>
      <c r="E74" s="196">
        <f t="shared" si="18"/>
        <v>10.1010101010101</v>
      </c>
      <c r="F74" s="126">
        <f t="shared" si="15"/>
        <v>1</v>
      </c>
      <c r="G74" s="118">
        <f t="shared" si="16"/>
        <v>454.5454545454545</v>
      </c>
      <c r="H74" s="119">
        <f t="shared" si="17"/>
        <v>454.5454545454545</v>
      </c>
    </row>
    <row r="75" spans="1:8" ht="14.25" customHeight="1" x14ac:dyDescent="0.3">
      <c r="A75" s="269" t="s">
        <v>154</v>
      </c>
      <c r="B75" s="123" t="str">
        <f t="shared" si="14"/>
        <v>Butter - زبدة</v>
      </c>
      <c r="C75" s="123" t="str">
        <f t="shared" si="14"/>
        <v>gm</v>
      </c>
      <c r="D75" s="123">
        <f t="shared" si="14"/>
        <v>20</v>
      </c>
      <c r="E75" s="196">
        <f t="shared" si="18"/>
        <v>10.1010101010101</v>
      </c>
      <c r="F75" s="126">
        <f t="shared" si="15"/>
        <v>1</v>
      </c>
      <c r="G75" s="118">
        <f t="shared" si="16"/>
        <v>202.02020202020202</v>
      </c>
      <c r="H75" s="119">
        <f t="shared" si="17"/>
        <v>202.02020202020202</v>
      </c>
    </row>
    <row r="76" spans="1:8" ht="20.25" customHeight="1" x14ac:dyDescent="0.3">
      <c r="A76" s="210"/>
      <c r="B76" s="197" t="s">
        <v>291</v>
      </c>
      <c r="C76" s="199" t="s">
        <v>277</v>
      </c>
      <c r="D76" s="14"/>
      <c r="E76" s="199" t="s">
        <v>292</v>
      </c>
      <c r="F76" s="14"/>
      <c r="G76" s="878" t="s">
        <v>268</v>
      </c>
      <c r="H76" s="878" t="s">
        <v>703</v>
      </c>
    </row>
    <row r="77" spans="1:8" ht="20.75" customHeight="1" x14ac:dyDescent="0.4">
      <c r="A77" s="210"/>
      <c r="B77" s="198">
        <f>$J$53</f>
        <v>13637.090909090908</v>
      </c>
      <c r="C77" s="198">
        <f>E77+G77</f>
        <v>10000</v>
      </c>
      <c r="D77" s="915"/>
      <c r="E77" s="198">
        <f>$D$53*$S$44</f>
        <v>4090.909090909091</v>
      </c>
      <c r="F77" s="919"/>
      <c r="G77" s="198">
        <f>$D$53*$T$44</f>
        <v>5909.090909090909</v>
      </c>
      <c r="H77" s="198">
        <f>B77+E77</f>
        <v>17728</v>
      </c>
    </row>
    <row r="78" spans="1:8" ht="14.25" customHeight="1" x14ac:dyDescent="0.3">
      <c r="B78" s="99"/>
      <c r="C78" s="207"/>
      <c r="D78" s="208"/>
      <c r="E78" s="99"/>
      <c r="F78" s="99"/>
    </row>
    <row r="79" spans="1:8" ht="17.75" customHeight="1" x14ac:dyDescent="0.3">
      <c r="A79" s="923"/>
      <c r="B79" s="1438" t="str">
        <f>"كرات اللحم الفرنسية   2 / " &amp; COUNTIF($C$53:$C$55, "&gt;0")</f>
        <v>كرات اللحم الفرنسية   2 / 2</v>
      </c>
      <c r="C79" s="1439"/>
      <c r="D79" s="1439"/>
      <c r="E79" s="1439"/>
      <c r="F79" s="1439"/>
      <c r="G79" s="1439"/>
      <c r="H79" s="1439"/>
    </row>
    <row r="80" spans="1:8" ht="17.75" customHeight="1" x14ac:dyDescent="0.3">
      <c r="A80" s="923"/>
      <c r="B80" s="1436" t="str">
        <f>"French Meatball   2 / " &amp; COUNTIF($C$53:$C$55, "&gt;0")</f>
        <v>French Meatball   2 / 2</v>
      </c>
      <c r="C80" s="1437"/>
      <c r="D80" s="1437"/>
      <c r="E80" s="1437"/>
      <c r="F80" s="1437"/>
      <c r="G80" s="1437"/>
      <c r="H80" s="1437"/>
    </row>
    <row r="81" spans="1:10" ht="51.5" customHeight="1" x14ac:dyDescent="0.3">
      <c r="A81" s="90"/>
      <c r="B81" s="90" t="s">
        <v>245</v>
      </c>
      <c r="C81" s="106" t="s">
        <v>246</v>
      </c>
      <c r="D81" s="90" t="s">
        <v>235</v>
      </c>
      <c r="E81" s="107" t="s">
        <v>238</v>
      </c>
      <c r="F81" s="107" t="s">
        <v>247</v>
      </c>
      <c r="G81" s="90" t="s">
        <v>248</v>
      </c>
      <c r="H81" s="217" t="s">
        <v>249</v>
      </c>
    </row>
    <row r="82" spans="1:10" ht="14.25" customHeight="1" x14ac:dyDescent="0.3">
      <c r="A82" s="269" t="s">
        <v>225</v>
      </c>
      <c r="B82" s="123" t="str">
        <f t="shared" ref="B82:D92" si="19">B5</f>
        <v>Indian Meat Tammam Mafroom - مفروم هندى</v>
      </c>
      <c r="C82" s="123" t="str">
        <f t="shared" si="19"/>
        <v>gm</v>
      </c>
      <c r="D82" s="119">
        <f t="shared" si="19"/>
        <v>2351.2225705329156</v>
      </c>
      <c r="E82" s="222">
        <f>H54</f>
        <v>7.9995528443611157</v>
      </c>
      <c r="F82" s="126">
        <f t="shared" ref="F82:F92" si="20">F5</f>
        <v>1</v>
      </c>
      <c r="G82" s="118">
        <f t="shared" ref="G82:G92" si="21">D82*E82</f>
        <v>18808.729201832641</v>
      </c>
      <c r="H82" s="119">
        <f t="shared" ref="H82:H92" si="22">G82*F82</f>
        <v>18808.729201832641</v>
      </c>
    </row>
    <row r="83" spans="1:10" ht="14.25" customHeight="1" x14ac:dyDescent="0.3">
      <c r="A83" s="269" t="s">
        <v>13</v>
      </c>
      <c r="B83" s="123" t="str">
        <f t="shared" si="19"/>
        <v>Green Onion - بصل أخضر</v>
      </c>
      <c r="C83" s="123" t="str">
        <f t="shared" si="19"/>
        <v>gm</v>
      </c>
      <c r="D83" s="123">
        <f t="shared" si="19"/>
        <v>150</v>
      </c>
      <c r="E83" s="222">
        <f t="shared" ref="E83:E92" si="23">$C$54</f>
        <v>8.0813260813260861</v>
      </c>
      <c r="F83" s="126">
        <f t="shared" si="20"/>
        <v>1</v>
      </c>
      <c r="G83" s="118">
        <f t="shared" si="21"/>
        <v>1212.1989121989129</v>
      </c>
      <c r="H83" s="119">
        <f t="shared" si="22"/>
        <v>1212.1989121989129</v>
      </c>
    </row>
    <row r="84" spans="1:10" ht="14.25" customHeight="1" x14ac:dyDescent="0.3">
      <c r="A84" s="269" t="s">
        <v>13</v>
      </c>
      <c r="B84" s="123" t="str">
        <f t="shared" si="19"/>
        <v>Garlic - ثوم مقشر</v>
      </c>
      <c r="C84" s="123" t="str">
        <f t="shared" si="19"/>
        <v>gm</v>
      </c>
      <c r="D84" s="123">
        <f t="shared" si="19"/>
        <v>30</v>
      </c>
      <c r="E84" s="222">
        <f t="shared" si="23"/>
        <v>8.0813260813260861</v>
      </c>
      <c r="F84" s="126">
        <f t="shared" si="20"/>
        <v>1</v>
      </c>
      <c r="G84" s="118">
        <f t="shared" si="21"/>
        <v>242.43978243978259</v>
      </c>
      <c r="H84" s="119">
        <f t="shared" si="22"/>
        <v>242.43978243978259</v>
      </c>
    </row>
    <row r="85" spans="1:10" ht="14.25" customHeight="1" x14ac:dyDescent="0.3">
      <c r="A85" s="269" t="s">
        <v>95</v>
      </c>
      <c r="B85" s="123" t="str">
        <f t="shared" si="19"/>
        <v>White Pepper - فلفل أبيض</v>
      </c>
      <c r="C85" s="123" t="str">
        <f t="shared" si="19"/>
        <v>gm</v>
      </c>
      <c r="D85" s="123">
        <f t="shared" si="19"/>
        <v>6</v>
      </c>
      <c r="E85" s="222">
        <f t="shared" si="23"/>
        <v>8.0813260813260861</v>
      </c>
      <c r="F85" s="126">
        <f t="shared" si="20"/>
        <v>0.75</v>
      </c>
      <c r="G85" s="118">
        <f t="shared" si="21"/>
        <v>48.487956487956517</v>
      </c>
      <c r="H85" s="119">
        <f t="shared" si="22"/>
        <v>36.365967365967386</v>
      </c>
    </row>
    <row r="86" spans="1:10" ht="14.25" customHeight="1" x14ac:dyDescent="0.3">
      <c r="A86" s="269" t="s">
        <v>95</v>
      </c>
      <c r="B86" s="123" t="str">
        <f t="shared" si="19"/>
        <v>Maggi Cubes - مكعبات ماجي</v>
      </c>
      <c r="C86" s="123" t="str">
        <f t="shared" si="19"/>
        <v>gm</v>
      </c>
      <c r="D86" s="123">
        <f t="shared" si="19"/>
        <v>10</v>
      </c>
      <c r="E86" s="222">
        <f t="shared" si="23"/>
        <v>8.0813260813260861</v>
      </c>
      <c r="F86" s="126">
        <f t="shared" si="20"/>
        <v>0.9</v>
      </c>
      <c r="G86" s="118">
        <f t="shared" si="21"/>
        <v>80.813260813260854</v>
      </c>
      <c r="H86" s="119">
        <f t="shared" si="22"/>
        <v>72.731934731934771</v>
      </c>
    </row>
    <row r="87" spans="1:10" ht="14.25" customHeight="1" x14ac:dyDescent="0.3">
      <c r="A87" s="269" t="s">
        <v>154</v>
      </c>
      <c r="B87" s="123" t="str">
        <f t="shared" si="19"/>
        <v>Milk - حليب</v>
      </c>
      <c r="C87" s="123" t="str">
        <f t="shared" si="19"/>
        <v>ml</v>
      </c>
      <c r="D87" s="123">
        <f t="shared" si="19"/>
        <v>600</v>
      </c>
      <c r="E87" s="222">
        <f t="shared" si="23"/>
        <v>8.0813260813260861</v>
      </c>
      <c r="F87" s="126">
        <f t="shared" si="20"/>
        <v>1</v>
      </c>
      <c r="G87" s="118">
        <f t="shared" si="21"/>
        <v>4848.7956487956517</v>
      </c>
      <c r="H87" s="119">
        <f t="shared" si="22"/>
        <v>4848.7956487956517</v>
      </c>
    </row>
    <row r="88" spans="1:10" ht="14.25" customHeight="1" x14ac:dyDescent="0.3">
      <c r="A88" s="269" t="s">
        <v>154</v>
      </c>
      <c r="B88" s="123" t="str">
        <f t="shared" si="19"/>
        <v>Cooking Cream - كريمة طبخ</v>
      </c>
      <c r="C88" s="123" t="str">
        <f t="shared" si="19"/>
        <v>ml</v>
      </c>
      <c r="D88" s="123">
        <f t="shared" si="19"/>
        <v>600</v>
      </c>
      <c r="E88" s="222">
        <f t="shared" si="23"/>
        <v>8.0813260813260861</v>
      </c>
      <c r="F88" s="126">
        <f t="shared" si="20"/>
        <v>1</v>
      </c>
      <c r="G88" s="118">
        <f t="shared" si="21"/>
        <v>4848.7956487956517</v>
      </c>
      <c r="H88" s="119">
        <f t="shared" si="22"/>
        <v>4848.7956487956517</v>
      </c>
    </row>
    <row r="89" spans="1:10" ht="14.25" customHeight="1" x14ac:dyDescent="0.3">
      <c r="A89" s="269" t="s">
        <v>95</v>
      </c>
      <c r="B89" s="123" t="str">
        <f t="shared" si="19"/>
        <v>Salt - ملح</v>
      </c>
      <c r="C89" s="123" t="str">
        <f t="shared" si="19"/>
        <v>gm</v>
      </c>
      <c r="D89" s="123">
        <f t="shared" si="19"/>
        <v>5</v>
      </c>
      <c r="E89" s="222">
        <f t="shared" si="23"/>
        <v>8.0813260813260861</v>
      </c>
      <c r="F89" s="126">
        <f t="shared" si="20"/>
        <v>1</v>
      </c>
      <c r="G89" s="118">
        <f t="shared" si="21"/>
        <v>40.406630406630427</v>
      </c>
      <c r="H89" s="119">
        <f t="shared" si="22"/>
        <v>40.406630406630427</v>
      </c>
    </row>
    <row r="90" spans="1:10" ht="14.25" customHeight="1" x14ac:dyDescent="0.3">
      <c r="A90" s="269" t="s">
        <v>188</v>
      </c>
      <c r="B90" s="123" t="str">
        <f t="shared" si="19"/>
        <v>Flour - دقيق</v>
      </c>
      <c r="C90" s="123" t="str">
        <f t="shared" si="19"/>
        <v>gm</v>
      </c>
      <c r="D90" s="123">
        <f t="shared" si="19"/>
        <v>50</v>
      </c>
      <c r="E90" s="222">
        <f t="shared" si="23"/>
        <v>8.0813260813260861</v>
      </c>
      <c r="F90" s="126">
        <f t="shared" si="20"/>
        <v>1</v>
      </c>
      <c r="G90" s="118">
        <f t="shared" si="21"/>
        <v>404.06630406630433</v>
      </c>
      <c r="H90" s="119">
        <f t="shared" si="22"/>
        <v>404.06630406630433</v>
      </c>
    </row>
    <row r="91" spans="1:10" ht="14.25" customHeight="1" x14ac:dyDescent="0.3">
      <c r="A91" s="269" t="s">
        <v>154</v>
      </c>
      <c r="B91" s="123" t="str">
        <f t="shared" si="19"/>
        <v>Parmesan Cheese Powder - بديل البارميزان</v>
      </c>
      <c r="C91" s="123" t="str">
        <f t="shared" si="19"/>
        <v>gm</v>
      </c>
      <c r="D91" s="123">
        <f t="shared" si="19"/>
        <v>45</v>
      </c>
      <c r="E91" s="222">
        <f t="shared" si="23"/>
        <v>8.0813260813260861</v>
      </c>
      <c r="F91" s="126">
        <f t="shared" si="20"/>
        <v>1</v>
      </c>
      <c r="G91" s="118">
        <f t="shared" si="21"/>
        <v>363.6596736596739</v>
      </c>
      <c r="H91" s="119">
        <f t="shared" si="22"/>
        <v>363.6596736596739</v>
      </c>
    </row>
    <row r="92" spans="1:10" ht="14.25" customHeight="1" x14ac:dyDescent="0.3">
      <c r="A92" s="269" t="s">
        <v>154</v>
      </c>
      <c r="B92" s="123" t="str">
        <f t="shared" si="19"/>
        <v>Butter - زبدة</v>
      </c>
      <c r="C92" s="123" t="str">
        <f t="shared" si="19"/>
        <v>gm</v>
      </c>
      <c r="D92" s="123">
        <f t="shared" si="19"/>
        <v>20</v>
      </c>
      <c r="E92" s="222">
        <f t="shared" si="23"/>
        <v>8.0813260813260861</v>
      </c>
      <c r="F92" s="126">
        <f t="shared" si="20"/>
        <v>1</v>
      </c>
      <c r="G92" s="118">
        <f t="shared" si="21"/>
        <v>161.62652162652171</v>
      </c>
      <c r="H92" s="119">
        <f t="shared" si="22"/>
        <v>161.62652162652171</v>
      </c>
    </row>
    <row r="93" spans="1:10" ht="20.25" customHeight="1" x14ac:dyDescent="0.4">
      <c r="A93" s="210"/>
      <c r="B93" s="197" t="s">
        <v>291</v>
      </c>
      <c r="C93" s="199" t="s">
        <v>277</v>
      </c>
      <c r="D93" s="14"/>
      <c r="E93" s="199" t="s">
        <v>292</v>
      </c>
      <c r="F93" s="14"/>
      <c r="G93" s="878" t="s">
        <v>268</v>
      </c>
      <c r="H93" s="878" t="s">
        <v>703</v>
      </c>
      <c r="I93" s="203"/>
      <c r="J93" s="202"/>
    </row>
    <row r="94" spans="1:10" ht="20" x14ac:dyDescent="0.4">
      <c r="A94" s="210"/>
      <c r="B94" s="198">
        <f>$J$54</f>
        <v>10909.062937062932</v>
      </c>
      <c r="C94" s="198">
        <f>E94+G94</f>
        <v>8000.512820512824</v>
      </c>
      <c r="D94" s="915"/>
      <c r="E94" s="198">
        <f>$D$54*$S$44</f>
        <v>3272.9370629370646</v>
      </c>
      <c r="F94" s="919"/>
      <c r="G94" s="198">
        <f>$D$54*$T$44</f>
        <v>4727.5757575757598</v>
      </c>
      <c r="H94" s="198">
        <f>B94+E94</f>
        <v>14181.999999999996</v>
      </c>
    </row>
    <row r="97" spans="1:8" x14ac:dyDescent="0.3">
      <c r="A97" s="923"/>
      <c r="B97" s="1438" t="str">
        <f>"كرات اللحم الفرنسية   3 / " &amp; COUNTIF($C$53:$C$55, "&gt;0")</f>
        <v>كرات اللحم الفرنسية   3 / 2</v>
      </c>
      <c r="C97" s="1439"/>
      <c r="D97" s="1439"/>
      <c r="E97" s="1439"/>
      <c r="F97" s="1439"/>
      <c r="G97" s="1439"/>
      <c r="H97" s="1439"/>
    </row>
    <row r="98" spans="1:8" x14ac:dyDescent="0.3">
      <c r="A98" s="923"/>
      <c r="B98" s="1436" t="str">
        <f>"French Meatball   3 / " &amp; COUNTIF($C$53:$C$55, "&gt;0")</f>
        <v>French Meatball   3 / 2</v>
      </c>
      <c r="C98" s="1437"/>
      <c r="D98" s="1437"/>
      <c r="E98" s="1437"/>
      <c r="F98" s="1437"/>
      <c r="G98" s="1437"/>
      <c r="H98" s="1437"/>
    </row>
    <row r="99" spans="1:8" ht="26" x14ac:dyDescent="0.3">
      <c r="A99" s="90"/>
      <c r="B99" s="90" t="s">
        <v>245</v>
      </c>
      <c r="C99" s="106" t="s">
        <v>246</v>
      </c>
      <c r="D99" s="90" t="s">
        <v>235</v>
      </c>
      <c r="E99" s="107" t="s">
        <v>238</v>
      </c>
      <c r="F99" s="107" t="s">
        <v>247</v>
      </c>
      <c r="G99" s="90" t="s">
        <v>248</v>
      </c>
      <c r="H99" s="217" t="s">
        <v>249</v>
      </c>
    </row>
    <row r="100" spans="1:8" x14ac:dyDescent="0.3">
      <c r="A100" s="269" t="s">
        <v>225</v>
      </c>
      <c r="B100" s="123" t="str">
        <f>B5</f>
        <v>Indian Meat Tammam Mafroom - مفروم هندى</v>
      </c>
      <c r="C100" s="123" t="str">
        <f t="shared" ref="C100:D100" si="24">C5</f>
        <v>gm</v>
      </c>
      <c r="D100" s="119">
        <f t="shared" si="24"/>
        <v>2351.2225705329156</v>
      </c>
      <c r="E100" s="1300">
        <f>$H$55</f>
        <v>0</v>
      </c>
      <c r="F100" s="1301">
        <f>F5</f>
        <v>1</v>
      </c>
      <c r="G100" s="118">
        <f t="shared" ref="G100:G110" si="25">D100*E100</f>
        <v>0</v>
      </c>
      <c r="H100" s="119">
        <f t="shared" ref="H100:H110" si="26">G100*F100</f>
        <v>0</v>
      </c>
    </row>
    <row r="101" spans="1:8" x14ac:dyDescent="0.3">
      <c r="A101" s="269" t="s">
        <v>13</v>
      </c>
      <c r="B101" s="123" t="str">
        <f t="shared" ref="B101:D101" si="27">B6</f>
        <v>Green Onion - بصل أخضر</v>
      </c>
      <c r="C101" s="123" t="str">
        <f t="shared" si="27"/>
        <v>gm</v>
      </c>
      <c r="D101" s="123">
        <f t="shared" si="27"/>
        <v>150</v>
      </c>
      <c r="E101" s="1300">
        <f t="shared" ref="E101:E110" si="28">$C$55</f>
        <v>0</v>
      </c>
      <c r="F101" s="1301">
        <f t="shared" ref="F101:F110" si="29">F6</f>
        <v>1</v>
      </c>
      <c r="G101" s="118">
        <f t="shared" si="25"/>
        <v>0</v>
      </c>
      <c r="H101" s="119">
        <f t="shared" si="26"/>
        <v>0</v>
      </c>
    </row>
    <row r="102" spans="1:8" x14ac:dyDescent="0.3">
      <c r="A102" s="269" t="s">
        <v>13</v>
      </c>
      <c r="B102" s="123" t="str">
        <f t="shared" ref="B102:D102" si="30">B7</f>
        <v>Garlic - ثوم مقشر</v>
      </c>
      <c r="C102" s="123" t="str">
        <f t="shared" si="30"/>
        <v>gm</v>
      </c>
      <c r="D102" s="123">
        <f t="shared" si="30"/>
        <v>30</v>
      </c>
      <c r="E102" s="1300">
        <f t="shared" si="28"/>
        <v>0</v>
      </c>
      <c r="F102" s="1301">
        <f t="shared" si="29"/>
        <v>1</v>
      </c>
      <c r="G102" s="118">
        <f t="shared" si="25"/>
        <v>0</v>
      </c>
      <c r="H102" s="119">
        <f t="shared" si="26"/>
        <v>0</v>
      </c>
    </row>
    <row r="103" spans="1:8" x14ac:dyDescent="0.3">
      <c r="A103" s="269" t="s">
        <v>95</v>
      </c>
      <c r="B103" s="123" t="str">
        <f t="shared" ref="B103:D103" si="31">B8</f>
        <v>White Pepper - فلفل أبيض</v>
      </c>
      <c r="C103" s="123" t="str">
        <f t="shared" si="31"/>
        <v>gm</v>
      </c>
      <c r="D103" s="123">
        <f t="shared" si="31"/>
        <v>6</v>
      </c>
      <c r="E103" s="1300">
        <f t="shared" si="28"/>
        <v>0</v>
      </c>
      <c r="F103" s="1301">
        <f t="shared" si="29"/>
        <v>0.75</v>
      </c>
      <c r="G103" s="118">
        <f t="shared" si="25"/>
        <v>0</v>
      </c>
      <c r="H103" s="119">
        <f t="shared" si="26"/>
        <v>0</v>
      </c>
    </row>
    <row r="104" spans="1:8" x14ac:dyDescent="0.3">
      <c r="A104" s="269" t="s">
        <v>95</v>
      </c>
      <c r="B104" s="123" t="str">
        <f t="shared" ref="B104:D104" si="32">B9</f>
        <v>Maggi Cubes - مكعبات ماجي</v>
      </c>
      <c r="C104" s="123" t="str">
        <f t="shared" si="32"/>
        <v>gm</v>
      </c>
      <c r="D104" s="123">
        <f t="shared" si="32"/>
        <v>10</v>
      </c>
      <c r="E104" s="1300">
        <f t="shared" si="28"/>
        <v>0</v>
      </c>
      <c r="F104" s="1301">
        <f t="shared" si="29"/>
        <v>0.9</v>
      </c>
      <c r="G104" s="118">
        <f t="shared" si="25"/>
        <v>0</v>
      </c>
      <c r="H104" s="119">
        <f t="shared" si="26"/>
        <v>0</v>
      </c>
    </row>
    <row r="105" spans="1:8" x14ac:dyDescent="0.3">
      <c r="A105" s="269" t="s">
        <v>154</v>
      </c>
      <c r="B105" s="123" t="str">
        <f t="shared" ref="B105:D105" si="33">B10</f>
        <v>Milk - حليب</v>
      </c>
      <c r="C105" s="123" t="str">
        <f t="shared" si="33"/>
        <v>ml</v>
      </c>
      <c r="D105" s="123">
        <f t="shared" si="33"/>
        <v>600</v>
      </c>
      <c r="E105" s="1300">
        <f t="shared" si="28"/>
        <v>0</v>
      </c>
      <c r="F105" s="1301">
        <f t="shared" si="29"/>
        <v>1</v>
      </c>
      <c r="G105" s="118">
        <f t="shared" si="25"/>
        <v>0</v>
      </c>
      <c r="H105" s="119">
        <f t="shared" si="26"/>
        <v>0</v>
      </c>
    </row>
    <row r="106" spans="1:8" x14ac:dyDescent="0.3">
      <c r="A106" s="269" t="s">
        <v>154</v>
      </c>
      <c r="B106" s="123" t="str">
        <f t="shared" ref="B106:D106" si="34">B11</f>
        <v>Cooking Cream - كريمة طبخ</v>
      </c>
      <c r="C106" s="123" t="str">
        <f t="shared" si="34"/>
        <v>ml</v>
      </c>
      <c r="D106" s="123">
        <f t="shared" si="34"/>
        <v>600</v>
      </c>
      <c r="E106" s="1300">
        <f t="shared" si="28"/>
        <v>0</v>
      </c>
      <c r="F106" s="1301">
        <f t="shared" si="29"/>
        <v>1</v>
      </c>
      <c r="G106" s="118">
        <f t="shared" si="25"/>
        <v>0</v>
      </c>
      <c r="H106" s="119">
        <f t="shared" si="26"/>
        <v>0</v>
      </c>
    </row>
    <row r="107" spans="1:8" x14ac:dyDescent="0.3">
      <c r="A107" s="269" t="s">
        <v>95</v>
      </c>
      <c r="B107" s="123" t="str">
        <f t="shared" ref="B107:D107" si="35">B12</f>
        <v>Salt - ملح</v>
      </c>
      <c r="C107" s="123" t="str">
        <f t="shared" si="35"/>
        <v>gm</v>
      </c>
      <c r="D107" s="123">
        <f t="shared" si="35"/>
        <v>5</v>
      </c>
      <c r="E107" s="1300">
        <f t="shared" si="28"/>
        <v>0</v>
      </c>
      <c r="F107" s="1301">
        <f t="shared" si="29"/>
        <v>1</v>
      </c>
      <c r="G107" s="118">
        <f t="shared" si="25"/>
        <v>0</v>
      </c>
      <c r="H107" s="119">
        <f t="shared" si="26"/>
        <v>0</v>
      </c>
    </row>
    <row r="108" spans="1:8" x14ac:dyDescent="0.3">
      <c r="A108" s="269" t="s">
        <v>188</v>
      </c>
      <c r="B108" s="123" t="str">
        <f t="shared" ref="B108:D108" si="36">B13</f>
        <v>Flour - دقيق</v>
      </c>
      <c r="C108" s="123" t="str">
        <f t="shared" si="36"/>
        <v>gm</v>
      </c>
      <c r="D108" s="123">
        <f t="shared" si="36"/>
        <v>50</v>
      </c>
      <c r="E108" s="1300">
        <f t="shared" si="28"/>
        <v>0</v>
      </c>
      <c r="F108" s="1301">
        <f t="shared" si="29"/>
        <v>1</v>
      </c>
      <c r="G108" s="118">
        <f t="shared" si="25"/>
        <v>0</v>
      </c>
      <c r="H108" s="119">
        <f t="shared" si="26"/>
        <v>0</v>
      </c>
    </row>
    <row r="109" spans="1:8" x14ac:dyDescent="0.3">
      <c r="A109" s="269" t="s">
        <v>154</v>
      </c>
      <c r="B109" s="123" t="str">
        <f t="shared" ref="B109:D109" si="37">B14</f>
        <v>Parmesan Cheese Powder - بديل البارميزان</v>
      </c>
      <c r="C109" s="123" t="str">
        <f t="shared" si="37"/>
        <v>gm</v>
      </c>
      <c r="D109" s="123">
        <f t="shared" si="37"/>
        <v>45</v>
      </c>
      <c r="E109" s="1300">
        <f t="shared" si="28"/>
        <v>0</v>
      </c>
      <c r="F109" s="1301">
        <f t="shared" si="29"/>
        <v>1</v>
      </c>
      <c r="G109" s="118">
        <f t="shared" si="25"/>
        <v>0</v>
      </c>
      <c r="H109" s="119">
        <f t="shared" si="26"/>
        <v>0</v>
      </c>
    </row>
    <row r="110" spans="1:8" x14ac:dyDescent="0.3">
      <c r="A110" s="269" t="s">
        <v>154</v>
      </c>
      <c r="B110" s="123" t="str">
        <f t="shared" ref="B110:D110" si="38">B15</f>
        <v>Butter - زبدة</v>
      </c>
      <c r="C110" s="123" t="str">
        <f t="shared" si="38"/>
        <v>gm</v>
      </c>
      <c r="D110" s="123">
        <f t="shared" si="38"/>
        <v>20</v>
      </c>
      <c r="E110" s="1300">
        <f t="shared" si="28"/>
        <v>0</v>
      </c>
      <c r="F110" s="1301">
        <f t="shared" si="29"/>
        <v>1</v>
      </c>
      <c r="G110" s="118">
        <f t="shared" si="25"/>
        <v>0</v>
      </c>
      <c r="H110" s="119">
        <f t="shared" si="26"/>
        <v>0</v>
      </c>
    </row>
    <row r="111" spans="1:8" ht="18" x14ac:dyDescent="0.3">
      <c r="A111" s="210"/>
      <c r="B111" s="197" t="s">
        <v>291</v>
      </c>
      <c r="C111" s="199" t="s">
        <v>277</v>
      </c>
      <c r="D111" s="14"/>
      <c r="E111" s="199" t="s">
        <v>292</v>
      </c>
      <c r="F111" s="14"/>
      <c r="G111" s="878" t="s">
        <v>268</v>
      </c>
      <c r="H111" s="878" t="s">
        <v>703</v>
      </c>
    </row>
    <row r="112" spans="1:8" ht="20" x14ac:dyDescent="0.4">
      <c r="A112" s="210"/>
      <c r="B112" s="198">
        <f>J55</f>
        <v>0</v>
      </c>
      <c r="C112" s="198">
        <f>E112+G112</f>
        <v>0</v>
      </c>
      <c r="D112" s="915"/>
      <c r="E112" s="198">
        <f>$D$55*$S$44</f>
        <v>0</v>
      </c>
      <c r="F112" s="919"/>
      <c r="G112" s="198">
        <f>$D$55*$T$44</f>
        <v>0</v>
      </c>
      <c r="H112" s="198">
        <f>B112+E112</f>
        <v>0</v>
      </c>
    </row>
  </sheetData>
  <mergeCells count="13">
    <mergeCell ref="B97:H97"/>
    <mergeCell ref="B98:H98"/>
    <mergeCell ref="AN2:AN3"/>
    <mergeCell ref="B62:H62"/>
    <mergeCell ref="R25:U25"/>
    <mergeCell ref="B80:H80"/>
    <mergeCell ref="B2:K3"/>
    <mergeCell ref="B63:H63"/>
    <mergeCell ref="AE2:AG3"/>
    <mergeCell ref="B79:H79"/>
    <mergeCell ref="R26:U26"/>
    <mergeCell ref="AK2:AM2"/>
    <mergeCell ref="B35:F35"/>
  </mergeCells>
  <printOptions horizontalCentered="1"/>
  <pageMargins left="0.5" right="0.5" top="1" bottom="0.5" header="0.3" footer="0.511811023622047"/>
  <pageSetup paperSize="9" scale="30" orientation="portrait" r:id="rId1"/>
  <legacyDrawing r:id="rId2"/>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72">
    <tabColor rgb="FF333F50"/>
    <pageSetUpPr fitToPage="1"/>
  </sheetPr>
  <dimension ref="A1:AT118"/>
  <sheetViews>
    <sheetView topLeftCell="S11" zoomScale="85" zoomScaleNormal="85" workbookViewId="0">
      <selection activeCell="Q43" sqref="Q43:T44"/>
    </sheetView>
  </sheetViews>
  <sheetFormatPr defaultColWidth="12.5" defaultRowHeight="14" x14ac:dyDescent="0.3"/>
  <cols>
    <col min="1" max="1" width="11.6640625" style="78" bestFit="1" customWidth="1"/>
    <col min="2" max="2" width="30.5" style="597" customWidth="1"/>
    <col min="3" max="3" width="19" style="14" customWidth="1"/>
    <col min="4" max="4" width="15.83203125" style="14" customWidth="1"/>
    <col min="5" max="5" width="14.5" style="14" customWidth="1"/>
    <col min="6" max="6" width="13.08203125" style="14" customWidth="1"/>
    <col min="7" max="7" width="19.75" style="14" customWidth="1"/>
    <col min="8" max="8" width="18.6640625" style="14" customWidth="1"/>
    <col min="9" max="9" width="12.1640625" style="14" customWidth="1"/>
    <col min="10" max="10" width="10.33203125" style="14" customWidth="1"/>
    <col min="11" max="11" width="10.5" style="14" customWidth="1"/>
    <col min="12" max="12" width="8.33203125" style="14" customWidth="1"/>
    <col min="13" max="13" width="11" style="14" customWidth="1"/>
    <col min="14" max="14" width="8.9140625" style="14" customWidth="1"/>
    <col min="15" max="15" width="14.5" style="14" customWidth="1"/>
    <col min="16" max="16" width="12.5" style="14" customWidth="1"/>
    <col min="17" max="17" width="14.83203125" style="14" customWidth="1"/>
    <col min="18" max="18" width="30.5" style="14" customWidth="1"/>
    <col min="19" max="19" width="15.58203125" style="14" customWidth="1"/>
    <col min="20" max="20" width="19.1640625" style="14" customWidth="1"/>
    <col min="21" max="21" width="15.58203125" style="14" customWidth="1"/>
    <col min="22" max="22" width="14.5" style="14" customWidth="1"/>
    <col min="23" max="23" width="12.5" style="14" customWidth="1"/>
    <col min="24" max="24" width="8.9140625" style="14" bestFit="1" customWidth="1"/>
    <col min="25" max="25" width="12.5" style="14" customWidth="1"/>
    <col min="26" max="26" width="12.5" style="14"/>
    <col min="27" max="27" width="10.9140625" style="14" bestFit="1" customWidth="1"/>
    <col min="28" max="29" width="11.58203125" style="14" bestFit="1" customWidth="1"/>
    <col min="30" max="30" width="13.1640625" style="14" bestFit="1" customWidth="1"/>
    <col min="31" max="31" width="9.83203125" style="14" bestFit="1" customWidth="1"/>
    <col min="32" max="32" width="8.6640625" style="14" bestFit="1" customWidth="1"/>
    <col min="33" max="34" width="7.25" style="14" customWidth="1"/>
    <col min="35" max="35" width="12.5" style="14"/>
    <col min="36" max="36" width="31.75" style="14" customWidth="1"/>
    <col min="37" max="37" width="12.5" style="14"/>
    <col min="38" max="38" width="15.6640625" style="14" customWidth="1"/>
    <col min="39" max="16384" width="12.5" style="14"/>
  </cols>
  <sheetData>
    <row r="1" spans="1:46" ht="30.75" customHeight="1" x14ac:dyDescent="0.3">
      <c r="B1" s="594" t="s">
        <v>235</v>
      </c>
      <c r="C1" s="80">
        <v>1000</v>
      </c>
      <c r="D1" s="81" t="s">
        <v>236</v>
      </c>
      <c r="E1" s="82">
        <f>T32</f>
        <v>11518.974358974363</v>
      </c>
      <c r="F1" s="79" t="s">
        <v>237</v>
      </c>
      <c r="G1" s="83">
        <f>E1/1000</f>
        <v>11.518974358974363</v>
      </c>
      <c r="H1" s="79" t="s">
        <v>238</v>
      </c>
      <c r="I1" s="84">
        <f>(G1/K1)</f>
        <v>11.754055468341187</v>
      </c>
      <c r="J1" s="85" t="s">
        <v>239</v>
      </c>
      <c r="K1" s="84">
        <v>0.98</v>
      </c>
      <c r="L1" s="386"/>
      <c r="M1" s="88"/>
      <c r="N1" s="89"/>
      <c r="O1" s="90" t="s">
        <v>240</v>
      </c>
      <c r="P1" s="91" t="s">
        <v>241</v>
      </c>
      <c r="Q1" s="92" t="s">
        <v>242</v>
      </c>
      <c r="R1" s="91">
        <v>0.59</v>
      </c>
      <c r="U1" s="99"/>
      <c r="Y1" s="90" t="s">
        <v>463</v>
      </c>
      <c r="Z1" s="835">
        <v>19920</v>
      </c>
      <c r="AA1" s="90" t="s">
        <v>578</v>
      </c>
      <c r="AB1" s="835">
        <v>500</v>
      </c>
      <c r="AC1" s="90" t="s">
        <v>567</v>
      </c>
      <c r="AD1" s="835">
        <v>134</v>
      </c>
      <c r="AE1" s="249"/>
      <c r="AF1" s="251"/>
      <c r="AG1" s="91"/>
      <c r="AI1" s="78"/>
      <c r="AJ1" s="93" t="s">
        <v>254</v>
      </c>
      <c r="AK1" s="93">
        <v>10000</v>
      </c>
      <c r="AL1" s="623" t="s">
        <v>503</v>
      </c>
      <c r="AM1" s="624">
        <f>$S$32</f>
        <v>15707.692307692305</v>
      </c>
      <c r="AN1" s="93" t="s">
        <v>243</v>
      </c>
      <c r="AO1" s="328">
        <f>((S32)/$R$1)/$AK$1</f>
        <v>2.6623207301173397</v>
      </c>
      <c r="AP1" s="94"/>
    </row>
    <row r="2" spans="1:46" ht="12.75" customHeight="1" x14ac:dyDescent="0.3">
      <c r="A2" s="96"/>
      <c r="B2" s="598"/>
      <c r="C2" s="97"/>
      <c r="D2" s="97"/>
      <c r="E2" s="97"/>
      <c r="F2" s="1443" t="s">
        <v>156</v>
      </c>
      <c r="G2" s="97"/>
      <c r="H2" s="97"/>
      <c r="I2" s="97"/>
      <c r="J2" s="97"/>
      <c r="K2" s="97"/>
      <c r="L2" s="97"/>
      <c r="M2" s="98"/>
      <c r="N2" s="98"/>
      <c r="O2" s="99"/>
      <c r="P2" s="99"/>
      <c r="Q2" s="99"/>
      <c r="R2" s="99"/>
      <c r="S2" s="99"/>
      <c r="T2" s="99"/>
      <c r="U2" s="99"/>
      <c r="AC2" s="98"/>
      <c r="AD2" s="98"/>
      <c r="AE2" s="1457"/>
      <c r="AF2" s="1460"/>
      <c r="AG2" s="1460"/>
      <c r="AI2" s="78"/>
      <c r="AJ2" s="100"/>
      <c r="AK2" s="100"/>
      <c r="AL2" s="1442" t="s">
        <v>478</v>
      </c>
      <c r="AM2" s="1442"/>
      <c r="AN2" s="1442"/>
      <c r="AO2" s="100"/>
      <c r="AP2" s="100"/>
    </row>
    <row r="3" spans="1:46" ht="12.75" customHeight="1" x14ac:dyDescent="0.3">
      <c r="A3" s="96"/>
      <c r="B3" s="599"/>
      <c r="C3" s="102"/>
      <c r="D3" s="102"/>
      <c r="E3" s="102"/>
      <c r="F3" s="1444"/>
      <c r="G3" s="102"/>
      <c r="H3" s="102"/>
      <c r="I3" s="102"/>
      <c r="J3" s="102"/>
      <c r="K3" s="102"/>
      <c r="L3" s="97"/>
      <c r="M3" s="98"/>
      <c r="N3" s="98"/>
      <c r="O3" s="99"/>
      <c r="P3" s="99"/>
      <c r="Q3" s="99"/>
      <c r="R3" s="99"/>
      <c r="S3" s="99"/>
      <c r="T3" s="99"/>
      <c r="U3" s="99"/>
      <c r="AC3" s="98"/>
      <c r="AD3" s="98"/>
      <c r="AE3" s="1460"/>
      <c r="AF3" s="1460"/>
      <c r="AG3" s="1460"/>
      <c r="AI3" s="78"/>
      <c r="AJ3" s="100"/>
      <c r="AK3" s="100"/>
      <c r="AL3" s="100"/>
      <c r="AM3" s="100"/>
      <c r="AN3" s="100"/>
      <c r="AO3" s="100"/>
      <c r="AP3" s="100"/>
    </row>
    <row r="4" spans="1:46" ht="46.5" customHeight="1" x14ac:dyDescent="0.3">
      <c r="A4" s="594" t="s">
        <v>1</v>
      </c>
      <c r="B4" s="594" t="s">
        <v>245</v>
      </c>
      <c r="C4" s="106" t="s">
        <v>246</v>
      </c>
      <c r="D4" s="90" t="s">
        <v>475</v>
      </c>
      <c r="E4" s="595" t="s">
        <v>238</v>
      </c>
      <c r="F4" s="107" t="s">
        <v>247</v>
      </c>
      <c r="G4" s="90" t="s">
        <v>476</v>
      </c>
      <c r="H4" s="108" t="s">
        <v>339</v>
      </c>
      <c r="I4" s="90" t="s">
        <v>250</v>
      </c>
      <c r="J4" s="90" t="s">
        <v>251</v>
      </c>
      <c r="K4" s="90" t="s">
        <v>252</v>
      </c>
      <c r="L4" s="90" t="s">
        <v>253</v>
      </c>
      <c r="M4" s="370"/>
      <c r="N4" s="370"/>
      <c r="O4" s="99"/>
      <c r="P4" s="99"/>
      <c r="Q4" s="99"/>
      <c r="R4" s="99"/>
      <c r="S4" s="99"/>
      <c r="T4" s="99"/>
      <c r="U4" s="99"/>
      <c r="AC4" s="250"/>
      <c r="AD4" s="252"/>
      <c r="AE4" s="250"/>
      <c r="AF4" s="250"/>
      <c r="AG4" s="250"/>
      <c r="AI4" s="78"/>
      <c r="AJ4" s="93" t="s">
        <v>245</v>
      </c>
      <c r="AK4" s="527" t="s">
        <v>246</v>
      </c>
      <c r="AL4" s="93" t="s">
        <v>254</v>
      </c>
      <c r="AM4" s="93" t="s">
        <v>238</v>
      </c>
      <c r="AN4" s="93" t="s">
        <v>247</v>
      </c>
      <c r="AO4" s="93" t="s">
        <v>248</v>
      </c>
      <c r="AP4" s="93" t="s">
        <v>339</v>
      </c>
      <c r="AQ4" s="90" t="s">
        <v>250</v>
      </c>
      <c r="AR4" s="90" t="s">
        <v>251</v>
      </c>
      <c r="AS4" s="90" t="s">
        <v>252</v>
      </c>
      <c r="AT4" s="90" t="s">
        <v>253</v>
      </c>
    </row>
    <row r="5" spans="1:46" ht="14.25" customHeight="1" x14ac:dyDescent="0.3">
      <c r="A5" s="596" t="s">
        <v>225</v>
      </c>
      <c r="B5" s="308" t="s">
        <v>224</v>
      </c>
      <c r="C5" s="114" t="s">
        <v>14</v>
      </c>
      <c r="D5" s="267">
        <f>I51/10</f>
        <v>2311.3713405238827</v>
      </c>
      <c r="E5" s="125">
        <f>H52</f>
        <v>11.518360046438548</v>
      </c>
      <c r="F5" s="298">
        <v>1</v>
      </c>
      <c r="G5" s="118">
        <f t="shared" ref="G5:G27" si="0">D5*E5</f>
        <v>26623.207301173399</v>
      </c>
      <c r="H5" s="206">
        <f t="shared" ref="H5:H27" si="1">G5*F5</f>
        <v>26623.207301173399</v>
      </c>
      <c r="I5" s="80">
        <f>VLOOKUP(B5,All_Ingredients!$A$1:$F$149,6,FALSE())</f>
        <v>0.86</v>
      </c>
      <c r="J5" s="118">
        <f>VLOOKUP(B5,All_Ingredients!$A$1:$J$149,10,FALSE())</f>
        <v>17.100000000000001</v>
      </c>
      <c r="K5" s="121">
        <f t="shared" ref="K5" si="2">(H5/I5)/1000</f>
        <v>30.957217792062092</v>
      </c>
      <c r="L5" s="121">
        <f t="shared" ref="L5" si="3">K5*J5</f>
        <v>529.36842424426186</v>
      </c>
      <c r="M5" s="130"/>
      <c r="N5" s="130"/>
      <c r="O5" s="130"/>
      <c r="P5" s="130"/>
      <c r="Q5" s="99"/>
      <c r="R5" s="99"/>
      <c r="S5" s="99"/>
      <c r="T5" s="99"/>
      <c r="U5" s="99"/>
      <c r="AC5" s="91"/>
      <c r="AD5" s="132"/>
      <c r="AE5" s="253"/>
      <c r="AF5" s="134"/>
      <c r="AG5" s="135"/>
      <c r="AI5" s="78"/>
      <c r="AJ5" s="373" t="s">
        <v>224</v>
      </c>
      <c r="AK5" s="123" t="s">
        <v>231</v>
      </c>
      <c r="AL5" s="115">
        <v>10</v>
      </c>
      <c r="AM5" s="125">
        <f t="shared" ref="AM5:AM19" si="4">$AO$1</f>
        <v>2.6623207301173397</v>
      </c>
      <c r="AN5" s="298">
        <v>1</v>
      </c>
      <c r="AO5" s="118">
        <f t="shared" ref="AO5:AO19" si="5">AL5*AM5</f>
        <v>26.623207301173398</v>
      </c>
      <c r="AP5" s="206">
        <f t="shared" ref="AP5:AP19" si="6">AO5*AN5</f>
        <v>26.623207301173398</v>
      </c>
      <c r="AQ5" s="294"/>
      <c r="AR5" s="1152"/>
      <c r="AS5" s="174"/>
      <c r="AT5" s="1153"/>
    </row>
    <row r="6" spans="1:46" ht="14.25" customHeight="1" x14ac:dyDescent="0.3">
      <c r="A6" s="127" t="s">
        <v>95</v>
      </c>
      <c r="B6" s="600" t="s">
        <v>109</v>
      </c>
      <c r="C6" s="114" t="s">
        <v>14</v>
      </c>
      <c r="D6" s="124">
        <v>6</v>
      </c>
      <c r="E6" s="125">
        <f t="shared" ref="E6:E27" si="7">$I$1</f>
        <v>11.754055468341187</v>
      </c>
      <c r="F6" s="298">
        <v>0.95</v>
      </c>
      <c r="G6" s="118">
        <f t="shared" si="0"/>
        <v>70.524332810047127</v>
      </c>
      <c r="H6" s="206">
        <f t="shared" si="1"/>
        <v>66.998116169544772</v>
      </c>
      <c r="I6" s="80">
        <f>VLOOKUP(B6,All_Ingredients!$A$1:$F$149,6,FALSE())</f>
        <v>1</v>
      </c>
      <c r="J6" s="118">
        <f>VLOOKUP(B6,All_Ingredients!$A$1:$J$149,10,FALSE())</f>
        <v>26.5</v>
      </c>
      <c r="K6" s="121">
        <f t="shared" ref="K6:K27" si="8">(H6/I6)/1000</f>
        <v>6.6998116169544777E-2</v>
      </c>
      <c r="L6" s="121">
        <f t="shared" ref="L6:L27" si="9">K6*J6</f>
        <v>1.7754500784929366</v>
      </c>
      <c r="M6" s="130"/>
      <c r="N6" s="130"/>
      <c r="O6" s="337"/>
      <c r="P6" s="337"/>
      <c r="AI6" s="78" t="s">
        <v>95</v>
      </c>
      <c r="AJ6" s="322" t="s">
        <v>106</v>
      </c>
      <c r="AK6" s="333" t="s">
        <v>14</v>
      </c>
      <c r="AL6" s="115">
        <v>20</v>
      </c>
      <c r="AM6" s="125">
        <f t="shared" si="4"/>
        <v>2.6623207301173397</v>
      </c>
      <c r="AN6" s="298">
        <v>1</v>
      </c>
      <c r="AO6" s="118">
        <f t="shared" si="5"/>
        <v>53.246414602346796</v>
      </c>
      <c r="AP6" s="206">
        <f t="shared" si="6"/>
        <v>53.246414602346796</v>
      </c>
      <c r="AQ6" s="1153">
        <f>VLOOKUP(AJ6,Marination_Ordering!$A:$J,6,FALSE)</f>
        <v>1</v>
      </c>
      <c r="AR6" s="1153">
        <f>VLOOKUP(AJ6,Marination_Ordering!$A:$J,10,FALSE)</f>
        <v>15</v>
      </c>
      <c r="AS6" s="174">
        <f>AP6/AQ6</f>
        <v>53.246414602346796</v>
      </c>
      <c r="AT6" s="1153">
        <f>AR6*(AS6/1000)</f>
        <v>0.79869621903520194</v>
      </c>
    </row>
    <row r="7" spans="1:46" ht="14.25" customHeight="1" x14ac:dyDescent="0.3">
      <c r="A7" s="127" t="s">
        <v>95</v>
      </c>
      <c r="B7" s="600" t="s">
        <v>94</v>
      </c>
      <c r="C7" s="114" t="s">
        <v>14</v>
      </c>
      <c r="D7" s="124">
        <v>11</v>
      </c>
      <c r="E7" s="125">
        <f t="shared" si="7"/>
        <v>11.754055468341187</v>
      </c>
      <c r="F7" s="298">
        <v>0.75</v>
      </c>
      <c r="G7" s="118">
        <f t="shared" si="0"/>
        <v>129.29461015175306</v>
      </c>
      <c r="H7" s="206">
        <f t="shared" si="1"/>
        <v>96.97095761381479</v>
      </c>
      <c r="I7" s="80">
        <f>VLOOKUP(B7,All_Ingredients!$A$1:$F$149,6,FALSE())</f>
        <v>1</v>
      </c>
      <c r="J7" s="118">
        <f>VLOOKUP(B7,All_Ingredients!$A$1:$J$149,10,FALSE())</f>
        <v>0.74</v>
      </c>
      <c r="K7" s="121">
        <f t="shared" si="8"/>
        <v>9.6970957613814787E-2</v>
      </c>
      <c r="L7" s="121">
        <f t="shared" si="9"/>
        <v>7.1758508634222937E-2</v>
      </c>
      <c r="M7" s="130"/>
      <c r="N7" s="130"/>
      <c r="O7" s="337"/>
      <c r="P7" s="337"/>
      <c r="AI7" s="78" t="s">
        <v>95</v>
      </c>
      <c r="AJ7" s="322" t="s">
        <v>108</v>
      </c>
      <c r="AK7" s="333" t="s">
        <v>14</v>
      </c>
      <c r="AL7" s="115">
        <v>10</v>
      </c>
      <c r="AM7" s="125">
        <f t="shared" si="4"/>
        <v>2.6623207301173397</v>
      </c>
      <c r="AN7" s="298">
        <v>1</v>
      </c>
      <c r="AO7" s="118">
        <f t="shared" si="5"/>
        <v>26.623207301173398</v>
      </c>
      <c r="AP7" s="206">
        <f t="shared" si="6"/>
        <v>26.623207301173398</v>
      </c>
      <c r="AQ7" s="1153">
        <f>VLOOKUP(AJ7,Marination_Ordering!$A:$J,6,FALSE)</f>
        <v>1</v>
      </c>
      <c r="AR7" s="1153">
        <f>VLOOKUP(AJ7,Marination_Ordering!$A:$J,10,FALSE)</f>
        <v>8</v>
      </c>
      <c r="AS7" s="174">
        <f t="shared" ref="AS7:AS8" si="10">AP7/AQ7</f>
        <v>26.623207301173398</v>
      </c>
      <c r="AT7" s="1153">
        <f t="shared" ref="AT7:AT8" si="11">AR7*(AS7/1000)</f>
        <v>0.21298565840938719</v>
      </c>
    </row>
    <row r="8" spans="1:46" ht="14.25" customHeight="1" x14ac:dyDescent="0.3">
      <c r="A8" s="127" t="s">
        <v>154</v>
      </c>
      <c r="B8" s="600" t="s">
        <v>176</v>
      </c>
      <c r="C8" s="114" t="s">
        <v>161</v>
      </c>
      <c r="D8" s="124">
        <v>250</v>
      </c>
      <c r="E8" s="125">
        <f t="shared" si="7"/>
        <v>11.754055468341187</v>
      </c>
      <c r="F8" s="298">
        <v>1</v>
      </c>
      <c r="G8" s="118">
        <f t="shared" si="0"/>
        <v>2938.5138670852966</v>
      </c>
      <c r="H8" s="206">
        <f t="shared" si="1"/>
        <v>2938.5138670852966</v>
      </c>
      <c r="I8" s="80">
        <f>VLOOKUP(B8,All_Ingredients!$A$1:$F$149,6,FALSE())</f>
        <v>1</v>
      </c>
      <c r="J8" s="118">
        <f>VLOOKUP(B8,All_Ingredients!$A$1:$J$149,10,FALSE())</f>
        <v>9.8958333333333339</v>
      </c>
      <c r="K8" s="121">
        <f t="shared" si="8"/>
        <v>2.9385138670852968</v>
      </c>
      <c r="L8" s="121">
        <f t="shared" si="9"/>
        <v>29.079043476364919</v>
      </c>
      <c r="M8" s="130"/>
      <c r="N8" s="130"/>
      <c r="O8" s="337"/>
      <c r="P8" s="337"/>
      <c r="AI8" s="78" t="s">
        <v>154</v>
      </c>
      <c r="AJ8" s="322" t="s">
        <v>176</v>
      </c>
      <c r="AK8" s="333" t="s">
        <v>161</v>
      </c>
      <c r="AL8" s="222">
        <v>100</v>
      </c>
      <c r="AM8" s="125">
        <f t="shared" si="4"/>
        <v>2.6623207301173397</v>
      </c>
      <c r="AN8" s="298">
        <v>1</v>
      </c>
      <c r="AO8" s="118">
        <f t="shared" si="5"/>
        <v>266.23207301173397</v>
      </c>
      <c r="AP8" s="206">
        <f t="shared" si="6"/>
        <v>266.23207301173397</v>
      </c>
      <c r="AQ8" s="1153">
        <f>VLOOKUP(AJ8,Marination_Ordering!$A:$J,6,FALSE)</f>
        <v>1</v>
      </c>
      <c r="AR8" s="1153">
        <f>VLOOKUP(AJ8,Marination_Ordering!$A:$J,10,FALSE)</f>
        <v>9.8958333333333339</v>
      </c>
      <c r="AS8" s="174">
        <f t="shared" si="10"/>
        <v>266.23207301173397</v>
      </c>
      <c r="AT8" s="1153">
        <f t="shared" si="11"/>
        <v>2.634588222511951</v>
      </c>
    </row>
    <row r="9" spans="1:46" ht="14.25" customHeight="1" x14ac:dyDescent="0.3">
      <c r="A9" s="127" t="s">
        <v>56</v>
      </c>
      <c r="B9" s="600" t="s">
        <v>793</v>
      </c>
      <c r="C9" s="114" t="s">
        <v>14</v>
      </c>
      <c r="D9" s="124">
        <v>5</v>
      </c>
      <c r="E9" s="125">
        <f t="shared" si="7"/>
        <v>11.754055468341187</v>
      </c>
      <c r="F9" s="298">
        <v>0.9</v>
      </c>
      <c r="G9" s="118">
        <f t="shared" si="0"/>
        <v>58.770277341705935</v>
      </c>
      <c r="H9" s="206">
        <f t="shared" si="1"/>
        <v>52.893249607535346</v>
      </c>
      <c r="I9" s="80">
        <f>VLOOKUP(B9,All_Ingredients!$A$1:$F$149,6,FALSE())</f>
        <v>0.9</v>
      </c>
      <c r="J9" s="118">
        <f>VLOOKUP(B9,All_Ingredients!$A$1:$J$149,10,FALSE())</f>
        <v>30</v>
      </c>
      <c r="K9" s="121">
        <f t="shared" si="8"/>
        <v>5.8770277341705937E-2</v>
      </c>
      <c r="L9" s="121">
        <f t="shared" si="9"/>
        <v>1.7631083202511781</v>
      </c>
      <c r="M9" s="130"/>
      <c r="N9" s="130"/>
      <c r="O9" s="337"/>
      <c r="P9" s="337"/>
      <c r="AI9" s="78" t="s">
        <v>95</v>
      </c>
      <c r="AJ9" s="322" t="s">
        <v>114</v>
      </c>
      <c r="AK9" s="333" t="s">
        <v>14</v>
      </c>
      <c r="AL9" s="115">
        <v>3</v>
      </c>
      <c r="AM9" s="125">
        <f t="shared" si="4"/>
        <v>2.6623207301173397</v>
      </c>
      <c r="AN9" s="298">
        <v>1</v>
      </c>
      <c r="AO9" s="118">
        <f t="shared" si="5"/>
        <v>7.9869621903520187</v>
      </c>
      <c r="AP9" s="206">
        <f t="shared" si="6"/>
        <v>7.9869621903520187</v>
      </c>
      <c r="AQ9" s="1153">
        <f>VLOOKUP(AJ9,Marination_Ordering!$A:$J,6,FALSE)</f>
        <v>1</v>
      </c>
      <c r="AR9" s="1153">
        <f>VLOOKUP(AJ9,Marination_Ordering!$A:$J,10,FALSE)</f>
        <v>20</v>
      </c>
      <c r="AS9" s="174">
        <f t="shared" ref="AS9:AS19" si="12">AP9/AQ9</f>
        <v>7.9869621903520187</v>
      </c>
      <c r="AT9" s="1153">
        <f t="shared" ref="AT9:AT19" si="13">AR9*(AS9/1000)</f>
        <v>0.15973924380704038</v>
      </c>
    </row>
    <row r="10" spans="1:46" ht="14.25" customHeight="1" x14ac:dyDescent="0.3">
      <c r="A10" s="127" t="s">
        <v>56</v>
      </c>
      <c r="B10" s="600" t="s">
        <v>794</v>
      </c>
      <c r="C10" s="114" t="s">
        <v>14</v>
      </c>
      <c r="D10" s="124">
        <v>3</v>
      </c>
      <c r="E10" s="125">
        <f t="shared" si="7"/>
        <v>11.754055468341187</v>
      </c>
      <c r="F10" s="298">
        <v>0.75</v>
      </c>
      <c r="G10" s="118">
        <f t="shared" si="0"/>
        <v>35.262166405023564</v>
      </c>
      <c r="H10" s="206">
        <f t="shared" si="1"/>
        <v>26.446624803767673</v>
      </c>
      <c r="I10" s="80">
        <f>VLOOKUP(B10,All_Ingredients!$A$1:$F$149,6,FALSE())</f>
        <v>0.85</v>
      </c>
      <c r="J10" s="118">
        <f>VLOOKUP(B10,All_Ingredients!$A$1:$J$149,10,FALSE())</f>
        <v>30</v>
      </c>
      <c r="K10" s="121">
        <f t="shared" si="8"/>
        <v>3.1113676239726676E-2</v>
      </c>
      <c r="L10" s="121">
        <f t="shared" si="9"/>
        <v>0.9334102871918003</v>
      </c>
      <c r="M10" s="130"/>
      <c r="N10" s="130"/>
      <c r="O10" s="337"/>
      <c r="P10" s="337"/>
      <c r="AI10" s="78" t="s">
        <v>95</v>
      </c>
      <c r="AJ10" s="322" t="s">
        <v>119</v>
      </c>
      <c r="AK10" s="333" t="s">
        <v>14</v>
      </c>
      <c r="AL10" s="115">
        <v>10</v>
      </c>
      <c r="AM10" s="125">
        <f t="shared" si="4"/>
        <v>2.6623207301173397</v>
      </c>
      <c r="AN10" s="298">
        <v>1</v>
      </c>
      <c r="AO10" s="118">
        <f t="shared" si="5"/>
        <v>26.623207301173398</v>
      </c>
      <c r="AP10" s="206">
        <f t="shared" si="6"/>
        <v>26.623207301173398</v>
      </c>
      <c r="AQ10" s="1153">
        <f>VLOOKUP(AJ10,Marination_Ordering!$A:$J,6,FALSE)</f>
        <v>1</v>
      </c>
      <c r="AR10" s="1153">
        <f>VLOOKUP(AJ10,Marination_Ordering!$A:$J,10,FALSE)</f>
        <v>15</v>
      </c>
      <c r="AS10" s="174">
        <f t="shared" si="12"/>
        <v>26.623207301173398</v>
      </c>
      <c r="AT10" s="1153">
        <f t="shared" si="13"/>
        <v>0.39934810951760097</v>
      </c>
    </row>
    <row r="11" spans="1:46" ht="14.25" customHeight="1" x14ac:dyDescent="0.3">
      <c r="A11" s="127" t="s">
        <v>13</v>
      </c>
      <c r="B11" s="600" t="s">
        <v>34</v>
      </c>
      <c r="C11" s="114" t="s">
        <v>14</v>
      </c>
      <c r="D11" s="124">
        <v>2</v>
      </c>
      <c r="E11" s="125">
        <f t="shared" si="7"/>
        <v>11.754055468341187</v>
      </c>
      <c r="F11" s="298">
        <v>0.75</v>
      </c>
      <c r="G11" s="118">
        <f t="shared" si="0"/>
        <v>23.508110936682375</v>
      </c>
      <c r="H11" s="206">
        <f t="shared" si="1"/>
        <v>17.631083202511782</v>
      </c>
      <c r="I11" s="80">
        <f>VLOOKUP(B11,All_Ingredients!$A$1:$F$149,6,FALSE())</f>
        <v>0.86</v>
      </c>
      <c r="J11" s="118">
        <f>VLOOKUP(B11,All_Ingredients!$A$1:$J$149,10,FALSE())</f>
        <v>14</v>
      </c>
      <c r="K11" s="121">
        <f t="shared" si="8"/>
        <v>2.0501259537804399E-2</v>
      </c>
      <c r="L11" s="121">
        <f t="shared" si="9"/>
        <v>0.28701763352926157</v>
      </c>
      <c r="M11" s="130"/>
      <c r="N11" s="130"/>
      <c r="O11" s="337"/>
      <c r="P11" s="337"/>
      <c r="AI11" s="78" t="s">
        <v>95</v>
      </c>
      <c r="AJ11" s="322" t="s">
        <v>100</v>
      </c>
      <c r="AK11" s="333" t="s">
        <v>14</v>
      </c>
      <c r="AL11" s="115">
        <v>3</v>
      </c>
      <c r="AM11" s="125">
        <f t="shared" si="4"/>
        <v>2.6623207301173397</v>
      </c>
      <c r="AN11" s="298">
        <v>1</v>
      </c>
      <c r="AO11" s="118">
        <f t="shared" si="5"/>
        <v>7.9869621903520187</v>
      </c>
      <c r="AP11" s="206">
        <f t="shared" si="6"/>
        <v>7.9869621903520187</v>
      </c>
      <c r="AQ11" s="1153">
        <f>VLOOKUP(AJ11,Marination_Ordering!$A:$J,6,FALSE)</f>
        <v>1</v>
      </c>
      <c r="AR11" s="1153">
        <f>VLOOKUP(AJ11,Marination_Ordering!$A:$J,10,FALSE)</f>
        <v>31</v>
      </c>
      <c r="AS11" s="174">
        <f t="shared" si="12"/>
        <v>7.9869621903520187</v>
      </c>
      <c r="AT11" s="1153">
        <f t="shared" si="13"/>
        <v>0.24759582790091259</v>
      </c>
    </row>
    <row r="12" spans="1:46" ht="14.25" customHeight="1" x14ac:dyDescent="0.3">
      <c r="A12" s="127" t="s">
        <v>62</v>
      </c>
      <c r="B12" s="600" t="s">
        <v>61</v>
      </c>
      <c r="C12" s="114" t="s">
        <v>14</v>
      </c>
      <c r="D12" s="124">
        <v>10</v>
      </c>
      <c r="E12" s="125">
        <f t="shared" si="7"/>
        <v>11.754055468341187</v>
      </c>
      <c r="F12" s="298">
        <v>0.9</v>
      </c>
      <c r="G12" s="118">
        <f t="shared" si="0"/>
        <v>117.54055468341187</v>
      </c>
      <c r="H12" s="206">
        <f t="shared" si="1"/>
        <v>105.78649921507069</v>
      </c>
      <c r="I12" s="80">
        <f>VLOOKUP(B12,All_Ingredients!$A$1:$F$149,6,FALSE())</f>
        <v>0.94</v>
      </c>
      <c r="J12" s="118">
        <f>VLOOKUP(B12,All_Ingredients!$A$1:$J$149,10,FALSE())</f>
        <v>3.6363636363636367</v>
      </c>
      <c r="K12" s="121">
        <f t="shared" si="8"/>
        <v>0.11253882895220287</v>
      </c>
      <c r="L12" s="121">
        <f t="shared" si="9"/>
        <v>0.40923210528073772</v>
      </c>
      <c r="M12" s="130"/>
      <c r="N12" s="130"/>
      <c r="O12" s="337"/>
      <c r="P12" s="337"/>
      <c r="AI12" s="78" t="s">
        <v>95</v>
      </c>
      <c r="AJ12" s="322" t="s">
        <v>94</v>
      </c>
      <c r="AK12" s="333" t="s">
        <v>14</v>
      </c>
      <c r="AL12" s="124">
        <v>5</v>
      </c>
      <c r="AM12" s="125">
        <f t="shared" si="4"/>
        <v>2.6623207301173397</v>
      </c>
      <c r="AN12" s="298">
        <v>1</v>
      </c>
      <c r="AO12" s="118">
        <f t="shared" si="5"/>
        <v>13.311603650586699</v>
      </c>
      <c r="AP12" s="206">
        <f t="shared" si="6"/>
        <v>13.311603650586699</v>
      </c>
      <c r="AQ12" s="1153">
        <f>VLOOKUP(AJ12,Marination_Ordering!$A:$J,6,FALSE)</f>
        <v>1</v>
      </c>
      <c r="AR12" s="1153">
        <f>VLOOKUP(AJ12,Marination_Ordering!$A:$J,10,FALSE)</f>
        <v>0.74</v>
      </c>
      <c r="AS12" s="174">
        <f t="shared" si="12"/>
        <v>13.311603650586699</v>
      </c>
      <c r="AT12" s="1153">
        <f t="shared" si="13"/>
        <v>9.850586701434157E-3</v>
      </c>
    </row>
    <row r="13" spans="1:46" ht="14.25" customHeight="1" x14ac:dyDescent="0.3">
      <c r="A13" s="127" t="s">
        <v>95</v>
      </c>
      <c r="B13" s="600" t="s">
        <v>106</v>
      </c>
      <c r="C13" s="114" t="s">
        <v>14</v>
      </c>
      <c r="D13" s="124">
        <v>5</v>
      </c>
      <c r="E13" s="125">
        <f t="shared" si="7"/>
        <v>11.754055468341187</v>
      </c>
      <c r="F13" s="298">
        <v>0.75</v>
      </c>
      <c r="G13" s="118">
        <f t="shared" si="0"/>
        <v>58.770277341705935</v>
      </c>
      <c r="H13" s="206">
        <f t="shared" si="1"/>
        <v>44.077708006279451</v>
      </c>
      <c r="I13" s="80">
        <f>VLOOKUP(B13,All_Ingredients!$A$1:$F$149,6,FALSE())</f>
        <v>1</v>
      </c>
      <c r="J13" s="118">
        <f>VLOOKUP(B13,All_Ingredients!$A$1:$J$149,10,FALSE())</f>
        <v>15</v>
      </c>
      <c r="K13" s="121">
        <f t="shared" si="8"/>
        <v>4.4077708006279449E-2</v>
      </c>
      <c r="L13" s="121">
        <f t="shared" si="9"/>
        <v>0.66116562009419177</v>
      </c>
      <c r="M13" s="130"/>
      <c r="N13" s="130"/>
      <c r="O13" s="337"/>
      <c r="P13" s="337"/>
      <c r="AI13" s="78" t="s">
        <v>215</v>
      </c>
      <c r="AJ13" s="322" t="s">
        <v>877</v>
      </c>
      <c r="AK13" s="333" t="s">
        <v>14</v>
      </c>
      <c r="AL13" s="115">
        <v>5</v>
      </c>
      <c r="AM13" s="125">
        <f t="shared" si="4"/>
        <v>2.6623207301173397</v>
      </c>
      <c r="AN13" s="298">
        <v>1</v>
      </c>
      <c r="AO13" s="118">
        <f t="shared" si="5"/>
        <v>13.311603650586699</v>
      </c>
      <c r="AP13" s="206">
        <f t="shared" si="6"/>
        <v>13.311603650586699</v>
      </c>
      <c r="AQ13" s="1153">
        <f>VLOOKUP(AJ13,Marination_Ordering!$A:$J,6,FALSE)</f>
        <v>1</v>
      </c>
      <c r="AR13" s="1153">
        <f>VLOOKUP(AJ13,Marination_Ordering!$A:$J,10,FALSE)</f>
        <v>22.5</v>
      </c>
      <c r="AS13" s="174">
        <f t="shared" si="12"/>
        <v>13.311603650586699</v>
      </c>
      <c r="AT13" s="1153">
        <f t="shared" si="13"/>
        <v>0.29951108213820071</v>
      </c>
    </row>
    <row r="14" spans="1:46" ht="14.25" customHeight="1" x14ac:dyDescent="0.3">
      <c r="A14" s="127" t="s">
        <v>95</v>
      </c>
      <c r="B14" s="600" t="s">
        <v>108</v>
      </c>
      <c r="C14" s="114" t="s">
        <v>14</v>
      </c>
      <c r="D14" s="124">
        <v>5</v>
      </c>
      <c r="E14" s="125">
        <f t="shared" si="7"/>
        <v>11.754055468341187</v>
      </c>
      <c r="F14" s="298">
        <v>0.75</v>
      </c>
      <c r="G14" s="118">
        <f t="shared" si="0"/>
        <v>58.770277341705935</v>
      </c>
      <c r="H14" s="206">
        <f t="shared" si="1"/>
        <v>44.077708006279451</v>
      </c>
      <c r="I14" s="80">
        <f>VLOOKUP(B14,All_Ingredients!$A$1:$F$149,6,FALSE())</f>
        <v>1</v>
      </c>
      <c r="J14" s="118">
        <f>VLOOKUP(B14,All_Ingredients!$A$1:$J$149,10,FALSE())</f>
        <v>8</v>
      </c>
      <c r="K14" s="121">
        <f t="shared" si="8"/>
        <v>4.4077708006279449E-2</v>
      </c>
      <c r="L14" s="121">
        <f t="shared" si="9"/>
        <v>0.35262166405023559</v>
      </c>
      <c r="M14" s="130"/>
      <c r="N14" s="130"/>
      <c r="O14" s="337"/>
      <c r="P14" s="337"/>
      <c r="AI14" s="78" t="s">
        <v>95</v>
      </c>
      <c r="AJ14" s="322" t="s">
        <v>123</v>
      </c>
      <c r="AK14" s="333" t="s">
        <v>14</v>
      </c>
      <c r="AL14" s="115">
        <v>2</v>
      </c>
      <c r="AM14" s="125">
        <f t="shared" si="4"/>
        <v>2.6623207301173397</v>
      </c>
      <c r="AN14" s="298">
        <v>1</v>
      </c>
      <c r="AO14" s="118">
        <f t="shared" si="5"/>
        <v>5.3246414602346794</v>
      </c>
      <c r="AP14" s="206">
        <f t="shared" si="6"/>
        <v>5.3246414602346794</v>
      </c>
      <c r="AQ14" s="1153">
        <f>VLOOKUP(AJ14,Marination_Ordering!$A:$J,6,FALSE)</f>
        <v>1</v>
      </c>
      <c r="AR14" s="1153">
        <f>VLOOKUP(AJ14,Marination_Ordering!$A:$J,10,FALSE)</f>
        <v>14</v>
      </c>
      <c r="AS14" s="174">
        <f t="shared" si="12"/>
        <v>5.3246414602346794</v>
      </c>
      <c r="AT14" s="1153">
        <f t="shared" si="13"/>
        <v>7.4544980443285502E-2</v>
      </c>
    </row>
    <row r="15" spans="1:46" ht="14.25" customHeight="1" x14ac:dyDescent="0.3">
      <c r="A15" s="127" t="s">
        <v>95</v>
      </c>
      <c r="B15" s="600" t="s">
        <v>100</v>
      </c>
      <c r="C15" s="114" t="s">
        <v>14</v>
      </c>
      <c r="D15" s="124">
        <v>2</v>
      </c>
      <c r="E15" s="125">
        <f t="shared" si="7"/>
        <v>11.754055468341187</v>
      </c>
      <c r="F15" s="298">
        <v>0.75</v>
      </c>
      <c r="G15" s="118">
        <f t="shared" si="0"/>
        <v>23.508110936682375</v>
      </c>
      <c r="H15" s="206">
        <f t="shared" si="1"/>
        <v>17.631083202511782</v>
      </c>
      <c r="I15" s="80">
        <f>VLOOKUP(B15,All_Ingredients!$A$1:$F$149,6,FALSE())</f>
        <v>1</v>
      </c>
      <c r="J15" s="118">
        <f>VLOOKUP(B15,All_Ingredients!$A$1:$J$149,10,FALSE())</f>
        <v>31</v>
      </c>
      <c r="K15" s="121">
        <f t="shared" si="8"/>
        <v>1.763108320251178E-2</v>
      </c>
      <c r="L15" s="121">
        <f t="shared" si="9"/>
        <v>0.54656357927786514</v>
      </c>
      <c r="M15" s="130"/>
      <c r="N15" s="130"/>
      <c r="O15" s="337"/>
      <c r="P15" s="337"/>
      <c r="AI15" s="78" t="s">
        <v>95</v>
      </c>
      <c r="AJ15" s="322" t="s">
        <v>125</v>
      </c>
      <c r="AK15" s="333" t="s">
        <v>14</v>
      </c>
      <c r="AL15" s="115">
        <v>7</v>
      </c>
      <c r="AM15" s="125">
        <f t="shared" si="4"/>
        <v>2.6623207301173397</v>
      </c>
      <c r="AN15" s="298">
        <v>1</v>
      </c>
      <c r="AO15" s="118">
        <f t="shared" si="5"/>
        <v>18.636245110821378</v>
      </c>
      <c r="AP15" s="206">
        <f t="shared" si="6"/>
        <v>18.636245110821378</v>
      </c>
      <c r="AQ15" s="1153">
        <f>VLOOKUP(AJ15,Marination_Ordering!$A:$J,6,FALSE)</f>
        <v>1</v>
      </c>
      <c r="AR15" s="1153">
        <f>VLOOKUP(AJ15,Marination_Ordering!$A:$J,10,FALSE)</f>
        <v>37</v>
      </c>
      <c r="AS15" s="174">
        <f t="shared" si="12"/>
        <v>18.636245110821378</v>
      </c>
      <c r="AT15" s="1153">
        <f t="shared" si="13"/>
        <v>0.68954106910039104</v>
      </c>
    </row>
    <row r="16" spans="1:46" ht="14.25" customHeight="1" x14ac:dyDescent="0.35">
      <c r="A16" s="127" t="s">
        <v>192</v>
      </c>
      <c r="B16" s="600" t="s">
        <v>200</v>
      </c>
      <c r="C16" s="992" t="s">
        <v>161</v>
      </c>
      <c r="D16" s="124">
        <v>20</v>
      </c>
      <c r="E16" s="125">
        <f t="shared" si="7"/>
        <v>11.754055468341187</v>
      </c>
      <c r="F16" s="298">
        <v>0.9</v>
      </c>
      <c r="G16" s="118">
        <f t="shared" si="0"/>
        <v>235.08110936682374</v>
      </c>
      <c r="H16" s="206">
        <f t="shared" si="1"/>
        <v>211.57299843014138</v>
      </c>
      <c r="I16" s="80">
        <f>VLOOKUP(B16,All_Ingredients!$A$1:$F$149,6,FALSE())</f>
        <v>1</v>
      </c>
      <c r="J16" s="118">
        <f>VLOOKUP(B16,All_Ingredients!$A$1:$J$149,10,FALSE())</f>
        <v>3.25</v>
      </c>
      <c r="K16" s="121">
        <f t="shared" si="8"/>
        <v>0.21157299843014138</v>
      </c>
      <c r="L16" s="121">
        <f t="shared" si="9"/>
        <v>0.68761224489795947</v>
      </c>
      <c r="M16" s="130"/>
      <c r="N16" s="130"/>
      <c r="O16" s="337"/>
      <c r="P16" s="337"/>
      <c r="AI16" s="78" t="s">
        <v>56</v>
      </c>
      <c r="AJ16" s="322" t="s">
        <v>55</v>
      </c>
      <c r="AK16" s="333" t="s">
        <v>14</v>
      </c>
      <c r="AL16" s="124">
        <v>100</v>
      </c>
      <c r="AM16" s="125">
        <f t="shared" si="4"/>
        <v>2.6623207301173397</v>
      </c>
      <c r="AN16" s="298">
        <v>1</v>
      </c>
      <c r="AO16" s="118">
        <f t="shared" si="5"/>
        <v>266.23207301173397</v>
      </c>
      <c r="AP16" s="206">
        <f t="shared" si="6"/>
        <v>266.23207301173397</v>
      </c>
      <c r="AQ16" s="1153">
        <f>VLOOKUP(AJ16,Marination_Ordering!$A:$J,6,FALSE)</f>
        <v>0.87</v>
      </c>
      <c r="AR16" s="1153">
        <f>VLOOKUP(AJ16,Marination_Ordering!$A:$J,10,FALSE)</f>
        <v>3.2</v>
      </c>
      <c r="AS16" s="174">
        <f t="shared" si="12"/>
        <v>306.01387702498158</v>
      </c>
      <c r="AT16" s="1153">
        <f t="shared" si="13"/>
        <v>0.97924440647994104</v>
      </c>
    </row>
    <row r="17" spans="1:46" ht="14.25" customHeight="1" x14ac:dyDescent="0.3">
      <c r="A17" s="127" t="s">
        <v>182</v>
      </c>
      <c r="B17" s="600" t="s">
        <v>183</v>
      </c>
      <c r="C17" s="114" t="s">
        <v>14</v>
      </c>
      <c r="D17" s="124">
        <v>10</v>
      </c>
      <c r="E17" s="125">
        <f t="shared" si="7"/>
        <v>11.754055468341187</v>
      </c>
      <c r="F17" s="298">
        <v>1</v>
      </c>
      <c r="G17" s="118">
        <f t="shared" si="0"/>
        <v>117.54055468341187</v>
      </c>
      <c r="H17" s="206">
        <f t="shared" si="1"/>
        <v>117.54055468341187</v>
      </c>
      <c r="I17" s="80">
        <f>VLOOKUP(B17,All_Ingredients!$A$1:$F$149,6,FALSE())</f>
        <v>1</v>
      </c>
      <c r="J17" s="118">
        <f>VLOOKUP(B17,All_Ingredients!$A$1:$J$149,10,FALSE())</f>
        <v>6.5</v>
      </c>
      <c r="K17" s="121">
        <f t="shared" si="8"/>
        <v>0.11754055468341187</v>
      </c>
      <c r="L17" s="121">
        <f t="shared" si="9"/>
        <v>0.76401360544217722</v>
      </c>
      <c r="M17" s="130"/>
      <c r="N17" s="130"/>
      <c r="O17" s="337"/>
      <c r="P17" s="337"/>
      <c r="AI17" s="78" t="s">
        <v>13</v>
      </c>
      <c r="AJ17" s="322" t="s">
        <v>762</v>
      </c>
      <c r="AK17" s="333" t="s">
        <v>14</v>
      </c>
      <c r="AL17" s="115">
        <v>150</v>
      </c>
      <c r="AM17" s="125">
        <f t="shared" si="4"/>
        <v>2.6623207301173397</v>
      </c>
      <c r="AN17" s="298">
        <v>1</v>
      </c>
      <c r="AO17" s="118">
        <f t="shared" si="5"/>
        <v>399.34810951760096</v>
      </c>
      <c r="AP17" s="206">
        <f t="shared" si="6"/>
        <v>399.34810951760096</v>
      </c>
      <c r="AQ17" s="1153">
        <f>VLOOKUP(AJ17,Marination_Ordering!$A:$J,6,FALSE)</f>
        <v>1</v>
      </c>
      <c r="AR17" s="1153">
        <f>VLOOKUP(AJ17,Marination_Ordering!$A:$J,10,FALSE)</f>
        <v>10.5</v>
      </c>
      <c r="AS17" s="174">
        <f t="shared" si="12"/>
        <v>399.34810951760096</v>
      </c>
      <c r="AT17" s="1153">
        <f t="shared" si="13"/>
        <v>4.1931551499348103</v>
      </c>
    </row>
    <row r="18" spans="1:46" ht="14.25" customHeight="1" x14ac:dyDescent="0.3">
      <c r="A18" s="127" t="s">
        <v>13</v>
      </c>
      <c r="B18" s="600" t="s">
        <v>12</v>
      </c>
      <c r="C18" s="114" t="s">
        <v>14</v>
      </c>
      <c r="D18" s="124">
        <v>200</v>
      </c>
      <c r="E18" s="125">
        <f t="shared" si="7"/>
        <v>11.754055468341187</v>
      </c>
      <c r="F18" s="298">
        <v>1</v>
      </c>
      <c r="G18" s="118">
        <f t="shared" si="0"/>
        <v>2350.8110936682374</v>
      </c>
      <c r="H18" s="206">
        <f t="shared" si="1"/>
        <v>2350.8110936682374</v>
      </c>
      <c r="I18" s="80">
        <f>VLOOKUP(B18,All_Ingredients!$A$1:$F$149,6,FALSE())</f>
        <v>0.9</v>
      </c>
      <c r="J18" s="118">
        <f>VLOOKUP(B18,All_Ingredients!$A$1:$J$149,10,FALSE())</f>
        <v>3</v>
      </c>
      <c r="K18" s="121">
        <f t="shared" si="8"/>
        <v>2.6120123262980415</v>
      </c>
      <c r="L18" s="121">
        <f t="shared" si="9"/>
        <v>7.8360369788941249</v>
      </c>
      <c r="M18" s="130"/>
      <c r="N18" s="130"/>
      <c r="O18" s="337"/>
      <c r="P18" s="337"/>
      <c r="AI18" s="78" t="s">
        <v>206</v>
      </c>
      <c r="AJ18" s="322" t="s">
        <v>214</v>
      </c>
      <c r="AK18" s="333" t="s">
        <v>161</v>
      </c>
      <c r="AL18" s="115">
        <v>300</v>
      </c>
      <c r="AM18" s="125">
        <f t="shared" si="4"/>
        <v>2.6623207301173397</v>
      </c>
      <c r="AN18" s="298">
        <v>1</v>
      </c>
      <c r="AO18" s="118">
        <f t="shared" si="5"/>
        <v>798.69621903520192</v>
      </c>
      <c r="AP18" s="206">
        <f t="shared" si="6"/>
        <v>798.69621903520192</v>
      </c>
      <c r="AQ18" s="1153">
        <f>VLOOKUP(AJ18,Marination_Ordering!$A:$J,6,FALSE)</f>
        <v>1</v>
      </c>
      <c r="AR18" s="1153">
        <f>VLOOKUP(AJ18,Marination_Ordering!$A:$J,10,FALSE)</f>
        <v>5</v>
      </c>
      <c r="AS18" s="174">
        <f t="shared" si="12"/>
        <v>798.69621903520192</v>
      </c>
      <c r="AT18" s="1153">
        <f t="shared" si="13"/>
        <v>3.9934810951760098</v>
      </c>
    </row>
    <row r="19" spans="1:46" ht="14.25" customHeight="1" x14ac:dyDescent="0.3">
      <c r="A19" s="127" t="s">
        <v>56</v>
      </c>
      <c r="B19" s="600" t="s">
        <v>55</v>
      </c>
      <c r="C19" s="114" t="s">
        <v>14</v>
      </c>
      <c r="D19" s="124">
        <v>20</v>
      </c>
      <c r="E19" s="125">
        <f t="shared" si="7"/>
        <v>11.754055468341187</v>
      </c>
      <c r="F19" s="298">
        <v>0.9</v>
      </c>
      <c r="G19" s="118">
        <f t="shared" si="0"/>
        <v>235.08110936682374</v>
      </c>
      <c r="H19" s="206">
        <f t="shared" si="1"/>
        <v>211.57299843014138</v>
      </c>
      <c r="I19" s="80">
        <f>VLOOKUP(B19,All_Ingredients!$A$1:$F$149,6,FALSE())</f>
        <v>0.87</v>
      </c>
      <c r="J19" s="118">
        <f>VLOOKUP(B19,All_Ingredients!$A$1:$J$149,10,FALSE())</f>
        <v>7</v>
      </c>
      <c r="K19" s="121">
        <f t="shared" si="8"/>
        <v>0.24318735451740389</v>
      </c>
      <c r="L19" s="121">
        <f t="shared" si="9"/>
        <v>1.7023114816218272</v>
      </c>
      <c r="M19" s="130"/>
      <c r="N19" s="130"/>
      <c r="O19" s="337"/>
      <c r="P19" s="337"/>
      <c r="AI19" s="78" t="s">
        <v>206</v>
      </c>
      <c r="AJ19" s="322" t="s">
        <v>210</v>
      </c>
      <c r="AK19" s="123" t="s">
        <v>161</v>
      </c>
      <c r="AL19" s="115">
        <v>50</v>
      </c>
      <c r="AM19" s="125">
        <f t="shared" si="4"/>
        <v>2.6623207301173397</v>
      </c>
      <c r="AN19" s="298">
        <v>1</v>
      </c>
      <c r="AO19" s="118">
        <f t="shared" si="5"/>
        <v>133.11603650586699</v>
      </c>
      <c r="AP19" s="206">
        <f t="shared" si="6"/>
        <v>133.11603650586699</v>
      </c>
      <c r="AQ19" s="1153">
        <f>VLOOKUP(AJ19,Marination_Ordering!$A:$J,6,FALSE)</f>
        <v>1</v>
      </c>
      <c r="AR19" s="1153">
        <f>VLOOKUP(AJ19,Marination_Ordering!$A:$J,10,FALSE)</f>
        <v>2.1621621621621623</v>
      </c>
      <c r="AS19" s="174">
        <f t="shared" si="12"/>
        <v>133.11603650586699</v>
      </c>
      <c r="AT19" s="1153">
        <f t="shared" si="13"/>
        <v>0.28781845730998268</v>
      </c>
    </row>
    <row r="20" spans="1:46" ht="14.25" customHeight="1" x14ac:dyDescent="0.3">
      <c r="A20" s="127" t="s">
        <v>13</v>
      </c>
      <c r="B20" s="600" t="s">
        <v>762</v>
      </c>
      <c r="C20" s="114" t="s">
        <v>14</v>
      </c>
      <c r="D20" s="124">
        <v>20</v>
      </c>
      <c r="E20" s="125">
        <f t="shared" si="7"/>
        <v>11.754055468341187</v>
      </c>
      <c r="F20" s="298">
        <v>0.9</v>
      </c>
      <c r="G20" s="118">
        <f t="shared" si="0"/>
        <v>235.08110936682374</v>
      </c>
      <c r="H20" s="206">
        <f t="shared" si="1"/>
        <v>211.57299843014138</v>
      </c>
      <c r="I20" s="80">
        <f>VLOOKUP(B20,All_Ingredients!$A$1:$F$149,6,FALSE())</f>
        <v>1</v>
      </c>
      <c r="J20" s="118">
        <f>VLOOKUP(B20,All_Ingredients!$A$1:$J$149,10,FALSE())</f>
        <v>10.5</v>
      </c>
      <c r="K20" s="121">
        <f t="shared" si="8"/>
        <v>0.21157299843014138</v>
      </c>
      <c r="L20" s="121">
        <f t="shared" si="9"/>
        <v>2.2215164835164845</v>
      </c>
      <c r="M20" s="130"/>
      <c r="N20" s="130"/>
      <c r="O20" s="337"/>
      <c r="P20" s="337"/>
    </row>
    <row r="21" spans="1:46" ht="14.25" customHeight="1" x14ac:dyDescent="0.3">
      <c r="A21" s="127" t="s">
        <v>206</v>
      </c>
      <c r="B21" s="600" t="s">
        <v>214</v>
      </c>
      <c r="C21" s="114" t="s">
        <v>161</v>
      </c>
      <c r="D21" s="124">
        <v>5</v>
      </c>
      <c r="E21" s="125">
        <f t="shared" si="7"/>
        <v>11.754055468341187</v>
      </c>
      <c r="F21" s="298">
        <v>1</v>
      </c>
      <c r="G21" s="118">
        <f t="shared" si="0"/>
        <v>58.770277341705935</v>
      </c>
      <c r="H21" s="206">
        <f t="shared" si="1"/>
        <v>58.770277341705935</v>
      </c>
      <c r="I21" s="80">
        <f>VLOOKUP(B21,All_Ingredients!$A$1:$F$149,6,FALSE())</f>
        <v>1</v>
      </c>
      <c r="J21" s="118">
        <f>VLOOKUP(B21,All_Ingredients!$A$1:$J$149,10,FALSE())</f>
        <v>5</v>
      </c>
      <c r="K21" s="121">
        <f t="shared" si="8"/>
        <v>5.8770277341705937E-2</v>
      </c>
      <c r="L21" s="121">
        <f t="shared" si="9"/>
        <v>0.29385138670852967</v>
      </c>
      <c r="M21" s="130"/>
      <c r="N21" s="130"/>
      <c r="O21" s="337"/>
      <c r="P21" s="337"/>
    </row>
    <row r="22" spans="1:46" ht="14.25" customHeight="1" x14ac:dyDescent="0.3">
      <c r="A22" s="127" t="s">
        <v>13</v>
      </c>
      <c r="B22" s="600" t="s">
        <v>17</v>
      </c>
      <c r="C22" s="114" t="s">
        <v>14</v>
      </c>
      <c r="D22" s="124">
        <v>350</v>
      </c>
      <c r="E22" s="125">
        <f t="shared" si="7"/>
        <v>11.754055468341187</v>
      </c>
      <c r="F22" s="298">
        <v>0.95</v>
      </c>
      <c r="G22" s="118">
        <f t="shared" si="0"/>
        <v>4113.919413919416</v>
      </c>
      <c r="H22" s="206">
        <f t="shared" si="1"/>
        <v>3908.223443223445</v>
      </c>
      <c r="I22" s="80">
        <f>VLOOKUP(B22,All_Ingredients!$A$1:$F$149,6,FALSE())</f>
        <v>0.98</v>
      </c>
      <c r="J22" s="118">
        <f>VLOOKUP(B22,All_Ingredients!$A$1:$J$149,10,FALSE())</f>
        <v>3.5</v>
      </c>
      <c r="K22" s="121">
        <f t="shared" si="8"/>
        <v>3.9879831053300459</v>
      </c>
      <c r="L22" s="121">
        <f t="shared" si="9"/>
        <v>13.957940868655161</v>
      </c>
      <c r="M22" s="130"/>
      <c r="N22" s="130"/>
      <c r="O22" s="337"/>
      <c r="P22" s="337"/>
    </row>
    <row r="23" spans="1:46" ht="14.25" customHeight="1" x14ac:dyDescent="0.3">
      <c r="A23" s="127" t="s">
        <v>206</v>
      </c>
      <c r="B23" s="600" t="s">
        <v>205</v>
      </c>
      <c r="C23" s="114" t="s">
        <v>161</v>
      </c>
      <c r="D23" s="124">
        <v>100</v>
      </c>
      <c r="E23" s="125">
        <f t="shared" si="7"/>
        <v>11.754055468341187</v>
      </c>
      <c r="F23" s="298">
        <v>1</v>
      </c>
      <c r="G23" s="118">
        <f t="shared" si="0"/>
        <v>1175.4055468341187</v>
      </c>
      <c r="H23" s="206">
        <f t="shared" si="1"/>
        <v>1175.4055468341187</v>
      </c>
      <c r="I23" s="80">
        <f>VLOOKUP(B23,All_Ingredients!$A$1:$F$149,6,FALSE())</f>
        <v>1</v>
      </c>
      <c r="J23" s="118">
        <f>VLOOKUP(B23,All_Ingredients!$A$1:$J$149,10,FALSE())</f>
        <v>0</v>
      </c>
      <c r="K23" s="121">
        <f t="shared" si="8"/>
        <v>1.1754055468341187</v>
      </c>
      <c r="L23" s="121">
        <f t="shared" si="9"/>
        <v>0</v>
      </c>
      <c r="M23" s="130"/>
      <c r="N23" s="130"/>
      <c r="O23" s="337"/>
      <c r="P23" s="337"/>
      <c r="S23" s="274"/>
    </row>
    <row r="24" spans="1:46" ht="14.25" customHeight="1" x14ac:dyDescent="0.3">
      <c r="A24" s="127" t="s">
        <v>188</v>
      </c>
      <c r="B24" s="600" t="s">
        <v>189</v>
      </c>
      <c r="C24" s="114" t="s">
        <v>14</v>
      </c>
      <c r="D24" s="124">
        <v>20</v>
      </c>
      <c r="E24" s="125">
        <f t="shared" si="7"/>
        <v>11.754055468341187</v>
      </c>
      <c r="F24" s="298">
        <v>0.75</v>
      </c>
      <c r="G24" s="118">
        <f t="shared" si="0"/>
        <v>235.08110936682374</v>
      </c>
      <c r="H24" s="206">
        <f t="shared" si="1"/>
        <v>176.3108320251178</v>
      </c>
      <c r="I24" s="80">
        <f>VLOOKUP(B24,All_Ingredients!$A$1:$F$149,6,FALSE())</f>
        <v>0.9</v>
      </c>
      <c r="J24" s="118">
        <f>VLOOKUP(B24,All_Ingredients!$A$1:$J$149,10,FALSE())</f>
        <v>2.3199999999999998</v>
      </c>
      <c r="K24" s="121">
        <f t="shared" si="8"/>
        <v>0.19590092447235311</v>
      </c>
      <c r="L24" s="121">
        <f t="shared" si="9"/>
        <v>0.4544901447758592</v>
      </c>
      <c r="M24" s="130"/>
      <c r="N24" s="130"/>
      <c r="O24" s="337"/>
      <c r="P24" s="337"/>
      <c r="Z24" s="1208"/>
    </row>
    <row r="25" spans="1:46" ht="14.25" customHeight="1" x14ac:dyDescent="0.35">
      <c r="A25" s="127" t="s">
        <v>154</v>
      </c>
      <c r="B25" s="600" t="s">
        <v>153</v>
      </c>
      <c r="C25" s="114" t="s">
        <v>14</v>
      </c>
      <c r="D25" s="124">
        <v>30</v>
      </c>
      <c r="E25" s="125">
        <f t="shared" si="7"/>
        <v>11.754055468341187</v>
      </c>
      <c r="F25" s="298">
        <v>1</v>
      </c>
      <c r="G25" s="118">
        <f t="shared" si="0"/>
        <v>352.62166405023561</v>
      </c>
      <c r="H25" s="206">
        <f t="shared" si="1"/>
        <v>352.62166405023561</v>
      </c>
      <c r="I25" s="80">
        <f>VLOOKUP(B25,All_Ingredients!$A$1:$F$149,6,FALSE())</f>
        <v>1</v>
      </c>
      <c r="J25" s="118">
        <f>VLOOKUP(B25,All_Ingredients!$A$1:$J$149,10,FALSE())</f>
        <v>30</v>
      </c>
      <c r="K25" s="121">
        <f t="shared" si="8"/>
        <v>0.35262166405023559</v>
      </c>
      <c r="L25" s="121">
        <f t="shared" si="9"/>
        <v>10.578649921507068</v>
      </c>
      <c r="M25" s="130"/>
      <c r="N25" s="130"/>
      <c r="R25" s="1440" t="s">
        <v>478</v>
      </c>
      <c r="S25" s="1444"/>
      <c r="T25" s="1444"/>
      <c r="U25" s="1444"/>
      <c r="V25" s="1132"/>
      <c r="Z25" s="140" t="s">
        <v>256</v>
      </c>
      <c r="AA25" s="141">
        <v>1</v>
      </c>
      <c r="AB25" s="140" t="s">
        <v>253</v>
      </c>
      <c r="AC25" s="142">
        <f>(AA25*(4/3))*AF30+(AA30*(AB28/R1))</f>
        <v>3.072362644578449E-2</v>
      </c>
    </row>
    <row r="26" spans="1:46" ht="14.25" customHeight="1" x14ac:dyDescent="0.3">
      <c r="A26" s="127" t="s">
        <v>154</v>
      </c>
      <c r="B26" s="600" t="s">
        <v>164</v>
      </c>
      <c r="C26" s="114" t="s">
        <v>14</v>
      </c>
      <c r="D26" s="114">
        <v>100</v>
      </c>
      <c r="E26" s="125">
        <f t="shared" si="7"/>
        <v>11.754055468341187</v>
      </c>
      <c r="F26" s="298">
        <v>1</v>
      </c>
      <c r="G26" s="118">
        <f t="shared" si="0"/>
        <v>1175.4055468341187</v>
      </c>
      <c r="H26" s="206">
        <f t="shared" si="1"/>
        <v>1175.4055468341187</v>
      </c>
      <c r="I26" s="80">
        <f>VLOOKUP(B26,All_Ingredients!$A$1:$F$149,6,FALSE())</f>
        <v>1</v>
      </c>
      <c r="J26" s="118">
        <f>VLOOKUP(B26,All_Ingredients!$A$1:$J$149,10,FALSE())</f>
        <v>6.6959999999999997</v>
      </c>
      <c r="K26" s="121">
        <f t="shared" si="8"/>
        <v>1.1754055468341187</v>
      </c>
      <c r="L26" s="121">
        <f t="shared" si="9"/>
        <v>7.8705155416012582</v>
      </c>
      <c r="M26" s="130"/>
      <c r="N26" s="130"/>
      <c r="R26" s="1445" t="s">
        <v>257</v>
      </c>
      <c r="S26" s="1446"/>
      <c r="T26" s="1446"/>
      <c r="U26" s="1446"/>
      <c r="V26" s="1132"/>
    </row>
    <row r="27" spans="1:46" ht="14.25" customHeight="1" thickBot="1" x14ac:dyDescent="0.35">
      <c r="A27" s="127" t="s">
        <v>215</v>
      </c>
      <c r="B27" s="600" t="s">
        <v>877</v>
      </c>
      <c r="C27" s="114" t="s">
        <v>14</v>
      </c>
      <c r="D27" s="114">
        <v>0.5</v>
      </c>
      <c r="E27" s="125">
        <f t="shared" si="7"/>
        <v>11.754055468341187</v>
      </c>
      <c r="F27" s="298">
        <v>1</v>
      </c>
      <c r="G27" s="118">
        <f t="shared" si="0"/>
        <v>5.8770277341705937</v>
      </c>
      <c r="H27" s="206">
        <f t="shared" si="1"/>
        <v>5.8770277341705937</v>
      </c>
      <c r="I27" s="80">
        <f>VLOOKUP(B27,All_Ingredients!$A$1:$F$149,6,FALSE())</f>
        <v>1</v>
      </c>
      <c r="J27" s="118">
        <f>VLOOKUP(B27,All_Ingredients!$A$1:$J$149,10,FALSE())</f>
        <v>22.5</v>
      </c>
      <c r="K27" s="121">
        <f t="shared" si="8"/>
        <v>5.8770277341705941E-3</v>
      </c>
      <c r="L27" s="121">
        <f t="shared" si="9"/>
        <v>0.13223312401883835</v>
      </c>
      <c r="M27" s="130"/>
      <c r="N27" s="130"/>
      <c r="R27" s="144" t="s">
        <v>258</v>
      </c>
      <c r="S27" s="145" t="s">
        <v>259</v>
      </c>
      <c r="T27" s="145" t="s">
        <v>260</v>
      </c>
      <c r="U27" s="145" t="s">
        <v>261</v>
      </c>
      <c r="V27" s="145" t="s">
        <v>808</v>
      </c>
      <c r="W27" s="145" t="s">
        <v>817</v>
      </c>
      <c r="Z27" s="140" t="s">
        <v>262</v>
      </c>
      <c r="AA27" s="1166" t="s">
        <v>316</v>
      </c>
      <c r="AB27" s="146" t="s">
        <v>263</v>
      </c>
      <c r="AC27" s="146" t="s">
        <v>264</v>
      </c>
      <c r="AD27" s="146" t="s">
        <v>265</v>
      </c>
      <c r="AE27" s="1167" t="s">
        <v>817</v>
      </c>
      <c r="AF27" s="146" t="s">
        <v>266</v>
      </c>
    </row>
    <row r="28" spans="1:46" ht="14.25" customHeight="1" thickBot="1" x14ac:dyDescent="0.35">
      <c r="B28" s="601"/>
      <c r="E28" s="99"/>
      <c r="F28" s="532"/>
      <c r="L28" s="296"/>
      <c r="R28" s="147" t="s">
        <v>267</v>
      </c>
      <c r="S28" s="754">
        <f>U28*S40</f>
        <v>15323.07692307692</v>
      </c>
      <c r="T28" s="754">
        <f>U28*U40</f>
        <v>4596.9230769230817</v>
      </c>
      <c r="U28" s="760">
        <f>$Z$1</f>
        <v>19920</v>
      </c>
      <c r="V28" s="148">
        <f>SUM(AP5:AP13)</f>
        <v>441.94524119947835</v>
      </c>
      <c r="W28" s="148">
        <f>H37</f>
        <v>9.3800000000000008</v>
      </c>
      <c r="Z28" s="150"/>
      <c r="AA28" s="1169"/>
      <c r="AB28" s="151">
        <f>AA25*$S$40</f>
        <v>0.76923076923076905</v>
      </c>
      <c r="AC28" s="151">
        <f>AA25*$U$40</f>
        <v>0.230769230769231</v>
      </c>
      <c r="AD28" s="152">
        <f>AA25*(1/3)</f>
        <v>0.33333333333333331</v>
      </c>
      <c r="AE28" s="1169"/>
      <c r="AF28" s="153">
        <f>SUM(AB28:AD28)</f>
        <v>1.3333333333333333</v>
      </c>
    </row>
    <row r="29" spans="1:46" ht="14.25" customHeight="1" thickBot="1" x14ac:dyDescent="0.35">
      <c r="N29" s="297"/>
      <c r="R29" s="147" t="s">
        <v>268</v>
      </c>
      <c r="S29" s="154"/>
      <c r="T29" s="148">
        <f>U28*(1/3)</f>
        <v>6640</v>
      </c>
      <c r="U29" s="754">
        <f>T29</f>
        <v>6640</v>
      </c>
      <c r="V29" s="148"/>
      <c r="W29" s="148"/>
      <c r="Z29" s="150"/>
      <c r="AA29" s="1173"/>
      <c r="AB29" s="155">
        <f>AB28/$AF$28</f>
        <v>0.57692307692307687</v>
      </c>
      <c r="AC29" s="155">
        <f>AC28/$AF$28</f>
        <v>0.17307692307692327</v>
      </c>
      <c r="AD29" s="155">
        <f>AD28/$AF$28</f>
        <v>0.25</v>
      </c>
      <c r="AE29" s="1173"/>
      <c r="AF29" s="155">
        <f>AF28/$AF$28</f>
        <v>1</v>
      </c>
    </row>
    <row r="30" spans="1:46" ht="14.25" customHeight="1" thickBot="1" x14ac:dyDescent="0.35">
      <c r="R30" s="147" t="s">
        <v>269</v>
      </c>
      <c r="S30" s="1318">
        <f>U30*S40</f>
        <v>384.61538461538453</v>
      </c>
      <c r="T30" s="754">
        <f>(U30*U40)+(U30*(1/3))</f>
        <v>282.05128205128216</v>
      </c>
      <c r="U30" s="760">
        <f>$AB$1</f>
        <v>500</v>
      </c>
      <c r="V30" s="1124"/>
      <c r="W30" s="1124"/>
      <c r="Z30" s="140" t="s">
        <v>270</v>
      </c>
      <c r="AA30" s="1177">
        <f>V35/(S32/R1)</f>
        <v>5.6267075333954648E-4</v>
      </c>
      <c r="AB30" s="156">
        <f>S35/(S32)</f>
        <v>3.3701221915648408E-2</v>
      </c>
      <c r="AC30" s="157">
        <f>T35/T32</f>
        <v>7.1515519079722598E-3</v>
      </c>
      <c r="AD30" s="157">
        <f>T35/T32</f>
        <v>7.1515519079722598E-3</v>
      </c>
      <c r="AE30" s="1180">
        <f>W35/U32</f>
        <v>2.3851051005801253E-5</v>
      </c>
      <c r="AF30" s="1182">
        <f>SUMPRODUCT(AB30:AD30,AB29:AD29)+AE30</f>
        <v>2.2492520271098916E-2</v>
      </c>
    </row>
    <row r="31" spans="1:46" ht="14.25" customHeight="1" thickBot="1" x14ac:dyDescent="0.35">
      <c r="R31" s="147" t="s">
        <v>271</v>
      </c>
      <c r="S31" s="154"/>
      <c r="T31" s="148"/>
      <c r="U31" s="148"/>
      <c r="V31" s="148"/>
      <c r="W31" s="148"/>
    </row>
    <row r="32" spans="1:46" ht="14.25" customHeight="1" thickBot="1" x14ac:dyDescent="0.35">
      <c r="R32" s="159" t="s">
        <v>261</v>
      </c>
      <c r="S32" s="148">
        <f>SUM(S28:S30)</f>
        <v>15707.692307692305</v>
      </c>
      <c r="T32" s="148">
        <f>SUM(T28:T30)</f>
        <v>11518.974358974363</v>
      </c>
      <c r="U32" s="148">
        <f>SUM(S32:T32)</f>
        <v>27226.666666666668</v>
      </c>
      <c r="V32" s="148"/>
      <c r="W32" s="148">
        <f>SUM(W28:W30)</f>
        <v>9.3800000000000008</v>
      </c>
    </row>
    <row r="33" spans="2:23" ht="21.75" customHeight="1" thickBot="1" x14ac:dyDescent="0.35">
      <c r="R33" s="602" t="s">
        <v>272</v>
      </c>
      <c r="S33" s="154"/>
      <c r="T33" s="154"/>
      <c r="U33" s="154"/>
      <c r="V33" s="154"/>
      <c r="W33" s="154"/>
    </row>
    <row r="34" spans="2:23" ht="14.25" customHeight="1" thickBot="1" x14ac:dyDescent="0.35">
      <c r="R34" s="161" t="s">
        <v>273</v>
      </c>
      <c r="S34" s="154"/>
      <c r="T34" s="148"/>
      <c r="U34" s="154"/>
      <c r="V34" s="154"/>
      <c r="W34" s="154"/>
    </row>
    <row r="35" spans="2:23" ht="16" thickBot="1" x14ac:dyDescent="0.35">
      <c r="B35" s="1441" t="s">
        <v>699</v>
      </c>
      <c r="C35" s="1441"/>
      <c r="D35" s="1441"/>
      <c r="E35" s="1441"/>
      <c r="F35" s="1441"/>
      <c r="G35" s="877"/>
      <c r="H35" s="877"/>
      <c r="I35" s="877"/>
      <c r="J35" s="877"/>
      <c r="K35" s="877"/>
      <c r="L35" s="877"/>
      <c r="R35" s="162" t="s">
        <v>253</v>
      </c>
      <c r="S35" s="1125">
        <f>$L$5</f>
        <v>529.36842424426186</v>
      </c>
      <c r="T35" s="1125">
        <f>SUM(L6:L27)</f>
        <v>82.378543054806642</v>
      </c>
      <c r="U35" s="1184">
        <f>S35+T35+V35+W35</f>
        <v>627.37645202291924</v>
      </c>
      <c r="V35" s="1125">
        <f>SUM(AT6:AT19)</f>
        <v>14.98010010846615</v>
      </c>
      <c r="W35" s="1125">
        <f>L37</f>
        <v>0.64938461538461545</v>
      </c>
    </row>
    <row r="36" spans="2:23" ht="48.5" customHeight="1" x14ac:dyDescent="0.3">
      <c r="B36" s="848" t="s">
        <v>245</v>
      </c>
      <c r="C36" s="848" t="s">
        <v>321</v>
      </c>
      <c r="D36" s="850" t="s">
        <v>645</v>
      </c>
      <c r="E36" s="847" t="s">
        <v>646</v>
      </c>
      <c r="F36" s="850" t="s">
        <v>647</v>
      </c>
      <c r="G36" s="870"/>
      <c r="H36" s="850" t="s">
        <v>647</v>
      </c>
      <c r="I36" s="850" t="s">
        <v>250</v>
      </c>
      <c r="J36" s="850" t="s">
        <v>251</v>
      </c>
      <c r="K36" s="850" t="s">
        <v>252</v>
      </c>
      <c r="L36" s="850" t="s">
        <v>253</v>
      </c>
    </row>
    <row r="37" spans="2:23" ht="14.25" customHeight="1" x14ac:dyDescent="0.3">
      <c r="B37" s="843" t="s">
        <v>716</v>
      </c>
      <c r="C37" s="844" t="s">
        <v>14</v>
      </c>
      <c r="D37" s="845">
        <v>7.0000000000000007E-2</v>
      </c>
      <c r="E37" s="843">
        <f>$AD$1</f>
        <v>134</v>
      </c>
      <c r="F37" s="843">
        <f>D37*E37</f>
        <v>9.3800000000000008</v>
      </c>
      <c r="G37" s="869"/>
      <c r="H37" s="843">
        <f>F37</f>
        <v>9.3800000000000008</v>
      </c>
      <c r="I37" s="843">
        <f>VLOOKUP(B37,All_Ingredients!$A$1:$F$149,6,FALSE())</f>
        <v>0.65</v>
      </c>
      <c r="J37" s="843">
        <f>VLOOKUP(B37,All_Ingredients!$A$1:$J$149,10,FALSE())</f>
        <v>45</v>
      </c>
      <c r="K37" s="843">
        <f>(H37/I37)/1000</f>
        <v>1.4430769230769231E-2</v>
      </c>
      <c r="L37" s="843">
        <f>K37*J37</f>
        <v>0.64938461538461545</v>
      </c>
      <c r="R37" s="320"/>
      <c r="S37" s="337"/>
    </row>
    <row r="38" spans="2:23" ht="14.25" customHeight="1" x14ac:dyDescent="0.3">
      <c r="R38" s="320"/>
      <c r="S38" s="337"/>
    </row>
    <row r="39" spans="2:23" ht="14.25" customHeight="1" x14ac:dyDescent="0.3">
      <c r="U39" s="337"/>
    </row>
    <row r="40" spans="2:23" ht="16.5" customHeight="1" x14ac:dyDescent="0.3">
      <c r="R40" s="164" t="s">
        <v>274</v>
      </c>
      <c r="S40" s="165">
        <v>0.76923076923076905</v>
      </c>
      <c r="T40" s="164" t="s">
        <v>275</v>
      </c>
      <c r="U40" s="166">
        <v>0.230769230769231</v>
      </c>
      <c r="V40" s="167">
        <f>S40+U40</f>
        <v>1</v>
      </c>
    </row>
    <row r="41" spans="2:23" ht="14.25" customHeight="1" x14ac:dyDescent="0.3">
      <c r="U41" s="168"/>
    </row>
    <row r="43" spans="2:23" ht="15.75" customHeight="1" thickBot="1" x14ac:dyDescent="0.35">
      <c r="Q43" s="169" t="s">
        <v>276</v>
      </c>
      <c r="R43" s="169" t="s">
        <v>277</v>
      </c>
      <c r="S43" s="169" t="s">
        <v>278</v>
      </c>
      <c r="T43" s="169" t="s">
        <v>279</v>
      </c>
      <c r="U43" s="169" t="s">
        <v>280</v>
      </c>
      <c r="V43" s="169" t="s">
        <v>281</v>
      </c>
      <c r="W43" s="169" t="s">
        <v>282</v>
      </c>
    </row>
    <row r="44" spans="2:23" ht="14.25" customHeight="1" thickBot="1" x14ac:dyDescent="0.35">
      <c r="Q44" s="1338">
        <v>17728</v>
      </c>
      <c r="R44" s="172">
        <f>D51</f>
        <v>10000</v>
      </c>
      <c r="S44" s="1340">
        <v>0.40909090909090912</v>
      </c>
      <c r="T44" s="1340">
        <v>0.59090909090909094</v>
      </c>
      <c r="U44" s="241">
        <f>R44*S44</f>
        <v>4090.909090909091</v>
      </c>
      <c r="V44" s="175">
        <f>R44*T44</f>
        <v>5909.090909090909</v>
      </c>
      <c r="W44" s="175">
        <f>Q44-U44</f>
        <v>13637.090909090908</v>
      </c>
    </row>
    <row r="50" spans="1:10" ht="14.25" customHeight="1" x14ac:dyDescent="0.3">
      <c r="B50" s="603"/>
      <c r="C50" s="144" t="s">
        <v>237</v>
      </c>
      <c r="D50" s="144" t="s">
        <v>283</v>
      </c>
      <c r="F50" s="99"/>
      <c r="G50" s="144" t="s">
        <v>284</v>
      </c>
      <c r="H50" s="144" t="s">
        <v>237</v>
      </c>
      <c r="I50" s="144" t="s">
        <v>285</v>
      </c>
      <c r="J50" s="144" t="s">
        <v>286</v>
      </c>
    </row>
    <row r="51" spans="1:10" ht="14.25" customHeight="1" x14ac:dyDescent="0.3">
      <c r="B51" s="179" t="s">
        <v>287</v>
      </c>
      <c r="C51" s="180">
        <f>10/$K$1</f>
        <v>10.204081632653061</v>
      </c>
      <c r="D51" s="181">
        <f>$C$1*10</f>
        <v>10000</v>
      </c>
      <c r="E51" s="182"/>
      <c r="F51" s="99"/>
      <c r="G51" s="179" t="s">
        <v>287</v>
      </c>
      <c r="H51" s="276">
        <f>I51/$D$5</f>
        <v>10</v>
      </c>
      <c r="I51" s="180">
        <f>J51/$R$1</f>
        <v>23113.713405238828</v>
      </c>
      <c r="J51" s="180">
        <f>$W$44</f>
        <v>13637.090909090908</v>
      </c>
    </row>
    <row r="52" spans="1:10" ht="14.25" customHeight="1" x14ac:dyDescent="0.3">
      <c r="B52" s="230" t="s">
        <v>266</v>
      </c>
      <c r="C52" s="231">
        <f>$I$1</f>
        <v>11.754055468341187</v>
      </c>
      <c r="D52" s="232">
        <f>$E$1</f>
        <v>11518.974358974363</v>
      </c>
      <c r="E52" s="99"/>
      <c r="F52" s="99"/>
      <c r="G52" s="147" t="s">
        <v>266</v>
      </c>
      <c r="H52" s="209">
        <f>I52/$D$5</f>
        <v>11.518360046438548</v>
      </c>
      <c r="I52" s="175">
        <f>J52/$R$1</f>
        <v>26623.207301173399</v>
      </c>
      <c r="J52" s="183">
        <f>$S$32</f>
        <v>15707.692307692305</v>
      </c>
    </row>
    <row r="53" spans="1:10" ht="14.25" customHeight="1" x14ac:dyDescent="0.3">
      <c r="B53" s="230" t="s">
        <v>288</v>
      </c>
      <c r="C53" s="233">
        <f>MIN(C52, C51)</f>
        <v>10.204081632653061</v>
      </c>
      <c r="D53" s="232">
        <f>(C53*$K$1)*$C$1</f>
        <v>10000</v>
      </c>
      <c r="E53" s="99"/>
      <c r="F53" s="99"/>
      <c r="G53" s="147" t="s">
        <v>288</v>
      </c>
      <c r="H53" s="186">
        <f>MIN(H52,H51)</f>
        <v>10</v>
      </c>
      <c r="I53" s="175">
        <f>J53/$R$1</f>
        <v>23113.713405238828</v>
      </c>
      <c r="J53" s="175">
        <f>MIN(J52,J51)</f>
        <v>13637.090909090908</v>
      </c>
    </row>
    <row r="54" spans="1:10" ht="14.25" customHeight="1" x14ac:dyDescent="0.3">
      <c r="B54" s="230" t="s">
        <v>289</v>
      </c>
      <c r="C54" s="233">
        <f>MIN(MAX(C52-C53,0),C51)</f>
        <v>1.5499738356881263</v>
      </c>
      <c r="D54" s="232">
        <f>(C54*$K$1)*$C$1</f>
        <v>1518.9743589743639</v>
      </c>
      <c r="E54" s="99"/>
      <c r="F54" s="99"/>
      <c r="G54" s="147" t="s">
        <v>289</v>
      </c>
      <c r="H54" s="186">
        <f>MIN(MAX(H52-H53),H51)</f>
        <v>1.5183600464385485</v>
      </c>
      <c r="I54" s="175">
        <f>J54/$R$1</f>
        <v>3509.4938959345709</v>
      </c>
      <c r="J54" s="175">
        <f>MIN(MAX(J52-J53),J51)</f>
        <v>2070.6013986013968</v>
      </c>
    </row>
    <row r="55" spans="1:10" ht="14.25" customHeight="1" x14ac:dyDescent="0.3">
      <c r="B55" s="230" t="s">
        <v>290</v>
      </c>
      <c r="C55" s="233">
        <f>MIN(MAX(C52-C53-C54,0),C51)</f>
        <v>0</v>
      </c>
      <c r="D55" s="232">
        <f>(C55*$K$1)*$C$1</f>
        <v>0</v>
      </c>
      <c r="E55" s="99"/>
      <c r="F55" s="99"/>
      <c r="G55" s="144" t="s">
        <v>290</v>
      </c>
      <c r="H55" s="186">
        <f>MIN(MAX(H52-H53-H54),H51)</f>
        <v>0</v>
      </c>
      <c r="I55" s="175">
        <f>J55/$R$1</f>
        <v>0</v>
      </c>
      <c r="J55" s="175">
        <f>MIN(MAX(J52-J53-J54),J51)</f>
        <v>0</v>
      </c>
    </row>
    <row r="62" spans="1:10" ht="17.75" customHeight="1" x14ac:dyDescent="0.3">
      <c r="A62" s="922"/>
      <c r="B62" s="1438" t="str">
        <f>"دجاج سنغافورى  1 / " &amp; COUNTIF($C$53:$C$55, "&gt;0")</f>
        <v>دجاج سنغافورى  1 / 2</v>
      </c>
      <c r="C62" s="1439"/>
      <c r="D62" s="1439"/>
      <c r="E62" s="1439"/>
      <c r="F62" s="1439"/>
      <c r="G62" s="1439"/>
      <c r="H62" s="1439"/>
    </row>
    <row r="63" spans="1:10" ht="17.75" customHeight="1" x14ac:dyDescent="0.3">
      <c r="A63" s="922"/>
      <c r="B63" s="1436" t="str">
        <f>"Singapore Chicken  1 / " &amp; COUNTIF($C$53:$C$55, "&gt;0")</f>
        <v>Singapore Chicken  1 / 2</v>
      </c>
      <c r="C63" s="1437"/>
      <c r="D63" s="1437"/>
      <c r="E63" s="1437"/>
      <c r="F63" s="1437"/>
      <c r="G63" s="1437"/>
      <c r="H63" s="1437"/>
    </row>
    <row r="64" spans="1:10" ht="49.5" customHeight="1" x14ac:dyDescent="0.25">
      <c r="A64" s="594"/>
      <c r="B64" s="591" t="s">
        <v>245</v>
      </c>
      <c r="C64" s="243" t="s">
        <v>246</v>
      </c>
      <c r="D64" s="244" t="s">
        <v>235</v>
      </c>
      <c r="E64" s="217" t="s">
        <v>238</v>
      </c>
      <c r="F64" s="217" t="s">
        <v>247</v>
      </c>
      <c r="G64" s="244" t="s">
        <v>248</v>
      </c>
      <c r="H64" s="217" t="s">
        <v>249</v>
      </c>
    </row>
    <row r="65" spans="1:8" ht="14.25" customHeight="1" x14ac:dyDescent="0.3">
      <c r="A65" s="127" t="s">
        <v>225</v>
      </c>
      <c r="B65" s="600" t="str">
        <f t="shared" ref="B65:D87" si="14">B5</f>
        <v>Chicken - دجاج</v>
      </c>
      <c r="C65" s="604" t="str">
        <f t="shared" si="14"/>
        <v>gm</v>
      </c>
      <c r="D65" s="605">
        <f t="shared" si="14"/>
        <v>2311.3713405238827</v>
      </c>
      <c r="E65" s="125">
        <f>H53</f>
        <v>10</v>
      </c>
      <c r="F65" s="298">
        <f t="shared" ref="F65:F87" si="15">F5</f>
        <v>1</v>
      </c>
      <c r="G65" s="118">
        <f t="shared" ref="G65:G87" si="16">D65*E65</f>
        <v>23113.713405238828</v>
      </c>
      <c r="H65" s="206">
        <f t="shared" ref="H65:H87" si="17">G65*F65</f>
        <v>23113.713405238828</v>
      </c>
    </row>
    <row r="66" spans="1:8" ht="14.25" customHeight="1" x14ac:dyDescent="0.3">
      <c r="A66" s="127" t="s">
        <v>95</v>
      </c>
      <c r="B66" s="600" t="str">
        <f t="shared" si="14"/>
        <v>Curry Powder - كاري بودرة</v>
      </c>
      <c r="C66" s="604" t="str">
        <f t="shared" si="14"/>
        <v>gm</v>
      </c>
      <c r="D66" s="604">
        <f t="shared" si="14"/>
        <v>6</v>
      </c>
      <c r="E66" s="432">
        <f>$C$53</f>
        <v>10.204081632653061</v>
      </c>
      <c r="F66" s="298">
        <f t="shared" si="15"/>
        <v>0.95</v>
      </c>
      <c r="G66" s="118">
        <f t="shared" si="16"/>
        <v>61.224489795918366</v>
      </c>
      <c r="H66" s="206">
        <f t="shared" si="17"/>
        <v>58.163265306122447</v>
      </c>
    </row>
    <row r="67" spans="1:8" ht="14.25" customHeight="1" x14ac:dyDescent="0.3">
      <c r="A67" s="127" t="s">
        <v>95</v>
      </c>
      <c r="B67" s="600" t="str">
        <f t="shared" si="14"/>
        <v>Salt - ملح</v>
      </c>
      <c r="C67" s="604" t="str">
        <f t="shared" si="14"/>
        <v>gm</v>
      </c>
      <c r="D67" s="604">
        <f t="shared" si="14"/>
        <v>11</v>
      </c>
      <c r="E67" s="432">
        <f t="shared" ref="E67:E87" si="18">$C$53</f>
        <v>10.204081632653061</v>
      </c>
      <c r="F67" s="298">
        <f t="shared" si="15"/>
        <v>0.75</v>
      </c>
      <c r="G67" s="118">
        <f t="shared" si="16"/>
        <v>112.24489795918367</v>
      </c>
      <c r="H67" s="206">
        <f t="shared" si="17"/>
        <v>84.183673469387756</v>
      </c>
    </row>
    <row r="68" spans="1:8" ht="14.25" customHeight="1" x14ac:dyDescent="0.3">
      <c r="A68" s="127" t="s">
        <v>154</v>
      </c>
      <c r="B68" s="600" t="str">
        <f t="shared" si="14"/>
        <v>Coconut Milk - حليب جوز الهند</v>
      </c>
      <c r="C68" s="604" t="str">
        <f t="shared" si="14"/>
        <v>ml</v>
      </c>
      <c r="D68" s="604">
        <f t="shared" si="14"/>
        <v>250</v>
      </c>
      <c r="E68" s="432">
        <f t="shared" si="18"/>
        <v>10.204081632653061</v>
      </c>
      <c r="F68" s="298">
        <f t="shared" si="15"/>
        <v>1</v>
      </c>
      <c r="G68" s="118">
        <f t="shared" si="16"/>
        <v>2551.0204081632651</v>
      </c>
      <c r="H68" s="206">
        <f t="shared" si="17"/>
        <v>2551.0204081632651</v>
      </c>
    </row>
    <row r="69" spans="1:8" ht="14.25" customHeight="1" x14ac:dyDescent="0.3">
      <c r="A69" s="127" t="s">
        <v>56</v>
      </c>
      <c r="B69" s="600" t="str">
        <f t="shared" si="14"/>
        <v xml:space="preserve">Lemon Grass - ليمون جراس </v>
      </c>
      <c r="C69" s="604" t="str">
        <f t="shared" si="14"/>
        <v>gm</v>
      </c>
      <c r="D69" s="604">
        <f t="shared" si="14"/>
        <v>5</v>
      </c>
      <c r="E69" s="432">
        <f t="shared" si="18"/>
        <v>10.204081632653061</v>
      </c>
      <c r="F69" s="298">
        <f t="shared" si="15"/>
        <v>0.9</v>
      </c>
      <c r="G69" s="118">
        <f t="shared" si="16"/>
        <v>51.020408163265301</v>
      </c>
      <c r="H69" s="206">
        <f t="shared" si="17"/>
        <v>45.918367346938773</v>
      </c>
    </row>
    <row r="70" spans="1:8" ht="14.25" customHeight="1" x14ac:dyDescent="0.3">
      <c r="A70" s="127" t="s">
        <v>56</v>
      </c>
      <c r="B70" s="600" t="str">
        <f t="shared" si="14"/>
        <v xml:space="preserve">Kaffir Lime Leaves - ورق الليمون  </v>
      </c>
      <c r="C70" s="604" t="str">
        <f t="shared" si="14"/>
        <v>gm</v>
      </c>
      <c r="D70" s="604">
        <f t="shared" si="14"/>
        <v>3</v>
      </c>
      <c r="E70" s="432">
        <f t="shared" si="18"/>
        <v>10.204081632653061</v>
      </c>
      <c r="F70" s="298">
        <f t="shared" si="15"/>
        <v>0.75</v>
      </c>
      <c r="G70" s="118">
        <f t="shared" si="16"/>
        <v>30.612244897959183</v>
      </c>
      <c r="H70" s="206">
        <f t="shared" si="17"/>
        <v>22.959183673469386</v>
      </c>
    </row>
    <row r="71" spans="1:8" ht="14.25" customHeight="1" x14ac:dyDescent="0.3">
      <c r="A71" s="127" t="s">
        <v>13</v>
      </c>
      <c r="B71" s="600" t="str">
        <f t="shared" si="14"/>
        <v>Green Chilli Pepper - فلفل أخضر حار</v>
      </c>
      <c r="C71" s="604" t="str">
        <f t="shared" si="14"/>
        <v>gm</v>
      </c>
      <c r="D71" s="604">
        <f t="shared" si="14"/>
        <v>2</v>
      </c>
      <c r="E71" s="432">
        <f t="shared" si="18"/>
        <v>10.204081632653061</v>
      </c>
      <c r="F71" s="298">
        <f t="shared" si="15"/>
        <v>0.75</v>
      </c>
      <c r="G71" s="118">
        <f t="shared" si="16"/>
        <v>20.408163265306122</v>
      </c>
      <c r="H71" s="206">
        <f t="shared" si="17"/>
        <v>15.306122448979592</v>
      </c>
    </row>
    <row r="72" spans="1:8" ht="14.25" customHeight="1" x14ac:dyDescent="0.3">
      <c r="A72" s="127" t="s">
        <v>62</v>
      </c>
      <c r="B72" s="600" t="str">
        <f t="shared" si="14"/>
        <v>Coriander Leaves - كزبرة خضراء</v>
      </c>
      <c r="C72" s="604" t="str">
        <f t="shared" si="14"/>
        <v>gm</v>
      </c>
      <c r="D72" s="604">
        <f t="shared" si="14"/>
        <v>10</v>
      </c>
      <c r="E72" s="432">
        <f t="shared" si="18"/>
        <v>10.204081632653061</v>
      </c>
      <c r="F72" s="298">
        <f t="shared" si="15"/>
        <v>0.9</v>
      </c>
      <c r="G72" s="118">
        <f t="shared" si="16"/>
        <v>102.0408163265306</v>
      </c>
      <c r="H72" s="206">
        <f t="shared" si="17"/>
        <v>91.836734693877546</v>
      </c>
    </row>
    <row r="73" spans="1:8" ht="14.25" customHeight="1" x14ac:dyDescent="0.3">
      <c r="A73" s="127" t="s">
        <v>95</v>
      </c>
      <c r="B73" s="600" t="str">
        <f t="shared" si="14"/>
        <v>Cumin Powder - كمون مطحون</v>
      </c>
      <c r="C73" s="604" t="str">
        <f t="shared" si="14"/>
        <v>gm</v>
      </c>
      <c r="D73" s="604">
        <f t="shared" si="14"/>
        <v>5</v>
      </c>
      <c r="E73" s="432">
        <f t="shared" si="18"/>
        <v>10.204081632653061</v>
      </c>
      <c r="F73" s="298">
        <f t="shared" si="15"/>
        <v>0.75</v>
      </c>
      <c r="G73" s="118">
        <f t="shared" si="16"/>
        <v>51.020408163265301</v>
      </c>
      <c r="H73" s="206">
        <f t="shared" si="17"/>
        <v>38.265306122448976</v>
      </c>
    </row>
    <row r="74" spans="1:8" ht="14.25" customHeight="1" x14ac:dyDescent="0.3">
      <c r="A74" s="127" t="s">
        <v>95</v>
      </c>
      <c r="B74" s="600" t="str">
        <f t="shared" si="14"/>
        <v>Coriander Powder - كزبرة مطحونة</v>
      </c>
      <c r="C74" s="604" t="str">
        <f t="shared" si="14"/>
        <v>gm</v>
      </c>
      <c r="D74" s="604">
        <f t="shared" si="14"/>
        <v>5</v>
      </c>
      <c r="E74" s="432">
        <f t="shared" si="18"/>
        <v>10.204081632653061</v>
      </c>
      <c r="F74" s="298">
        <f t="shared" si="15"/>
        <v>0.75</v>
      </c>
      <c r="G74" s="118">
        <f t="shared" si="16"/>
        <v>51.020408163265301</v>
      </c>
      <c r="H74" s="206">
        <f t="shared" si="17"/>
        <v>38.265306122448976</v>
      </c>
    </row>
    <row r="75" spans="1:8" ht="14.25" customHeight="1" x14ac:dyDescent="0.3">
      <c r="A75" s="127" t="s">
        <v>95</v>
      </c>
      <c r="B75" s="600" t="str">
        <f t="shared" si="14"/>
        <v>Black Pepper Powder - فلفل أسود مطحون</v>
      </c>
      <c r="C75" s="604" t="str">
        <f t="shared" si="14"/>
        <v>gm</v>
      </c>
      <c r="D75" s="604">
        <f t="shared" si="14"/>
        <v>2</v>
      </c>
      <c r="E75" s="432">
        <f t="shared" si="18"/>
        <v>10.204081632653061</v>
      </c>
      <c r="F75" s="298">
        <f t="shared" si="15"/>
        <v>0.75</v>
      </c>
      <c r="G75" s="118">
        <f t="shared" si="16"/>
        <v>20.408163265306122</v>
      </c>
      <c r="H75" s="206">
        <f t="shared" si="17"/>
        <v>15.306122448979592</v>
      </c>
    </row>
    <row r="76" spans="1:8" ht="14.25" customHeight="1" x14ac:dyDescent="0.3">
      <c r="A76" s="127" t="s">
        <v>192</v>
      </c>
      <c r="B76" s="600" t="str">
        <f t="shared" si="14"/>
        <v>Tomato Ketchup - كاتشب طماطم</v>
      </c>
      <c r="C76" s="604" t="str">
        <f t="shared" si="14"/>
        <v>ml</v>
      </c>
      <c r="D76" s="604">
        <f t="shared" si="14"/>
        <v>20</v>
      </c>
      <c r="E76" s="432">
        <f t="shared" si="18"/>
        <v>10.204081632653061</v>
      </c>
      <c r="F76" s="298">
        <f t="shared" si="15"/>
        <v>0.9</v>
      </c>
      <c r="G76" s="118">
        <f t="shared" si="16"/>
        <v>204.08163265306121</v>
      </c>
      <c r="H76" s="206">
        <f t="shared" si="17"/>
        <v>183.67346938775509</v>
      </c>
    </row>
    <row r="77" spans="1:8" ht="14.25" customHeight="1" x14ac:dyDescent="0.3">
      <c r="A77" s="127" t="s">
        <v>182</v>
      </c>
      <c r="B77" s="600" t="str">
        <f t="shared" si="14"/>
        <v>Brown Sugar - سكر بني</v>
      </c>
      <c r="C77" s="604" t="str">
        <f t="shared" si="14"/>
        <v>gm</v>
      </c>
      <c r="D77" s="604">
        <f t="shared" si="14"/>
        <v>10</v>
      </c>
      <c r="E77" s="432">
        <f t="shared" si="18"/>
        <v>10.204081632653061</v>
      </c>
      <c r="F77" s="298">
        <f t="shared" si="15"/>
        <v>1</v>
      </c>
      <c r="G77" s="118">
        <f t="shared" si="16"/>
        <v>102.0408163265306</v>
      </c>
      <c r="H77" s="206">
        <f t="shared" si="17"/>
        <v>102.0408163265306</v>
      </c>
    </row>
    <row r="78" spans="1:8" ht="14.25" customHeight="1" x14ac:dyDescent="0.3">
      <c r="A78" s="127" t="s">
        <v>13</v>
      </c>
      <c r="B78" s="600" t="str">
        <f t="shared" si="14"/>
        <v>Onion - بصل</v>
      </c>
      <c r="C78" s="604" t="str">
        <f t="shared" si="14"/>
        <v>gm</v>
      </c>
      <c r="D78" s="604">
        <f t="shared" si="14"/>
        <v>200</v>
      </c>
      <c r="E78" s="432">
        <f t="shared" si="18"/>
        <v>10.204081632653061</v>
      </c>
      <c r="F78" s="298">
        <f t="shared" si="15"/>
        <v>1</v>
      </c>
      <c r="G78" s="118">
        <f t="shared" si="16"/>
        <v>2040.8163265306123</v>
      </c>
      <c r="H78" s="206">
        <f t="shared" si="17"/>
        <v>2040.8163265306123</v>
      </c>
    </row>
    <row r="79" spans="1:8" ht="14.25" customHeight="1" x14ac:dyDescent="0.3">
      <c r="A79" s="127" t="s">
        <v>56</v>
      </c>
      <c r="B79" s="600" t="str">
        <f t="shared" si="14"/>
        <v>Ginger - زنجبيل</v>
      </c>
      <c r="C79" s="604" t="str">
        <f t="shared" si="14"/>
        <v>gm</v>
      </c>
      <c r="D79" s="604">
        <f t="shared" si="14"/>
        <v>20</v>
      </c>
      <c r="E79" s="432">
        <f t="shared" si="18"/>
        <v>10.204081632653061</v>
      </c>
      <c r="F79" s="298">
        <f t="shared" si="15"/>
        <v>0.9</v>
      </c>
      <c r="G79" s="118">
        <f t="shared" si="16"/>
        <v>204.08163265306121</v>
      </c>
      <c r="H79" s="206">
        <f t="shared" si="17"/>
        <v>183.67346938775509</v>
      </c>
    </row>
    <row r="80" spans="1:8" ht="14.25" customHeight="1" x14ac:dyDescent="0.3">
      <c r="A80" s="127" t="s">
        <v>13</v>
      </c>
      <c r="B80" s="600" t="str">
        <f t="shared" si="14"/>
        <v>Garlic - ثوم مقشر</v>
      </c>
      <c r="C80" s="604" t="str">
        <f t="shared" si="14"/>
        <v>gm</v>
      </c>
      <c r="D80" s="604">
        <f t="shared" si="14"/>
        <v>20</v>
      </c>
      <c r="E80" s="432">
        <f t="shared" si="18"/>
        <v>10.204081632653061</v>
      </c>
      <c r="F80" s="298">
        <f t="shared" si="15"/>
        <v>0.9</v>
      </c>
      <c r="G80" s="118">
        <f t="shared" si="16"/>
        <v>204.08163265306121</v>
      </c>
      <c r="H80" s="206">
        <f t="shared" si="17"/>
        <v>183.67346938775509</v>
      </c>
    </row>
    <row r="81" spans="1:8" ht="14.25" customHeight="1" x14ac:dyDescent="0.3">
      <c r="A81" s="127" t="s">
        <v>206</v>
      </c>
      <c r="B81" s="600" t="str">
        <f t="shared" si="14"/>
        <v>Lemon Juice - عصير ليمون</v>
      </c>
      <c r="C81" s="604" t="str">
        <f t="shared" si="14"/>
        <v>ml</v>
      </c>
      <c r="D81" s="604">
        <f t="shared" si="14"/>
        <v>5</v>
      </c>
      <c r="E81" s="432">
        <f t="shared" si="18"/>
        <v>10.204081632653061</v>
      </c>
      <c r="F81" s="298">
        <f t="shared" si="15"/>
        <v>1</v>
      </c>
      <c r="G81" s="118">
        <f t="shared" si="16"/>
        <v>51.020408163265301</v>
      </c>
      <c r="H81" s="206">
        <f t="shared" si="17"/>
        <v>51.020408163265301</v>
      </c>
    </row>
    <row r="82" spans="1:8" ht="14.25" customHeight="1" x14ac:dyDescent="0.3">
      <c r="A82" s="127" t="s">
        <v>13</v>
      </c>
      <c r="B82" s="600" t="str">
        <f t="shared" si="14"/>
        <v>Tomato - طماطم</v>
      </c>
      <c r="C82" s="604" t="str">
        <f t="shared" si="14"/>
        <v>gm</v>
      </c>
      <c r="D82" s="604">
        <f t="shared" si="14"/>
        <v>350</v>
      </c>
      <c r="E82" s="432">
        <f t="shared" si="18"/>
        <v>10.204081632653061</v>
      </c>
      <c r="F82" s="298">
        <f t="shared" si="15"/>
        <v>0.95</v>
      </c>
      <c r="G82" s="118">
        <f t="shared" si="16"/>
        <v>3571.4285714285716</v>
      </c>
      <c r="H82" s="206">
        <f t="shared" si="17"/>
        <v>3392.8571428571427</v>
      </c>
    </row>
    <row r="83" spans="1:8" ht="14.25" customHeight="1" x14ac:dyDescent="0.3">
      <c r="A83" s="127" t="s">
        <v>206</v>
      </c>
      <c r="B83" s="600" t="str">
        <f t="shared" si="14"/>
        <v>Water - ماء</v>
      </c>
      <c r="C83" s="604" t="str">
        <f t="shared" si="14"/>
        <v>ml</v>
      </c>
      <c r="D83" s="604">
        <f t="shared" si="14"/>
        <v>100</v>
      </c>
      <c r="E83" s="432">
        <f t="shared" si="18"/>
        <v>10.204081632653061</v>
      </c>
      <c r="F83" s="298">
        <f t="shared" si="15"/>
        <v>1</v>
      </c>
      <c r="G83" s="118">
        <f t="shared" si="16"/>
        <v>1020.4081632653061</v>
      </c>
      <c r="H83" s="206">
        <f t="shared" si="17"/>
        <v>1020.4081632653061</v>
      </c>
    </row>
    <row r="84" spans="1:8" ht="14.25" customHeight="1" x14ac:dyDescent="0.3">
      <c r="A84" s="127" t="s">
        <v>188</v>
      </c>
      <c r="B84" s="600" t="str">
        <f t="shared" si="14"/>
        <v>Corn Starch - نشا ذرة</v>
      </c>
      <c r="C84" s="604" t="str">
        <f t="shared" si="14"/>
        <v>gm</v>
      </c>
      <c r="D84" s="604">
        <f t="shared" si="14"/>
        <v>20</v>
      </c>
      <c r="E84" s="432">
        <f t="shared" si="18"/>
        <v>10.204081632653061</v>
      </c>
      <c r="F84" s="298">
        <f t="shared" si="15"/>
        <v>0.75</v>
      </c>
      <c r="G84" s="118">
        <f t="shared" si="16"/>
        <v>204.08163265306121</v>
      </c>
      <c r="H84" s="206">
        <f t="shared" si="17"/>
        <v>153.0612244897959</v>
      </c>
    </row>
    <row r="85" spans="1:8" ht="14.25" customHeight="1" x14ac:dyDescent="0.3">
      <c r="A85" s="127" t="s">
        <v>154</v>
      </c>
      <c r="B85" s="600" t="str">
        <f t="shared" si="14"/>
        <v>Butter - زبدة</v>
      </c>
      <c r="C85" s="604" t="str">
        <f t="shared" si="14"/>
        <v>gm</v>
      </c>
      <c r="D85" s="604">
        <f t="shared" si="14"/>
        <v>30</v>
      </c>
      <c r="E85" s="432">
        <f t="shared" si="18"/>
        <v>10.204081632653061</v>
      </c>
      <c r="F85" s="298">
        <f t="shared" si="15"/>
        <v>1</v>
      </c>
      <c r="G85" s="118">
        <f t="shared" si="16"/>
        <v>306.12244897959181</v>
      </c>
      <c r="H85" s="206">
        <f t="shared" si="17"/>
        <v>306.12244897959181</v>
      </c>
    </row>
    <row r="86" spans="1:8" ht="14.25" customHeight="1" x14ac:dyDescent="0.3">
      <c r="A86" s="127" t="s">
        <v>154</v>
      </c>
      <c r="B86" s="600" t="str">
        <f t="shared" si="14"/>
        <v>Yogurt - زبادي</v>
      </c>
      <c r="C86" s="604" t="str">
        <f t="shared" si="14"/>
        <v>gm</v>
      </c>
      <c r="D86" s="604">
        <f t="shared" si="14"/>
        <v>100</v>
      </c>
      <c r="E86" s="432">
        <f t="shared" si="18"/>
        <v>10.204081632653061</v>
      </c>
      <c r="F86" s="298">
        <f t="shared" si="15"/>
        <v>1</v>
      </c>
      <c r="G86" s="118">
        <f t="shared" si="16"/>
        <v>1020.4081632653061</v>
      </c>
      <c r="H86" s="206">
        <f t="shared" si="17"/>
        <v>1020.4081632653061</v>
      </c>
    </row>
    <row r="87" spans="1:8" ht="14.25" customHeight="1" x14ac:dyDescent="0.3">
      <c r="A87" s="127" t="s">
        <v>215</v>
      </c>
      <c r="B87" s="600" t="str">
        <f t="shared" si="14"/>
        <v>Saffron yellow color powder - لون صفار زعفران بودر</v>
      </c>
      <c r="C87" s="604" t="str">
        <f t="shared" si="14"/>
        <v>gm</v>
      </c>
      <c r="D87" s="604">
        <f t="shared" si="14"/>
        <v>0.5</v>
      </c>
      <c r="E87" s="432">
        <f t="shared" si="18"/>
        <v>10.204081632653061</v>
      </c>
      <c r="F87" s="298">
        <f t="shared" si="15"/>
        <v>1</v>
      </c>
      <c r="G87" s="118">
        <f t="shared" si="16"/>
        <v>5.1020408163265305</v>
      </c>
      <c r="H87" s="206">
        <f t="shared" si="17"/>
        <v>5.1020408163265305</v>
      </c>
    </row>
    <row r="88" spans="1:8" ht="20.25" customHeight="1" x14ac:dyDescent="0.3">
      <c r="A88" s="210"/>
      <c r="B88" s="197" t="s">
        <v>291</v>
      </c>
      <c r="C88" s="199" t="s">
        <v>277</v>
      </c>
      <c r="E88" s="199" t="s">
        <v>292</v>
      </c>
      <c r="G88" s="878" t="s">
        <v>268</v>
      </c>
      <c r="H88" s="878" t="s">
        <v>703</v>
      </c>
    </row>
    <row r="89" spans="1:8" ht="19.25" customHeight="1" x14ac:dyDescent="0.4">
      <c r="A89" s="210"/>
      <c r="B89" s="198">
        <f>$J$53</f>
        <v>13637.090909090908</v>
      </c>
      <c r="C89" s="198">
        <f>E89+G89</f>
        <v>10000</v>
      </c>
      <c r="D89" s="915"/>
      <c r="E89" s="198">
        <f>$D$53*$S$44</f>
        <v>4090.909090909091</v>
      </c>
      <c r="F89" s="919"/>
      <c r="G89" s="198">
        <f>$D$53*$T$44</f>
        <v>5909.090909090909</v>
      </c>
      <c r="H89" s="198">
        <f>B89+E89</f>
        <v>17728</v>
      </c>
    </row>
    <row r="90" spans="1:8" ht="14.25" customHeight="1" x14ac:dyDescent="0.3">
      <c r="B90" s="601"/>
      <c r="E90" s="99"/>
      <c r="F90" s="99"/>
    </row>
    <row r="91" spans="1:8" ht="17.75" customHeight="1" x14ac:dyDescent="0.3">
      <c r="A91" s="922"/>
      <c r="B91" s="1438" t="str">
        <f>"دجاج سنغافورى  2 / " &amp; COUNTIF($C$53:$C$55, "&gt;0")</f>
        <v>دجاج سنغافورى  2 / 2</v>
      </c>
      <c r="C91" s="1439"/>
      <c r="D91" s="1439"/>
      <c r="E91" s="1439"/>
      <c r="F91" s="1439"/>
      <c r="G91" s="1439"/>
      <c r="H91" s="1439"/>
    </row>
    <row r="92" spans="1:8" ht="17.75" customHeight="1" x14ac:dyDescent="0.3">
      <c r="A92" s="922"/>
      <c r="B92" s="1436" t="str">
        <f>"Singapore Chicken 2 / " &amp; COUNTIF($C$53:$C$55, "&gt;0")</f>
        <v>Singapore Chicken 2 / 2</v>
      </c>
      <c r="C92" s="1437"/>
      <c r="D92" s="1437"/>
      <c r="E92" s="1437"/>
      <c r="F92" s="1437"/>
      <c r="G92" s="1437"/>
      <c r="H92" s="1437"/>
    </row>
    <row r="93" spans="1:8" ht="49.5" customHeight="1" x14ac:dyDescent="0.25">
      <c r="A93" s="594"/>
      <c r="B93" s="591" t="s">
        <v>245</v>
      </c>
      <c r="C93" s="243" t="s">
        <v>246</v>
      </c>
      <c r="D93" s="244" t="s">
        <v>235</v>
      </c>
      <c r="E93" s="217" t="s">
        <v>238</v>
      </c>
      <c r="F93" s="217" t="s">
        <v>247</v>
      </c>
      <c r="G93" s="244" t="s">
        <v>248</v>
      </c>
      <c r="H93" s="217" t="s">
        <v>249</v>
      </c>
    </row>
    <row r="94" spans="1:8" ht="14.25" customHeight="1" x14ac:dyDescent="0.3">
      <c r="A94" s="127" t="s">
        <v>225</v>
      </c>
      <c r="B94" s="600" t="str">
        <f t="shared" ref="B94:D116" si="19">B5</f>
        <v>Chicken - دجاج</v>
      </c>
      <c r="C94" s="604" t="str">
        <f t="shared" si="19"/>
        <v>gm</v>
      </c>
      <c r="D94" s="605">
        <f t="shared" si="19"/>
        <v>2311.3713405238827</v>
      </c>
      <c r="E94" s="196">
        <f>H54</f>
        <v>1.5183600464385485</v>
      </c>
      <c r="F94" s="298">
        <f t="shared" ref="F94:F116" si="20">F5</f>
        <v>1</v>
      </c>
      <c r="G94" s="118">
        <f t="shared" ref="G94:G116" si="21">D94*E94</f>
        <v>3509.4938959345727</v>
      </c>
      <c r="H94" s="206">
        <f t="shared" ref="H94:H116" si="22">G94*F94</f>
        <v>3509.4938959345727</v>
      </c>
    </row>
    <row r="95" spans="1:8" ht="14.25" customHeight="1" x14ac:dyDescent="0.3">
      <c r="A95" s="127" t="s">
        <v>95</v>
      </c>
      <c r="B95" s="600" t="str">
        <f t="shared" si="19"/>
        <v>Curry Powder - كاري بودرة</v>
      </c>
      <c r="C95" s="604" t="str">
        <f t="shared" si="19"/>
        <v>gm</v>
      </c>
      <c r="D95" s="604">
        <f t="shared" si="19"/>
        <v>6</v>
      </c>
      <c r="E95" s="196">
        <f t="shared" ref="E95:E116" si="23">$C$54</f>
        <v>1.5499738356881263</v>
      </c>
      <c r="F95" s="298">
        <f t="shared" si="20"/>
        <v>0.95</v>
      </c>
      <c r="G95" s="118">
        <f t="shared" si="21"/>
        <v>9.2998430141287578</v>
      </c>
      <c r="H95" s="206">
        <f t="shared" si="22"/>
        <v>8.8348508634223197</v>
      </c>
    </row>
    <row r="96" spans="1:8" ht="14.25" customHeight="1" x14ac:dyDescent="0.3">
      <c r="A96" s="127" t="s">
        <v>95</v>
      </c>
      <c r="B96" s="600" t="str">
        <f t="shared" si="19"/>
        <v>Salt - ملح</v>
      </c>
      <c r="C96" s="604" t="str">
        <f t="shared" si="19"/>
        <v>gm</v>
      </c>
      <c r="D96" s="604">
        <f t="shared" si="19"/>
        <v>11</v>
      </c>
      <c r="E96" s="196">
        <f t="shared" si="23"/>
        <v>1.5499738356881263</v>
      </c>
      <c r="F96" s="298">
        <f t="shared" si="20"/>
        <v>0.75</v>
      </c>
      <c r="G96" s="118">
        <f t="shared" si="21"/>
        <v>17.049712192569388</v>
      </c>
      <c r="H96" s="206">
        <f t="shared" si="22"/>
        <v>12.787284144427041</v>
      </c>
    </row>
    <row r="97" spans="1:8" ht="14.25" customHeight="1" x14ac:dyDescent="0.3">
      <c r="A97" s="127" t="s">
        <v>154</v>
      </c>
      <c r="B97" s="600" t="str">
        <f t="shared" si="19"/>
        <v>Coconut Milk - حليب جوز الهند</v>
      </c>
      <c r="C97" s="604" t="str">
        <f t="shared" si="19"/>
        <v>ml</v>
      </c>
      <c r="D97" s="604">
        <f t="shared" si="19"/>
        <v>250</v>
      </c>
      <c r="E97" s="196">
        <f t="shared" si="23"/>
        <v>1.5499738356881263</v>
      </c>
      <c r="F97" s="298">
        <f t="shared" si="20"/>
        <v>1</v>
      </c>
      <c r="G97" s="118">
        <f t="shared" si="21"/>
        <v>387.49345892203155</v>
      </c>
      <c r="H97" s="206">
        <f t="shared" si="22"/>
        <v>387.49345892203155</v>
      </c>
    </row>
    <row r="98" spans="1:8" ht="14.25" customHeight="1" x14ac:dyDescent="0.3">
      <c r="A98" s="127" t="s">
        <v>56</v>
      </c>
      <c r="B98" s="600" t="str">
        <f t="shared" si="19"/>
        <v xml:space="preserve">Lemon Grass - ليمون جراس </v>
      </c>
      <c r="C98" s="604" t="str">
        <f t="shared" si="19"/>
        <v>gm</v>
      </c>
      <c r="D98" s="604">
        <f t="shared" si="19"/>
        <v>5</v>
      </c>
      <c r="E98" s="196">
        <f t="shared" si="23"/>
        <v>1.5499738356881263</v>
      </c>
      <c r="F98" s="298">
        <f t="shared" si="20"/>
        <v>0.9</v>
      </c>
      <c r="G98" s="118">
        <f t="shared" si="21"/>
        <v>7.7498691784406315</v>
      </c>
      <c r="H98" s="206">
        <f t="shared" si="22"/>
        <v>6.9748822605965684</v>
      </c>
    </row>
    <row r="99" spans="1:8" ht="14.25" customHeight="1" x14ac:dyDescent="0.3">
      <c r="A99" s="127" t="s">
        <v>56</v>
      </c>
      <c r="B99" s="600" t="str">
        <f t="shared" si="19"/>
        <v xml:space="preserve">Kaffir Lime Leaves - ورق الليمون  </v>
      </c>
      <c r="C99" s="604" t="str">
        <f t="shared" si="19"/>
        <v>gm</v>
      </c>
      <c r="D99" s="604">
        <f t="shared" si="19"/>
        <v>3</v>
      </c>
      <c r="E99" s="196">
        <f t="shared" si="23"/>
        <v>1.5499738356881263</v>
      </c>
      <c r="F99" s="298">
        <f t="shared" si="20"/>
        <v>0.75</v>
      </c>
      <c r="G99" s="118">
        <f t="shared" si="21"/>
        <v>4.6499215070643789</v>
      </c>
      <c r="H99" s="206">
        <f t="shared" si="22"/>
        <v>3.4874411302982842</v>
      </c>
    </row>
    <row r="100" spans="1:8" ht="14.25" customHeight="1" x14ac:dyDescent="0.3">
      <c r="A100" s="127" t="s">
        <v>13</v>
      </c>
      <c r="B100" s="600" t="str">
        <f t="shared" si="19"/>
        <v>Green Chilli Pepper - فلفل أخضر حار</v>
      </c>
      <c r="C100" s="604" t="str">
        <f t="shared" si="19"/>
        <v>gm</v>
      </c>
      <c r="D100" s="604">
        <f t="shared" si="19"/>
        <v>2</v>
      </c>
      <c r="E100" s="196">
        <f t="shared" si="23"/>
        <v>1.5499738356881263</v>
      </c>
      <c r="F100" s="298">
        <f t="shared" si="20"/>
        <v>0.75</v>
      </c>
      <c r="G100" s="118">
        <f t="shared" si="21"/>
        <v>3.0999476713762526</v>
      </c>
      <c r="H100" s="206">
        <f t="shared" si="22"/>
        <v>2.3249607535321895</v>
      </c>
    </row>
    <row r="101" spans="1:8" ht="14.25" customHeight="1" x14ac:dyDescent="0.3">
      <c r="A101" s="127" t="s">
        <v>62</v>
      </c>
      <c r="B101" s="600" t="str">
        <f t="shared" si="19"/>
        <v>Coriander Leaves - كزبرة خضراء</v>
      </c>
      <c r="C101" s="604" t="str">
        <f t="shared" si="19"/>
        <v>gm</v>
      </c>
      <c r="D101" s="604">
        <f t="shared" si="19"/>
        <v>10</v>
      </c>
      <c r="E101" s="196">
        <f t="shared" si="23"/>
        <v>1.5499738356881263</v>
      </c>
      <c r="F101" s="298">
        <f t="shared" si="20"/>
        <v>0.9</v>
      </c>
      <c r="G101" s="118">
        <f t="shared" si="21"/>
        <v>15.499738356881263</v>
      </c>
      <c r="H101" s="206">
        <f t="shared" si="22"/>
        <v>13.949764521193137</v>
      </c>
    </row>
    <row r="102" spans="1:8" ht="14.25" customHeight="1" x14ac:dyDescent="0.3">
      <c r="A102" s="127" t="s">
        <v>95</v>
      </c>
      <c r="B102" s="600" t="str">
        <f t="shared" si="19"/>
        <v>Cumin Powder - كمون مطحون</v>
      </c>
      <c r="C102" s="604" t="str">
        <f t="shared" si="19"/>
        <v>gm</v>
      </c>
      <c r="D102" s="604">
        <f t="shared" si="19"/>
        <v>5</v>
      </c>
      <c r="E102" s="196">
        <f t="shared" si="23"/>
        <v>1.5499738356881263</v>
      </c>
      <c r="F102" s="298">
        <f t="shared" si="20"/>
        <v>0.75</v>
      </c>
      <c r="G102" s="118">
        <f t="shared" si="21"/>
        <v>7.7498691784406315</v>
      </c>
      <c r="H102" s="206">
        <f t="shared" si="22"/>
        <v>5.8124018838304732</v>
      </c>
    </row>
    <row r="103" spans="1:8" ht="14.25" customHeight="1" x14ac:dyDescent="0.3">
      <c r="A103" s="127" t="s">
        <v>95</v>
      </c>
      <c r="B103" s="600" t="str">
        <f t="shared" si="19"/>
        <v>Coriander Powder - كزبرة مطحونة</v>
      </c>
      <c r="C103" s="604" t="str">
        <f t="shared" si="19"/>
        <v>gm</v>
      </c>
      <c r="D103" s="604">
        <f t="shared" si="19"/>
        <v>5</v>
      </c>
      <c r="E103" s="196">
        <f t="shared" si="23"/>
        <v>1.5499738356881263</v>
      </c>
      <c r="F103" s="298">
        <f t="shared" si="20"/>
        <v>0.75</v>
      </c>
      <c r="G103" s="118">
        <f t="shared" si="21"/>
        <v>7.7498691784406315</v>
      </c>
      <c r="H103" s="206">
        <f t="shared" si="22"/>
        <v>5.8124018838304732</v>
      </c>
    </row>
    <row r="104" spans="1:8" ht="14.25" customHeight="1" x14ac:dyDescent="0.3">
      <c r="A104" s="127" t="s">
        <v>95</v>
      </c>
      <c r="B104" s="600" t="str">
        <f t="shared" si="19"/>
        <v>Black Pepper Powder - فلفل أسود مطحون</v>
      </c>
      <c r="C104" s="604" t="str">
        <f t="shared" si="19"/>
        <v>gm</v>
      </c>
      <c r="D104" s="604">
        <f t="shared" si="19"/>
        <v>2</v>
      </c>
      <c r="E104" s="196">
        <f t="shared" si="23"/>
        <v>1.5499738356881263</v>
      </c>
      <c r="F104" s="298">
        <f t="shared" si="20"/>
        <v>0.75</v>
      </c>
      <c r="G104" s="118">
        <f t="shared" si="21"/>
        <v>3.0999476713762526</v>
      </c>
      <c r="H104" s="206">
        <f t="shared" si="22"/>
        <v>2.3249607535321895</v>
      </c>
    </row>
    <row r="105" spans="1:8" ht="14.25" customHeight="1" x14ac:dyDescent="0.3">
      <c r="A105" s="127" t="s">
        <v>192</v>
      </c>
      <c r="B105" s="600" t="str">
        <f t="shared" si="19"/>
        <v>Tomato Ketchup - كاتشب طماطم</v>
      </c>
      <c r="C105" s="604" t="str">
        <f t="shared" si="19"/>
        <v>ml</v>
      </c>
      <c r="D105" s="604">
        <f t="shared" si="19"/>
        <v>20</v>
      </c>
      <c r="E105" s="196">
        <f t="shared" si="23"/>
        <v>1.5499738356881263</v>
      </c>
      <c r="F105" s="298">
        <f t="shared" si="20"/>
        <v>0.9</v>
      </c>
      <c r="G105" s="118">
        <f t="shared" si="21"/>
        <v>30.999476713762526</v>
      </c>
      <c r="H105" s="206">
        <f t="shared" si="22"/>
        <v>27.899529042386273</v>
      </c>
    </row>
    <row r="106" spans="1:8" ht="14.25" customHeight="1" x14ac:dyDescent="0.3">
      <c r="A106" s="127" t="s">
        <v>182</v>
      </c>
      <c r="B106" s="600" t="str">
        <f t="shared" si="19"/>
        <v>Brown Sugar - سكر بني</v>
      </c>
      <c r="C106" s="604" t="str">
        <f t="shared" si="19"/>
        <v>gm</v>
      </c>
      <c r="D106" s="604">
        <f t="shared" si="19"/>
        <v>10</v>
      </c>
      <c r="E106" s="196">
        <f t="shared" si="23"/>
        <v>1.5499738356881263</v>
      </c>
      <c r="F106" s="298">
        <f t="shared" si="20"/>
        <v>1</v>
      </c>
      <c r="G106" s="118">
        <f t="shared" si="21"/>
        <v>15.499738356881263</v>
      </c>
      <c r="H106" s="206">
        <f t="shared" si="22"/>
        <v>15.499738356881263</v>
      </c>
    </row>
    <row r="107" spans="1:8" ht="14.25" customHeight="1" x14ac:dyDescent="0.3">
      <c r="A107" s="127" t="s">
        <v>13</v>
      </c>
      <c r="B107" s="600" t="str">
        <f t="shared" si="19"/>
        <v>Onion - بصل</v>
      </c>
      <c r="C107" s="604" t="str">
        <f t="shared" si="19"/>
        <v>gm</v>
      </c>
      <c r="D107" s="604">
        <f t="shared" si="19"/>
        <v>200</v>
      </c>
      <c r="E107" s="196">
        <f t="shared" si="23"/>
        <v>1.5499738356881263</v>
      </c>
      <c r="F107" s="298">
        <f t="shared" si="20"/>
        <v>1</v>
      </c>
      <c r="G107" s="118">
        <f t="shared" si="21"/>
        <v>309.99476713762527</v>
      </c>
      <c r="H107" s="206">
        <f t="shared" si="22"/>
        <v>309.99476713762527</v>
      </c>
    </row>
    <row r="108" spans="1:8" ht="14.25" customHeight="1" x14ac:dyDescent="0.3">
      <c r="A108" s="127" t="s">
        <v>56</v>
      </c>
      <c r="B108" s="600" t="str">
        <f t="shared" si="19"/>
        <v>Ginger - زنجبيل</v>
      </c>
      <c r="C108" s="604" t="str">
        <f t="shared" si="19"/>
        <v>gm</v>
      </c>
      <c r="D108" s="604">
        <f t="shared" si="19"/>
        <v>20</v>
      </c>
      <c r="E108" s="196">
        <f t="shared" si="23"/>
        <v>1.5499738356881263</v>
      </c>
      <c r="F108" s="298">
        <f t="shared" si="20"/>
        <v>0.9</v>
      </c>
      <c r="G108" s="118">
        <f t="shared" si="21"/>
        <v>30.999476713762526</v>
      </c>
      <c r="H108" s="206">
        <f t="shared" si="22"/>
        <v>27.899529042386273</v>
      </c>
    </row>
    <row r="109" spans="1:8" ht="14.25" customHeight="1" x14ac:dyDescent="0.3">
      <c r="A109" s="127" t="s">
        <v>13</v>
      </c>
      <c r="B109" s="600" t="str">
        <f t="shared" si="19"/>
        <v>Garlic - ثوم مقشر</v>
      </c>
      <c r="C109" s="604" t="str">
        <f t="shared" si="19"/>
        <v>gm</v>
      </c>
      <c r="D109" s="604">
        <f t="shared" si="19"/>
        <v>20</v>
      </c>
      <c r="E109" s="196">
        <f t="shared" si="23"/>
        <v>1.5499738356881263</v>
      </c>
      <c r="F109" s="298">
        <f t="shared" si="20"/>
        <v>0.9</v>
      </c>
      <c r="G109" s="118">
        <f t="shared" si="21"/>
        <v>30.999476713762526</v>
      </c>
      <c r="H109" s="206">
        <f t="shared" si="22"/>
        <v>27.899529042386273</v>
      </c>
    </row>
    <row r="110" spans="1:8" ht="14.25" customHeight="1" x14ac:dyDescent="0.3">
      <c r="A110" s="127" t="s">
        <v>206</v>
      </c>
      <c r="B110" s="600" t="str">
        <f t="shared" si="19"/>
        <v>Lemon Juice - عصير ليمون</v>
      </c>
      <c r="C110" s="604" t="str">
        <f t="shared" si="19"/>
        <v>ml</v>
      </c>
      <c r="D110" s="604">
        <f t="shared" si="19"/>
        <v>5</v>
      </c>
      <c r="E110" s="196">
        <f t="shared" si="23"/>
        <v>1.5499738356881263</v>
      </c>
      <c r="F110" s="298">
        <f t="shared" si="20"/>
        <v>1</v>
      </c>
      <c r="G110" s="118">
        <f t="shared" si="21"/>
        <v>7.7498691784406315</v>
      </c>
      <c r="H110" s="206">
        <f t="shared" si="22"/>
        <v>7.7498691784406315</v>
      </c>
    </row>
    <row r="111" spans="1:8" ht="14.25" customHeight="1" x14ac:dyDescent="0.3">
      <c r="A111" s="127" t="s">
        <v>13</v>
      </c>
      <c r="B111" s="600" t="str">
        <f t="shared" si="19"/>
        <v>Tomato - طماطم</v>
      </c>
      <c r="C111" s="604" t="str">
        <f t="shared" si="19"/>
        <v>gm</v>
      </c>
      <c r="D111" s="604">
        <f t="shared" si="19"/>
        <v>350</v>
      </c>
      <c r="E111" s="196">
        <f t="shared" si="23"/>
        <v>1.5499738356881263</v>
      </c>
      <c r="F111" s="298">
        <f t="shared" si="20"/>
        <v>0.95</v>
      </c>
      <c r="G111" s="118">
        <f t="shared" si="21"/>
        <v>542.49084249084422</v>
      </c>
      <c r="H111" s="206">
        <f t="shared" si="22"/>
        <v>515.36630036630197</v>
      </c>
    </row>
    <row r="112" spans="1:8" ht="14.25" customHeight="1" x14ac:dyDescent="0.3">
      <c r="A112" s="127" t="s">
        <v>206</v>
      </c>
      <c r="B112" s="600" t="str">
        <f t="shared" si="19"/>
        <v>Water - ماء</v>
      </c>
      <c r="C112" s="604" t="str">
        <f t="shared" si="19"/>
        <v>ml</v>
      </c>
      <c r="D112" s="604">
        <f t="shared" si="19"/>
        <v>100</v>
      </c>
      <c r="E112" s="196">
        <f t="shared" si="23"/>
        <v>1.5499738356881263</v>
      </c>
      <c r="F112" s="298">
        <f t="shared" si="20"/>
        <v>1</v>
      </c>
      <c r="G112" s="118">
        <f t="shared" si="21"/>
        <v>154.99738356881264</v>
      </c>
      <c r="H112" s="206">
        <f t="shared" si="22"/>
        <v>154.99738356881264</v>
      </c>
    </row>
    <row r="113" spans="1:10" ht="14.25" customHeight="1" x14ac:dyDescent="0.3">
      <c r="A113" s="127" t="s">
        <v>188</v>
      </c>
      <c r="B113" s="600" t="str">
        <f t="shared" si="19"/>
        <v>Corn Starch - نشا ذرة</v>
      </c>
      <c r="C113" s="604" t="str">
        <f t="shared" si="19"/>
        <v>gm</v>
      </c>
      <c r="D113" s="604">
        <f t="shared" si="19"/>
        <v>20</v>
      </c>
      <c r="E113" s="196">
        <f t="shared" si="23"/>
        <v>1.5499738356881263</v>
      </c>
      <c r="F113" s="298">
        <f t="shared" si="20"/>
        <v>0.75</v>
      </c>
      <c r="G113" s="118">
        <f t="shared" si="21"/>
        <v>30.999476713762526</v>
      </c>
      <c r="H113" s="206">
        <f t="shared" si="22"/>
        <v>23.249607535321893</v>
      </c>
    </row>
    <row r="114" spans="1:10" ht="14.25" customHeight="1" x14ac:dyDescent="0.3">
      <c r="A114" s="127" t="s">
        <v>154</v>
      </c>
      <c r="B114" s="600" t="str">
        <f t="shared" si="19"/>
        <v>Butter - زبدة</v>
      </c>
      <c r="C114" s="604" t="str">
        <f t="shared" si="19"/>
        <v>gm</v>
      </c>
      <c r="D114" s="604">
        <f t="shared" si="19"/>
        <v>30</v>
      </c>
      <c r="E114" s="196">
        <f t="shared" si="23"/>
        <v>1.5499738356881263</v>
      </c>
      <c r="F114" s="298">
        <f t="shared" si="20"/>
        <v>1</v>
      </c>
      <c r="G114" s="118">
        <f t="shared" si="21"/>
        <v>46.499215070643785</v>
      </c>
      <c r="H114" s="206">
        <f t="shared" si="22"/>
        <v>46.499215070643785</v>
      </c>
    </row>
    <row r="115" spans="1:10" ht="14.25" customHeight="1" x14ac:dyDescent="0.3">
      <c r="A115" s="127" t="s">
        <v>154</v>
      </c>
      <c r="B115" s="600" t="str">
        <f t="shared" si="19"/>
        <v>Yogurt - زبادي</v>
      </c>
      <c r="C115" s="604" t="str">
        <f t="shared" si="19"/>
        <v>gm</v>
      </c>
      <c r="D115" s="604">
        <f t="shared" si="19"/>
        <v>100</v>
      </c>
      <c r="E115" s="196">
        <f t="shared" si="23"/>
        <v>1.5499738356881263</v>
      </c>
      <c r="F115" s="298">
        <f t="shared" si="20"/>
        <v>1</v>
      </c>
      <c r="G115" s="118">
        <f t="shared" si="21"/>
        <v>154.99738356881264</v>
      </c>
      <c r="H115" s="206">
        <f t="shared" si="22"/>
        <v>154.99738356881264</v>
      </c>
    </row>
    <row r="116" spans="1:10" ht="14.25" customHeight="1" x14ac:dyDescent="0.3">
      <c r="A116" s="127" t="s">
        <v>215</v>
      </c>
      <c r="B116" s="600" t="str">
        <f t="shared" si="19"/>
        <v>Saffron yellow color powder - لون صفار زعفران بودر</v>
      </c>
      <c r="C116" s="604" t="str">
        <f t="shared" si="19"/>
        <v>gm</v>
      </c>
      <c r="D116" s="604">
        <f t="shared" si="19"/>
        <v>0.5</v>
      </c>
      <c r="E116" s="196">
        <f t="shared" si="23"/>
        <v>1.5499738356881263</v>
      </c>
      <c r="F116" s="298">
        <f t="shared" si="20"/>
        <v>1</v>
      </c>
      <c r="G116" s="118">
        <f t="shared" si="21"/>
        <v>0.77498691784406315</v>
      </c>
      <c r="H116" s="206">
        <f t="shared" si="22"/>
        <v>0.77498691784406315</v>
      </c>
    </row>
    <row r="117" spans="1:10" ht="20.25" customHeight="1" x14ac:dyDescent="0.4">
      <c r="A117" s="210"/>
      <c r="B117" s="197" t="s">
        <v>291</v>
      </c>
      <c r="C117" s="199" t="s">
        <v>277</v>
      </c>
      <c r="E117" s="199" t="s">
        <v>292</v>
      </c>
      <c r="G117" s="878" t="s">
        <v>268</v>
      </c>
      <c r="H117" s="878" t="s">
        <v>703</v>
      </c>
      <c r="I117" s="203"/>
      <c r="J117" s="202"/>
    </row>
    <row r="118" spans="1:10" ht="20" x14ac:dyDescent="0.4">
      <c r="A118" s="210"/>
      <c r="B118" s="198">
        <f>$J$54</f>
        <v>2070.6013986013968</v>
      </c>
      <c r="C118" s="198">
        <f>E118+G118</f>
        <v>1518.9743589743639</v>
      </c>
      <c r="D118" s="915"/>
      <c r="E118" s="198">
        <f>$D$54*$S$44</f>
        <v>621.39860139860343</v>
      </c>
      <c r="F118" s="919"/>
      <c r="G118" s="198">
        <f>$D$54*$T$44</f>
        <v>897.57575757576058</v>
      </c>
      <c r="H118" s="198">
        <f>B118+E118</f>
        <v>2692</v>
      </c>
    </row>
  </sheetData>
  <mergeCells count="10">
    <mergeCell ref="AL2:AN2"/>
    <mergeCell ref="AE2:AG3"/>
    <mergeCell ref="R26:U26"/>
    <mergeCell ref="B91:H91"/>
    <mergeCell ref="B92:H92"/>
    <mergeCell ref="R25:U25"/>
    <mergeCell ref="B62:H62"/>
    <mergeCell ref="F2:F3"/>
    <mergeCell ref="B63:H63"/>
    <mergeCell ref="B35:F35"/>
  </mergeCells>
  <printOptions horizontalCentered="1"/>
  <pageMargins left="0.5" right="0.5" top="1" bottom="0.5" header="0.3" footer="0.511811023622047"/>
  <pageSetup paperSize="9" scale="36" orientation="portrait" r:id="rId1"/>
  <legacyDrawing r:id="rId2"/>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73">
    <tabColor rgb="FF333F50"/>
    <pageSetUpPr fitToPage="1"/>
  </sheetPr>
  <dimension ref="A1:AT72"/>
  <sheetViews>
    <sheetView topLeftCell="A38" zoomScale="70" zoomScaleNormal="70" workbookViewId="0">
      <selection activeCell="T29" sqref="T29"/>
    </sheetView>
  </sheetViews>
  <sheetFormatPr defaultColWidth="12.5" defaultRowHeight="14" x14ac:dyDescent="0.3"/>
  <cols>
    <col min="1" max="1" width="12.5" style="1" customWidth="1"/>
    <col min="2" max="2" width="30" customWidth="1"/>
    <col min="3" max="3" width="23.9140625" customWidth="1"/>
    <col min="4" max="4" width="19" customWidth="1"/>
    <col min="5" max="5" width="16.1640625" customWidth="1"/>
    <col min="6" max="6" width="23.08203125" customWidth="1"/>
    <col min="7" max="7" width="25.1640625" customWidth="1"/>
    <col min="8" max="8" width="36.1640625" customWidth="1"/>
    <col min="12" max="12" width="8.33203125" customWidth="1"/>
    <col min="13" max="14" width="4.75" customWidth="1"/>
    <col min="18" max="18" width="32.1640625" customWidth="1"/>
    <col min="28" max="28" width="11.08203125" customWidth="1"/>
    <col min="29" max="29" width="11.9140625" bestFit="1" customWidth="1"/>
    <col min="30" max="30" width="11.33203125" customWidth="1"/>
    <col min="31" max="31" width="10" bestFit="1" customWidth="1"/>
    <col min="32" max="32" width="11.58203125" bestFit="1" customWidth="1"/>
    <col min="33" max="34" width="6.25" customWidth="1"/>
    <col min="36" max="36" width="32.33203125" customWidth="1"/>
  </cols>
  <sheetData>
    <row r="1" spans="1:46" ht="34.25" customHeight="1" x14ac:dyDescent="0.3">
      <c r="B1" s="79" t="s">
        <v>235</v>
      </c>
      <c r="C1" s="80">
        <v>1000</v>
      </c>
      <c r="D1" s="81" t="s">
        <v>236</v>
      </c>
      <c r="E1" s="116">
        <f>T32</f>
        <v>7579.5</v>
      </c>
      <c r="F1" s="79" t="s">
        <v>237</v>
      </c>
      <c r="G1" s="80">
        <f>E1/C1</f>
        <v>7.5795000000000003</v>
      </c>
      <c r="H1" s="79" t="s">
        <v>238</v>
      </c>
      <c r="I1" s="248">
        <f>(G1/K1)</f>
        <v>7.5795000000000003</v>
      </c>
      <c r="J1" s="85" t="s">
        <v>239</v>
      </c>
      <c r="K1" s="80">
        <v>1</v>
      </c>
      <c r="L1" s="99"/>
      <c r="M1" s="88"/>
      <c r="N1" s="89"/>
      <c r="O1" s="90" t="s">
        <v>240</v>
      </c>
      <c r="P1" s="91" t="s">
        <v>303</v>
      </c>
      <c r="Q1" s="92" t="s">
        <v>242</v>
      </c>
      <c r="R1" s="91">
        <v>0.54</v>
      </c>
      <c r="S1" s="99"/>
      <c r="T1" s="99"/>
      <c r="Y1" s="90" t="s">
        <v>463</v>
      </c>
      <c r="Z1" s="835">
        <v>49530</v>
      </c>
      <c r="AA1" s="90" t="s">
        <v>578</v>
      </c>
      <c r="AB1" s="835">
        <v>1000</v>
      </c>
      <c r="AC1" s="90" t="s">
        <v>567</v>
      </c>
      <c r="AD1" s="835">
        <v>348</v>
      </c>
      <c r="AE1" s="249"/>
      <c r="AF1" s="251"/>
      <c r="AG1" s="91"/>
      <c r="AI1" s="1"/>
      <c r="AJ1" s="93" t="s">
        <v>254</v>
      </c>
      <c r="AK1" s="93">
        <v>10000</v>
      </c>
      <c r="AL1" s="623" t="s">
        <v>523</v>
      </c>
      <c r="AM1" s="624">
        <f>$S$32</f>
        <v>50530</v>
      </c>
      <c r="AN1" s="93" t="s">
        <v>243</v>
      </c>
      <c r="AO1" s="328">
        <f>((S32)/$R$1)/$AK$1</f>
        <v>9.3574074074074076</v>
      </c>
      <c r="AP1" s="94"/>
    </row>
    <row r="2" spans="1:46" ht="12.75" customHeight="1" x14ac:dyDescent="0.3">
      <c r="A2" s="264"/>
      <c r="B2" s="97"/>
      <c r="C2" s="97"/>
      <c r="D2" s="97"/>
      <c r="E2" s="97"/>
      <c r="F2" s="1443" t="s">
        <v>159</v>
      </c>
      <c r="G2" s="1466"/>
      <c r="H2" s="97"/>
      <c r="I2" s="97"/>
      <c r="J2" s="97"/>
      <c r="K2" s="97"/>
      <c r="L2" s="97"/>
      <c r="M2" s="130"/>
      <c r="N2" s="130"/>
      <c r="O2" s="99"/>
      <c r="P2" s="99"/>
      <c r="Q2" s="99"/>
      <c r="R2" s="99"/>
      <c r="S2" s="99"/>
      <c r="T2" s="99"/>
      <c r="U2" s="99"/>
      <c r="AC2" s="98"/>
      <c r="AD2" s="98"/>
      <c r="AE2" s="1457"/>
      <c r="AF2" s="1458"/>
      <c r="AG2" s="1458"/>
      <c r="AI2" s="1"/>
      <c r="AJ2" s="100"/>
      <c r="AK2" s="1442" t="s">
        <v>482</v>
      </c>
      <c r="AL2" s="1442"/>
      <c r="AM2" s="1442"/>
      <c r="AN2" s="1442"/>
      <c r="AO2" s="100"/>
      <c r="AP2" s="100"/>
    </row>
    <row r="3" spans="1:46" ht="12.75" customHeight="1" x14ac:dyDescent="0.3">
      <c r="A3" s="264"/>
      <c r="B3" s="102"/>
      <c r="C3" s="102"/>
      <c r="D3" s="102"/>
      <c r="E3" s="102"/>
      <c r="F3" s="1444"/>
      <c r="G3" s="1444"/>
      <c r="H3" s="102"/>
      <c r="I3" s="102"/>
      <c r="J3" s="102"/>
      <c r="K3" s="102"/>
      <c r="L3" s="97"/>
      <c r="M3" s="130"/>
      <c r="N3" s="130"/>
      <c r="O3" s="99"/>
      <c r="P3" s="99"/>
      <c r="Q3" s="99"/>
      <c r="R3" s="99"/>
      <c r="S3" s="99"/>
      <c r="T3" s="99"/>
      <c r="U3" s="99"/>
      <c r="AC3" s="98"/>
      <c r="AD3" s="98"/>
      <c r="AE3" s="1458"/>
      <c r="AF3" s="1458"/>
      <c r="AG3" s="1458"/>
      <c r="AI3" s="1"/>
      <c r="AJ3" s="100"/>
      <c r="AK3" s="1442"/>
      <c r="AL3" s="1442"/>
      <c r="AM3" s="1442"/>
      <c r="AN3" s="1442"/>
      <c r="AO3" s="100"/>
      <c r="AP3" s="100"/>
    </row>
    <row r="4" spans="1:46" ht="46.5" customHeight="1" x14ac:dyDescent="0.3">
      <c r="A4" s="90" t="s">
        <v>1</v>
      </c>
      <c r="B4" s="90" t="s">
        <v>245</v>
      </c>
      <c r="C4" s="106" t="s">
        <v>246</v>
      </c>
      <c r="D4" s="90" t="s">
        <v>235</v>
      </c>
      <c r="E4" s="107" t="s">
        <v>238</v>
      </c>
      <c r="F4" s="107" t="s">
        <v>247</v>
      </c>
      <c r="G4" s="90" t="s">
        <v>248</v>
      </c>
      <c r="H4" s="330" t="s">
        <v>339</v>
      </c>
      <c r="I4" s="90" t="s">
        <v>250</v>
      </c>
      <c r="J4" s="90" t="s">
        <v>251</v>
      </c>
      <c r="K4" s="90" t="s">
        <v>252</v>
      </c>
      <c r="L4" s="90" t="s">
        <v>253</v>
      </c>
      <c r="M4" s="130"/>
      <c r="N4" s="130"/>
      <c r="O4" s="99"/>
      <c r="P4" s="99"/>
      <c r="Q4" s="99"/>
      <c r="R4" s="99"/>
      <c r="S4" s="99"/>
      <c r="T4" s="99"/>
      <c r="U4" s="99"/>
      <c r="AC4" s="250"/>
      <c r="AD4" s="252"/>
      <c r="AE4" s="250"/>
      <c r="AF4" s="250"/>
      <c r="AG4" s="250"/>
      <c r="AI4" s="1"/>
      <c r="AJ4" s="93" t="s">
        <v>245</v>
      </c>
      <c r="AK4" s="527" t="s">
        <v>246</v>
      </c>
      <c r="AL4" s="93" t="s">
        <v>254</v>
      </c>
      <c r="AM4" s="93" t="s">
        <v>238</v>
      </c>
      <c r="AN4" s="93" t="s">
        <v>247</v>
      </c>
      <c r="AO4" s="93" t="s">
        <v>248</v>
      </c>
      <c r="AP4" s="93" t="s">
        <v>339</v>
      </c>
      <c r="AQ4" s="90" t="s">
        <v>250</v>
      </c>
      <c r="AR4" s="90" t="s">
        <v>251</v>
      </c>
      <c r="AS4" s="90" t="s">
        <v>252</v>
      </c>
      <c r="AT4" s="90" t="s">
        <v>253</v>
      </c>
    </row>
    <row r="5" spans="1:46" ht="14.25" customHeight="1" x14ac:dyDescent="0.3">
      <c r="A5" s="265" t="s">
        <v>225</v>
      </c>
      <c r="B5" s="266" t="s">
        <v>229</v>
      </c>
      <c r="C5" s="114" t="s">
        <v>14</v>
      </c>
      <c r="D5" s="267">
        <f>I51/10</f>
        <v>12345.740740740741</v>
      </c>
      <c r="E5" s="125">
        <f>H52</f>
        <v>7.5794621026894866</v>
      </c>
      <c r="F5" s="126">
        <v>1</v>
      </c>
      <c r="G5" s="118">
        <f t="shared" ref="G5:G10" si="0">D5*E5</f>
        <v>93574.074074074073</v>
      </c>
      <c r="H5" s="119">
        <f t="shared" ref="H5:H10" si="1">G5*F5</f>
        <v>93574.074074074073</v>
      </c>
      <c r="I5" s="80">
        <f>VLOOKUP(B5,All_Ingredients!$A$1:$F$149,6,FALSE())</f>
        <v>0.47</v>
      </c>
      <c r="J5" s="118">
        <f>VLOOKUP(B5,All_Ingredients!$A$1:$J$149,10,FALSE())</f>
        <v>12</v>
      </c>
      <c r="K5" s="121">
        <f t="shared" ref="K5" si="2">(H5/I5)/1000</f>
        <v>199.09377462568952</v>
      </c>
      <c r="L5" s="121">
        <f t="shared" ref="L5" si="3">K5*J5</f>
        <v>2389.1252955082741</v>
      </c>
      <c r="M5" s="130"/>
      <c r="N5" s="130"/>
      <c r="O5" s="99"/>
      <c r="P5" s="99"/>
      <c r="Q5" s="99"/>
      <c r="R5" s="99"/>
      <c r="S5" s="99"/>
      <c r="T5" s="99"/>
      <c r="U5" s="99"/>
      <c r="AC5" s="91"/>
      <c r="AD5" s="132"/>
      <c r="AE5" s="253"/>
      <c r="AF5" s="134"/>
      <c r="AG5" s="135"/>
      <c r="AI5" s="1"/>
      <c r="AJ5" s="268" t="s">
        <v>229</v>
      </c>
      <c r="AK5" s="123" t="s">
        <v>231</v>
      </c>
      <c r="AL5" s="115">
        <v>10</v>
      </c>
      <c r="AM5" s="222">
        <f t="shared" ref="AM5:AM13" si="4">$AO$1</f>
        <v>9.3574074074074076</v>
      </c>
      <c r="AN5" s="126">
        <v>1</v>
      </c>
      <c r="AO5" s="118">
        <f t="shared" ref="AO5:AO13" si="5">AL5*AM5</f>
        <v>93.574074074074076</v>
      </c>
      <c r="AP5" s="119">
        <f t="shared" ref="AP5:AP13" si="6">AO5*AN5</f>
        <v>93.574074074074076</v>
      </c>
      <c r="AQ5" s="294"/>
      <c r="AR5" s="1152"/>
      <c r="AS5" s="174"/>
      <c r="AT5" s="1153"/>
    </row>
    <row r="6" spans="1:46" ht="14.25" customHeight="1" x14ac:dyDescent="0.3">
      <c r="A6" s="269" t="s">
        <v>62</v>
      </c>
      <c r="B6" s="266" t="s">
        <v>71</v>
      </c>
      <c r="C6" s="123" t="s">
        <v>14</v>
      </c>
      <c r="D6" s="124">
        <v>75</v>
      </c>
      <c r="E6" s="222">
        <f>$I$1</f>
        <v>7.5795000000000003</v>
      </c>
      <c r="F6" s="126">
        <v>1</v>
      </c>
      <c r="G6" s="118">
        <f t="shared" si="0"/>
        <v>568.46249999999998</v>
      </c>
      <c r="H6" s="119">
        <f t="shared" si="1"/>
        <v>568.46249999999998</v>
      </c>
      <c r="I6" s="80">
        <f>VLOOKUP(B6,All_Ingredients!$A$1:$F$149,6,FALSE())</f>
        <v>0.71</v>
      </c>
      <c r="J6" s="118">
        <f>VLOOKUP(B6,All_Ingredients!$A$1:$J$149,10,FALSE())</f>
        <v>3</v>
      </c>
      <c r="K6" s="121">
        <f t="shared" ref="K6:K10" si="7">(H6/I6)/1000</f>
        <v>0.80065140845070426</v>
      </c>
      <c r="L6" s="121">
        <f t="shared" ref="L6:L10" si="8">K6*J6</f>
        <v>2.4019542253521129</v>
      </c>
      <c r="M6" s="130"/>
      <c r="N6" s="130"/>
      <c r="AI6" s="1" t="s">
        <v>56</v>
      </c>
      <c r="AJ6" s="373" t="s">
        <v>55</v>
      </c>
      <c r="AK6" s="333" t="s">
        <v>14</v>
      </c>
      <c r="AL6" s="115">
        <v>100</v>
      </c>
      <c r="AM6" s="222">
        <f t="shared" si="4"/>
        <v>9.3574074074074076</v>
      </c>
      <c r="AN6" s="126">
        <v>1</v>
      </c>
      <c r="AO6" s="118">
        <f t="shared" si="5"/>
        <v>935.74074074074076</v>
      </c>
      <c r="AP6" s="119">
        <f t="shared" si="6"/>
        <v>935.74074074074076</v>
      </c>
      <c r="AQ6" s="1153">
        <f>VLOOKUP(AJ6,Marination_Ordering!$A:$J,6,FALSE)</f>
        <v>0.87</v>
      </c>
      <c r="AR6" s="1153">
        <f>VLOOKUP(AJ6,Marination_Ordering!$A:$J,10,FALSE)</f>
        <v>3.2</v>
      </c>
      <c r="AS6" s="174">
        <f>AP6/AQ6</f>
        <v>1075.5640698169434</v>
      </c>
      <c r="AT6" s="1153">
        <f>AR6*(AS6/1000)</f>
        <v>3.4418050234142186</v>
      </c>
    </row>
    <row r="7" spans="1:46" ht="14.25" customHeight="1" x14ac:dyDescent="0.3">
      <c r="A7" s="269" t="s">
        <v>206</v>
      </c>
      <c r="B7" s="266" t="s">
        <v>214</v>
      </c>
      <c r="C7" s="123" t="s">
        <v>161</v>
      </c>
      <c r="D7" s="124">
        <v>1000</v>
      </c>
      <c r="E7" s="222">
        <f>$I$1</f>
        <v>7.5795000000000003</v>
      </c>
      <c r="F7" s="126">
        <v>1</v>
      </c>
      <c r="G7" s="118">
        <f t="shared" si="0"/>
        <v>7579.5</v>
      </c>
      <c r="H7" s="119">
        <f t="shared" si="1"/>
        <v>7579.5</v>
      </c>
      <c r="I7" s="80">
        <f>VLOOKUP(B7,All_Ingredients!$A$1:$F$149,6,FALSE())</f>
        <v>1</v>
      </c>
      <c r="J7" s="118">
        <f>VLOOKUP(B7,All_Ingredients!$A$1:$J$149,10,FALSE())</f>
        <v>5</v>
      </c>
      <c r="K7" s="121">
        <f t="shared" si="7"/>
        <v>7.5795000000000003</v>
      </c>
      <c r="L7" s="121">
        <f t="shared" si="8"/>
        <v>37.897500000000001</v>
      </c>
      <c r="M7" s="130"/>
      <c r="N7" s="130"/>
      <c r="AI7" s="1" t="s">
        <v>13</v>
      </c>
      <c r="AJ7" s="373" t="s">
        <v>762</v>
      </c>
      <c r="AK7" s="333" t="s">
        <v>14</v>
      </c>
      <c r="AL7" s="115">
        <v>200</v>
      </c>
      <c r="AM7" s="222">
        <f t="shared" si="4"/>
        <v>9.3574074074074076</v>
      </c>
      <c r="AN7" s="126">
        <v>1</v>
      </c>
      <c r="AO7" s="118">
        <f t="shared" si="5"/>
        <v>1871.4814814814815</v>
      </c>
      <c r="AP7" s="119">
        <f t="shared" si="6"/>
        <v>1871.4814814814815</v>
      </c>
      <c r="AQ7" s="1153">
        <f>VLOOKUP(AJ7,Marination_Ordering!$A:$J,6,FALSE)</f>
        <v>1</v>
      </c>
      <c r="AR7" s="1153">
        <f>VLOOKUP(AJ7,Marination_Ordering!$A:$J,10,FALSE)</f>
        <v>10.5</v>
      </c>
      <c r="AS7" s="174">
        <f t="shared" ref="AS7:AS8" si="9">AP7/AQ7</f>
        <v>1871.4814814814815</v>
      </c>
      <c r="AT7" s="1153">
        <f t="shared" ref="AT7:AT8" si="10">AR7*(AS7/1000)</f>
        <v>19.650555555555556</v>
      </c>
    </row>
    <row r="8" spans="1:46" ht="14.25" customHeight="1" x14ac:dyDescent="0.3">
      <c r="A8" s="269" t="s">
        <v>95</v>
      </c>
      <c r="B8" s="266" t="s">
        <v>100</v>
      </c>
      <c r="C8" s="123" t="s">
        <v>14</v>
      </c>
      <c r="D8" s="124">
        <v>2.5</v>
      </c>
      <c r="E8" s="222">
        <f>$I$1</f>
        <v>7.5795000000000003</v>
      </c>
      <c r="F8" s="126">
        <v>1</v>
      </c>
      <c r="G8" s="118">
        <f t="shared" si="0"/>
        <v>18.94875</v>
      </c>
      <c r="H8" s="119">
        <f t="shared" si="1"/>
        <v>18.94875</v>
      </c>
      <c r="I8" s="80">
        <f>VLOOKUP(B8,All_Ingredients!$A$1:$F$149,6,FALSE())</f>
        <v>1</v>
      </c>
      <c r="J8" s="118">
        <f>VLOOKUP(B8,All_Ingredients!$A$1:$J$149,10,FALSE())</f>
        <v>31</v>
      </c>
      <c r="K8" s="121">
        <f t="shared" si="7"/>
        <v>1.894875E-2</v>
      </c>
      <c r="L8" s="121">
        <f t="shared" si="8"/>
        <v>0.58741125000000005</v>
      </c>
      <c r="AI8" s="1" t="s">
        <v>206</v>
      </c>
      <c r="AJ8" s="373" t="s">
        <v>214</v>
      </c>
      <c r="AK8" s="333" t="s">
        <v>161</v>
      </c>
      <c r="AL8" s="115">
        <v>450</v>
      </c>
      <c r="AM8" s="222">
        <f t="shared" si="4"/>
        <v>9.3574074074074076</v>
      </c>
      <c r="AN8" s="126">
        <v>1</v>
      </c>
      <c r="AO8" s="118">
        <f t="shared" si="5"/>
        <v>4210.833333333333</v>
      </c>
      <c r="AP8" s="119">
        <f t="shared" si="6"/>
        <v>4210.833333333333</v>
      </c>
      <c r="AQ8" s="1153">
        <f>VLOOKUP(AJ8,Marination_Ordering!$A:$J,6,FALSE)</f>
        <v>1</v>
      </c>
      <c r="AR8" s="1153">
        <f>VLOOKUP(AJ8,Marination_Ordering!$A:$J,10,FALSE)</f>
        <v>5</v>
      </c>
      <c r="AS8" s="174">
        <f t="shared" si="9"/>
        <v>4210.833333333333</v>
      </c>
      <c r="AT8" s="1153">
        <f t="shared" si="10"/>
        <v>21.054166666666667</v>
      </c>
    </row>
    <row r="9" spans="1:46" ht="14.25" customHeight="1" x14ac:dyDescent="0.3">
      <c r="A9" s="269" t="s">
        <v>95</v>
      </c>
      <c r="B9" s="266" t="s">
        <v>94</v>
      </c>
      <c r="C9" s="123" t="s">
        <v>14</v>
      </c>
      <c r="D9" s="124">
        <v>12.5</v>
      </c>
      <c r="E9" s="222">
        <f>$I$1</f>
        <v>7.5795000000000003</v>
      </c>
      <c r="F9" s="126">
        <v>1</v>
      </c>
      <c r="G9" s="118">
        <f t="shared" si="0"/>
        <v>94.743750000000006</v>
      </c>
      <c r="H9" s="119">
        <f t="shared" si="1"/>
        <v>94.743750000000006</v>
      </c>
      <c r="I9" s="80">
        <f>VLOOKUP(B9,All_Ingredients!$A$1:$F$149,6,FALSE())</f>
        <v>1</v>
      </c>
      <c r="J9" s="118">
        <f>VLOOKUP(B9,All_Ingredients!$A$1:$J$149,10,FALSE())</f>
        <v>0.74</v>
      </c>
      <c r="K9" s="121">
        <f t="shared" si="7"/>
        <v>9.4743750000000002E-2</v>
      </c>
      <c r="L9" s="121">
        <f t="shared" si="8"/>
        <v>7.0110375000000003E-2</v>
      </c>
      <c r="AI9" s="1" t="s">
        <v>206</v>
      </c>
      <c r="AJ9" s="373" t="s">
        <v>210</v>
      </c>
      <c r="AK9" s="123" t="s">
        <v>161</v>
      </c>
      <c r="AL9" s="222">
        <v>100</v>
      </c>
      <c r="AM9" s="222">
        <f t="shared" si="4"/>
        <v>9.3574074074074076</v>
      </c>
      <c r="AN9" s="126">
        <v>1</v>
      </c>
      <c r="AO9" s="118">
        <f t="shared" si="5"/>
        <v>935.74074074074076</v>
      </c>
      <c r="AP9" s="119">
        <f t="shared" si="6"/>
        <v>935.74074074074076</v>
      </c>
      <c r="AQ9" s="1153">
        <f>VLOOKUP(AJ9,Marination_Ordering!$A:$J,6,FALSE)</f>
        <v>1</v>
      </c>
      <c r="AR9" s="1153">
        <f>VLOOKUP(AJ9,Marination_Ordering!$A:$J,10,FALSE)</f>
        <v>2.1621621621621623</v>
      </c>
      <c r="AS9" s="174">
        <f t="shared" ref="AS9:AS13" si="11">AP9/AQ9</f>
        <v>935.74074074074076</v>
      </c>
      <c r="AT9" s="1153">
        <f t="shared" ref="AT9:AT13" si="12">AR9*(AS9/1000)</f>
        <v>2.0232232232232232</v>
      </c>
    </row>
    <row r="10" spans="1:46" ht="14.25" customHeight="1" x14ac:dyDescent="0.3">
      <c r="A10" s="269" t="s">
        <v>95</v>
      </c>
      <c r="B10" s="266" t="s">
        <v>106</v>
      </c>
      <c r="C10" s="123" t="s">
        <v>14</v>
      </c>
      <c r="D10" s="124">
        <v>2.5</v>
      </c>
      <c r="E10" s="222">
        <f>$I$1</f>
        <v>7.5795000000000003</v>
      </c>
      <c r="F10" s="126">
        <v>1</v>
      </c>
      <c r="G10" s="118">
        <f t="shared" si="0"/>
        <v>18.94875</v>
      </c>
      <c r="H10" s="119">
        <f t="shared" si="1"/>
        <v>18.94875</v>
      </c>
      <c r="I10" s="80">
        <f>VLOOKUP(B10,All_Ingredients!$A$1:$F$149,6,FALSE())</f>
        <v>1</v>
      </c>
      <c r="J10" s="118">
        <f>VLOOKUP(B10,All_Ingredients!$A$1:$J$149,10,FALSE())</f>
        <v>15</v>
      </c>
      <c r="K10" s="121">
        <f t="shared" si="7"/>
        <v>1.894875E-2</v>
      </c>
      <c r="L10" s="121">
        <f t="shared" si="8"/>
        <v>0.28423124999999999</v>
      </c>
      <c r="AI10" s="1" t="s">
        <v>95</v>
      </c>
      <c r="AJ10" s="322" t="s">
        <v>94</v>
      </c>
      <c r="AK10" s="333" t="s">
        <v>14</v>
      </c>
      <c r="AL10" s="115">
        <v>2</v>
      </c>
      <c r="AM10" s="222">
        <f t="shared" si="4"/>
        <v>9.3574074074074076</v>
      </c>
      <c r="AN10" s="126">
        <v>1</v>
      </c>
      <c r="AO10" s="118">
        <f t="shared" si="5"/>
        <v>18.714814814814815</v>
      </c>
      <c r="AP10" s="119">
        <f t="shared" si="6"/>
        <v>18.714814814814815</v>
      </c>
      <c r="AQ10" s="1153">
        <f>VLOOKUP(AJ10,Marination_Ordering!$A:$J,6,FALSE)</f>
        <v>1</v>
      </c>
      <c r="AR10" s="1153">
        <f>VLOOKUP(AJ10,Marination_Ordering!$A:$J,10,FALSE)</f>
        <v>0.74</v>
      </c>
      <c r="AS10" s="174">
        <f t="shared" si="11"/>
        <v>18.714814814814815</v>
      </c>
      <c r="AT10" s="1153">
        <f t="shared" si="12"/>
        <v>1.3848962962962964E-2</v>
      </c>
    </row>
    <row r="11" spans="1:46" ht="14.25" customHeight="1" x14ac:dyDescent="0.3">
      <c r="B11" s="99"/>
      <c r="E11" s="99"/>
      <c r="F11" s="99"/>
      <c r="L11" s="208"/>
      <c r="AI11" s="1" t="s">
        <v>95</v>
      </c>
      <c r="AJ11" s="373" t="s">
        <v>100</v>
      </c>
      <c r="AK11" s="333" t="s">
        <v>14</v>
      </c>
      <c r="AL11" s="115">
        <v>2</v>
      </c>
      <c r="AM11" s="222">
        <f t="shared" si="4"/>
        <v>9.3574074074074076</v>
      </c>
      <c r="AN11" s="126">
        <v>1</v>
      </c>
      <c r="AO11" s="118">
        <f t="shared" si="5"/>
        <v>18.714814814814815</v>
      </c>
      <c r="AP11" s="119">
        <f t="shared" si="6"/>
        <v>18.714814814814815</v>
      </c>
      <c r="AQ11" s="1153">
        <f>VLOOKUP(AJ11,Marination_Ordering!$A:$J,6,FALSE)</f>
        <v>1</v>
      </c>
      <c r="AR11" s="1153">
        <f>VLOOKUP(AJ11,Marination_Ordering!$A:$J,10,FALSE)</f>
        <v>31</v>
      </c>
      <c r="AS11" s="174">
        <f t="shared" si="11"/>
        <v>18.714814814814815</v>
      </c>
      <c r="AT11" s="1153">
        <f t="shared" si="12"/>
        <v>0.58015925925925926</v>
      </c>
    </row>
    <row r="12" spans="1:46" ht="14.25" customHeight="1" x14ac:dyDescent="0.3">
      <c r="B12" s="99"/>
      <c r="E12" s="99"/>
      <c r="F12" s="99"/>
      <c r="L12" s="208"/>
      <c r="AI12" s="1" t="s">
        <v>95</v>
      </c>
      <c r="AJ12" s="322" t="s">
        <v>106</v>
      </c>
      <c r="AK12" s="333" t="s">
        <v>14</v>
      </c>
      <c r="AL12" s="115">
        <v>25</v>
      </c>
      <c r="AM12" s="222">
        <f t="shared" si="4"/>
        <v>9.3574074074074076</v>
      </c>
      <c r="AN12" s="126">
        <v>1</v>
      </c>
      <c r="AO12" s="118">
        <f t="shared" si="5"/>
        <v>233.93518518518519</v>
      </c>
      <c r="AP12" s="119">
        <f t="shared" si="6"/>
        <v>233.93518518518519</v>
      </c>
      <c r="AQ12" s="1153">
        <f>VLOOKUP(AJ12,Marination_Ordering!$A:$J,6,FALSE)</f>
        <v>1</v>
      </c>
      <c r="AR12" s="1153">
        <f>VLOOKUP(AJ12,Marination_Ordering!$A:$J,10,FALSE)</f>
        <v>15</v>
      </c>
      <c r="AS12" s="174">
        <f t="shared" si="11"/>
        <v>233.93518518518519</v>
      </c>
      <c r="AT12" s="1153">
        <f t="shared" si="12"/>
        <v>3.5090277777777779</v>
      </c>
    </row>
    <row r="13" spans="1:46" ht="14.25" customHeight="1" x14ac:dyDescent="0.3">
      <c r="L13" s="208"/>
      <c r="AI13" s="1" t="s">
        <v>192</v>
      </c>
      <c r="AJ13" s="606" t="s">
        <v>204</v>
      </c>
      <c r="AK13" s="333" t="s">
        <v>14</v>
      </c>
      <c r="AL13" s="124">
        <v>300</v>
      </c>
      <c r="AM13" s="222">
        <f t="shared" si="4"/>
        <v>9.3574074074074076</v>
      </c>
      <c r="AN13" s="126">
        <v>1</v>
      </c>
      <c r="AO13" s="118">
        <f t="shared" si="5"/>
        <v>2807.2222222222222</v>
      </c>
      <c r="AP13" s="119">
        <f t="shared" si="6"/>
        <v>2807.2222222222222</v>
      </c>
      <c r="AQ13" s="1153">
        <f>VLOOKUP(AJ13,Marination_Ordering!$A:$J,6,FALSE)</f>
        <v>1</v>
      </c>
      <c r="AR13" s="1153">
        <f>VLOOKUP(AJ13,Marination_Ordering!$A:$J,10,FALSE)</f>
        <v>11.243386243386244</v>
      </c>
      <c r="AS13" s="174">
        <f t="shared" si="11"/>
        <v>2807.2222222222222</v>
      </c>
      <c r="AT13" s="1153">
        <f t="shared" si="12"/>
        <v>31.562683715461496</v>
      </c>
    </row>
    <row r="14" spans="1:46" ht="14.25" customHeight="1" x14ac:dyDescent="0.3">
      <c r="L14" s="208"/>
      <c r="AQ14" s="14"/>
      <c r="AR14" s="1128"/>
      <c r="AS14" s="553"/>
      <c r="AT14" s="1126"/>
    </row>
    <row r="15" spans="1:46" ht="14.25" customHeight="1" x14ac:dyDescent="0.3">
      <c r="L15" s="208"/>
      <c r="W15" s="128" t="s">
        <v>479</v>
      </c>
      <c r="AQ15" s="14"/>
      <c r="AR15" s="1128"/>
      <c r="AS15" s="553"/>
      <c r="AT15" s="1126"/>
    </row>
    <row r="16" spans="1:46" ht="14.25" customHeight="1" x14ac:dyDescent="0.3">
      <c r="L16" s="208"/>
      <c r="W16" s="607" t="s">
        <v>480</v>
      </c>
    </row>
    <row r="17" spans="2:31" ht="14.25" customHeight="1" x14ac:dyDescent="0.3">
      <c r="L17" s="208"/>
    </row>
    <row r="18" spans="2:31" ht="14.25" customHeight="1" x14ac:dyDescent="0.3">
      <c r="L18" s="208"/>
    </row>
    <row r="19" spans="2:31" ht="14.25" customHeight="1" x14ac:dyDescent="0.3">
      <c r="L19" s="208"/>
    </row>
    <row r="20" spans="2:31" ht="14.25" customHeight="1" x14ac:dyDescent="0.3">
      <c r="L20" s="208"/>
    </row>
    <row r="21" spans="2:31" ht="14.25" customHeight="1" x14ac:dyDescent="0.3">
      <c r="L21" s="208"/>
    </row>
    <row r="22" spans="2:31" ht="14.25" customHeight="1" x14ac:dyDescent="0.3">
      <c r="L22" s="208"/>
    </row>
    <row r="23" spans="2:31" ht="18" customHeight="1" x14ac:dyDescent="0.3">
      <c r="K23" s="208"/>
      <c r="L23" s="208"/>
      <c r="W23" t="s">
        <v>481</v>
      </c>
    </row>
    <row r="24" spans="2:31" ht="18" customHeight="1" x14ac:dyDescent="0.3">
      <c r="Z24" s="1265"/>
    </row>
    <row r="25" spans="2:31" ht="14.25" customHeight="1" x14ac:dyDescent="0.35">
      <c r="K25" s="208"/>
      <c r="L25" s="208"/>
      <c r="R25" s="1440" t="s">
        <v>482</v>
      </c>
      <c r="S25" s="1444"/>
      <c r="T25" s="1444"/>
      <c r="U25" s="1444"/>
      <c r="V25" s="1132"/>
      <c r="Z25" s="140" t="s">
        <v>256</v>
      </c>
      <c r="AA25" s="141">
        <v>1</v>
      </c>
      <c r="AB25" s="140" t="s">
        <v>253</v>
      </c>
      <c r="AC25" s="142">
        <f>(AA25*(1.15))*AE30+(AA30*(AB28/R1))</f>
        <v>4.9717038844111376E-2</v>
      </c>
      <c r="AD25" s="14"/>
    </row>
    <row r="26" spans="2:31" ht="14.25" customHeight="1" x14ac:dyDescent="0.3">
      <c r="B26" s="99"/>
      <c r="E26" s="99"/>
      <c r="F26" s="99"/>
      <c r="K26" s="208"/>
      <c r="L26" s="208"/>
      <c r="R26" s="1459" t="s">
        <v>257</v>
      </c>
      <c r="S26" s="1444"/>
      <c r="T26" s="1444"/>
      <c r="U26" s="1444"/>
      <c r="V26" s="1132"/>
      <c r="Z26" s="14"/>
      <c r="AA26" s="14"/>
      <c r="AB26" s="14"/>
      <c r="AC26" s="14"/>
      <c r="AD26" s="14"/>
    </row>
    <row r="27" spans="2:31" ht="14.25" customHeight="1" thickBot="1" x14ac:dyDescent="0.35">
      <c r="B27" s="99"/>
      <c r="E27" s="99"/>
      <c r="F27" s="99"/>
      <c r="K27" s="208"/>
      <c r="R27" s="144" t="s">
        <v>258</v>
      </c>
      <c r="S27" s="145" t="s">
        <v>483</v>
      </c>
      <c r="T27" s="145" t="s">
        <v>260</v>
      </c>
      <c r="U27" s="145" t="s">
        <v>261</v>
      </c>
      <c r="V27" s="145" t="s">
        <v>808</v>
      </c>
      <c r="W27" s="145" t="s">
        <v>817</v>
      </c>
      <c r="Z27" s="140" t="s">
        <v>262</v>
      </c>
      <c r="AA27" s="1166" t="s">
        <v>316</v>
      </c>
      <c r="AB27" s="146" t="s">
        <v>263</v>
      </c>
      <c r="AC27" s="146" t="s">
        <v>265</v>
      </c>
      <c r="AD27" s="1167" t="s">
        <v>817</v>
      </c>
      <c r="AE27" s="146" t="s">
        <v>266</v>
      </c>
    </row>
    <row r="28" spans="2:31" ht="14.25" customHeight="1" thickBot="1" x14ac:dyDescent="0.35">
      <c r="R28" s="147" t="s">
        <v>267</v>
      </c>
      <c r="S28" s="760">
        <f>$Z$1</f>
        <v>49530</v>
      </c>
      <c r="T28" s="303"/>
      <c r="U28" s="754">
        <f>S28/S40</f>
        <v>49530</v>
      </c>
      <c r="V28" s="148">
        <f>SUM(AP5:AP13)</f>
        <v>11125.957407407406</v>
      </c>
      <c r="W28" s="148">
        <f>H37</f>
        <v>0</v>
      </c>
      <c r="Z28" s="150"/>
      <c r="AA28" s="1169"/>
      <c r="AB28" s="151">
        <f>AA25*$S$40</f>
        <v>1</v>
      </c>
      <c r="AC28" s="152">
        <f>AA25*0.15</f>
        <v>0.15</v>
      </c>
      <c r="AD28" s="1169"/>
      <c r="AE28" s="1289">
        <f>SUM(AB28:AC28)</f>
        <v>1.1499999999999999</v>
      </c>
    </row>
    <row r="29" spans="2:31" ht="14.25" customHeight="1" thickBot="1" x14ac:dyDescent="0.35">
      <c r="K29" s="208"/>
      <c r="R29" s="147" t="s">
        <v>268</v>
      </c>
      <c r="S29" s="154"/>
      <c r="T29" s="148">
        <f>S28*0.15</f>
        <v>7429.5</v>
      </c>
      <c r="U29" s="754">
        <f>T29</f>
        <v>7429.5</v>
      </c>
      <c r="V29" s="148"/>
      <c r="W29" s="148"/>
      <c r="Z29" s="150"/>
      <c r="AA29" s="1173"/>
      <c r="AB29" s="155">
        <f>AB28/$AE$28</f>
        <v>0.86956521739130443</v>
      </c>
      <c r="AC29" s="155">
        <f>AC28/$AE$28</f>
        <v>0.13043478260869565</v>
      </c>
      <c r="AD29" s="1173"/>
      <c r="AE29" s="155">
        <f>AE28/$AE$28</f>
        <v>1</v>
      </c>
    </row>
    <row r="30" spans="2:31" ht="14.25" customHeight="1" thickBot="1" x14ac:dyDescent="0.35">
      <c r="K30" s="208"/>
      <c r="R30" s="147" t="s">
        <v>269</v>
      </c>
      <c r="S30" s="1329">
        <f>$AB$1</f>
        <v>1000</v>
      </c>
      <c r="T30" s="756">
        <f>S30*0.15</f>
        <v>150</v>
      </c>
      <c r="U30" s="756">
        <f>S30/S40</f>
        <v>1000</v>
      </c>
      <c r="V30" s="1124"/>
      <c r="W30" s="1124"/>
      <c r="Z30" s="140" t="s">
        <v>270</v>
      </c>
      <c r="AA30" s="1177">
        <f>V35/(S32/R1)</f>
        <v>8.7455281811861139E-4</v>
      </c>
      <c r="AB30" s="156">
        <f>S35/(S32)</f>
        <v>4.7281323877068557E-2</v>
      </c>
      <c r="AC30" s="156">
        <f>T35/(T32)</f>
        <v>5.4411514084507047E-3</v>
      </c>
      <c r="AD30" s="1180">
        <f>W35/U32</f>
        <v>0</v>
      </c>
      <c r="AE30" s="158">
        <f>SUMPRODUCT(AB30:AC30,AB29:AC29)</f>
        <v>4.1823910076814061E-2</v>
      </c>
    </row>
    <row r="31" spans="2:31" ht="14.25" customHeight="1" thickBot="1" x14ac:dyDescent="0.35">
      <c r="R31" s="147" t="s">
        <v>271</v>
      </c>
      <c r="S31" s="154"/>
      <c r="T31" s="148"/>
      <c r="U31" s="148"/>
      <c r="V31" s="148"/>
      <c r="W31" s="148"/>
    </row>
    <row r="32" spans="2:31" ht="14.25" customHeight="1" thickBot="1" x14ac:dyDescent="0.35">
      <c r="R32" s="159" t="s">
        <v>261</v>
      </c>
      <c r="S32" s="148">
        <f>SUM(S28:S30)</f>
        <v>50530</v>
      </c>
      <c r="T32" s="148">
        <f>SUM(T28:T30)</f>
        <v>7579.5</v>
      </c>
      <c r="U32" s="148">
        <f>SUM(S32:T32)</f>
        <v>58109.5</v>
      </c>
      <c r="V32" s="148"/>
      <c r="W32" s="148">
        <f>SUM(W28:W30)</f>
        <v>0</v>
      </c>
    </row>
    <row r="33" spans="17:23" ht="14.25" customHeight="1" thickBot="1" x14ac:dyDescent="0.35">
      <c r="R33" s="160" t="s">
        <v>272</v>
      </c>
      <c r="S33" s="154"/>
      <c r="T33" s="154">
        <f>F45</f>
        <v>0</v>
      </c>
      <c r="U33" s="154"/>
      <c r="V33" s="154"/>
      <c r="W33" s="154"/>
    </row>
    <row r="34" spans="17:23" ht="14.25" customHeight="1" thickBot="1" x14ac:dyDescent="0.35">
      <c r="R34" s="161" t="s">
        <v>273</v>
      </c>
      <c r="S34" s="154"/>
      <c r="T34" s="148">
        <f>T33-(T28+T29)</f>
        <v>-7429.5</v>
      </c>
      <c r="U34" s="154"/>
      <c r="V34" s="154"/>
      <c r="W34" s="154"/>
    </row>
    <row r="35" spans="17:23" ht="14.25" customHeight="1" thickBot="1" x14ac:dyDescent="0.35">
      <c r="R35" s="162" t="s">
        <v>253</v>
      </c>
      <c r="S35" s="1125">
        <f>$L$5</f>
        <v>2389.1252955082741</v>
      </c>
      <c r="T35" s="1125">
        <f>SUM(L6:L10)</f>
        <v>41.241207100352113</v>
      </c>
      <c r="U35" s="1125">
        <f>S35+T35+V35+W35</f>
        <v>2512.2019727929478</v>
      </c>
      <c r="V35" s="1125">
        <f>SUM(AT6:AT13)</f>
        <v>81.835470184321167</v>
      </c>
      <c r="W35" s="1125">
        <f>L37</f>
        <v>0</v>
      </c>
    </row>
    <row r="36" spans="17:23" ht="18" customHeight="1" x14ac:dyDescent="0.3"/>
    <row r="40" spans="17:23" ht="17.75" customHeight="1" x14ac:dyDescent="0.3">
      <c r="Q40" s="14"/>
      <c r="R40" s="164" t="s">
        <v>274</v>
      </c>
      <c r="S40" s="238">
        <v>1</v>
      </c>
      <c r="T40" s="164" t="s">
        <v>275</v>
      </c>
      <c r="U40" s="238">
        <v>0</v>
      </c>
      <c r="V40" s="167">
        <f>S40+U40</f>
        <v>1</v>
      </c>
      <c r="W40" s="14"/>
    </row>
    <row r="41" spans="17:23" ht="14.25" customHeight="1" x14ac:dyDescent="0.3">
      <c r="Q41" s="14"/>
      <c r="R41" s="14"/>
      <c r="S41" s="14"/>
      <c r="T41" s="14"/>
      <c r="U41" s="168"/>
      <c r="V41" s="14"/>
      <c r="W41" s="14"/>
    </row>
    <row r="42" spans="17:23" ht="14.25" customHeight="1" x14ac:dyDescent="0.3">
      <c r="Q42" s="14"/>
      <c r="R42" s="14"/>
      <c r="S42" s="14"/>
      <c r="T42" s="14"/>
      <c r="U42" s="14"/>
      <c r="V42" s="14"/>
      <c r="W42" s="14"/>
    </row>
    <row r="43" spans="17:23" ht="14.25" customHeight="1" x14ac:dyDescent="0.3">
      <c r="Q43" s="169" t="s">
        <v>276</v>
      </c>
      <c r="R43" s="169" t="s">
        <v>277</v>
      </c>
      <c r="S43" s="169" t="s">
        <v>278</v>
      </c>
      <c r="T43" s="169" t="s">
        <v>279</v>
      </c>
      <c r="U43" s="169" t="s">
        <v>280</v>
      </c>
      <c r="V43" s="169" t="s">
        <v>281</v>
      </c>
      <c r="W43" s="169" t="s">
        <v>282</v>
      </c>
    </row>
    <row r="44" spans="17:23" ht="14.25" customHeight="1" x14ac:dyDescent="0.3">
      <c r="Q44" s="171">
        <v>66667</v>
      </c>
      <c r="R44" s="172">
        <f>D51</f>
        <v>10000</v>
      </c>
      <c r="S44" s="173">
        <v>0</v>
      </c>
      <c r="T44" s="173">
        <v>1</v>
      </c>
      <c r="U44" s="241">
        <f>R44*S44</f>
        <v>0</v>
      </c>
      <c r="V44" s="175">
        <f>R44*T44</f>
        <v>10000</v>
      </c>
      <c r="W44" s="175">
        <f>Q44-U44</f>
        <v>66667</v>
      </c>
    </row>
    <row r="49" spans="1:10" ht="14.25" customHeight="1" x14ac:dyDescent="0.3"/>
    <row r="50" spans="1:10" ht="14.25" customHeight="1" x14ac:dyDescent="0.3">
      <c r="B50" s="275"/>
      <c r="C50" s="144" t="s">
        <v>237</v>
      </c>
      <c r="D50" s="144" t="s">
        <v>283</v>
      </c>
      <c r="F50" s="99"/>
      <c r="G50" s="144" t="s">
        <v>284</v>
      </c>
      <c r="H50" s="144" t="s">
        <v>237</v>
      </c>
      <c r="I50" s="144" t="s">
        <v>285</v>
      </c>
      <c r="J50" s="144" t="s">
        <v>286</v>
      </c>
    </row>
    <row r="51" spans="1:10" ht="14.25" customHeight="1" x14ac:dyDescent="0.3">
      <c r="B51" s="179" t="s">
        <v>287</v>
      </c>
      <c r="C51" s="180">
        <f>10/$K$1</f>
        <v>10</v>
      </c>
      <c r="D51" s="181">
        <f>$C$1*10</f>
        <v>10000</v>
      </c>
      <c r="E51" s="182"/>
      <c r="F51" s="99"/>
      <c r="G51" s="179" t="s">
        <v>287</v>
      </c>
      <c r="H51" s="276">
        <f>I51/$D$5</f>
        <v>10</v>
      </c>
      <c r="I51" s="180">
        <f>J51/$R$1</f>
        <v>123457.4074074074</v>
      </c>
      <c r="J51" s="180">
        <f>$W$44</f>
        <v>66667</v>
      </c>
    </row>
    <row r="52" spans="1:10" ht="14.25" customHeight="1" x14ac:dyDescent="0.3">
      <c r="B52" s="230" t="s">
        <v>266</v>
      </c>
      <c r="C52" s="231">
        <f>$I$1</f>
        <v>7.5795000000000003</v>
      </c>
      <c r="D52" s="232">
        <f>$E$1</f>
        <v>7579.5</v>
      </c>
      <c r="E52" s="99"/>
      <c r="F52" s="99"/>
      <c r="G52" s="147" t="s">
        <v>266</v>
      </c>
      <c r="H52" s="209">
        <f>I52/$D$5</f>
        <v>7.5794621026894866</v>
      </c>
      <c r="I52" s="175">
        <f>J52/$R$1</f>
        <v>93574.074074074073</v>
      </c>
      <c r="J52" s="183">
        <f>$S$32</f>
        <v>50530</v>
      </c>
    </row>
    <row r="53" spans="1:10" ht="14.25" customHeight="1" x14ac:dyDescent="0.3">
      <c r="B53" s="230" t="s">
        <v>288</v>
      </c>
      <c r="C53" s="233">
        <f>MIN(C52, C51)</f>
        <v>7.5795000000000003</v>
      </c>
      <c r="D53" s="232">
        <f>(C53*$K$1)*$C$1</f>
        <v>7579.5</v>
      </c>
      <c r="E53" s="99"/>
      <c r="F53" s="99"/>
      <c r="G53" s="147" t="s">
        <v>288</v>
      </c>
      <c r="H53" s="186">
        <f>MIN(H52,H51)</f>
        <v>7.5794621026894866</v>
      </c>
      <c r="I53" s="175">
        <f>J53/$R$1</f>
        <v>93574.074074074073</v>
      </c>
      <c r="J53" s="175">
        <f>MIN(J52,J51)</f>
        <v>50530</v>
      </c>
    </row>
    <row r="54" spans="1:10" ht="14.25" customHeight="1" x14ac:dyDescent="0.3">
      <c r="B54" s="230" t="s">
        <v>289</v>
      </c>
      <c r="C54" s="233">
        <f>MIN(MAX(C52-C53,0),C51)</f>
        <v>0</v>
      </c>
      <c r="D54" s="232">
        <f>(C54*$K$1)*$C$1</f>
        <v>0</v>
      </c>
      <c r="E54" s="99"/>
      <c r="F54" s="99"/>
      <c r="G54" s="147" t="s">
        <v>289</v>
      </c>
      <c r="H54" s="186">
        <f>MIN(MAX(H52-H53),H51)</f>
        <v>0</v>
      </c>
      <c r="I54" s="175">
        <f>J54/$R$1</f>
        <v>0</v>
      </c>
      <c r="J54" s="175">
        <f>MIN(MAX(J52-J53),J51)</f>
        <v>0</v>
      </c>
    </row>
    <row r="55" spans="1:10" x14ac:dyDescent="0.3">
      <c r="B55" s="230" t="s">
        <v>290</v>
      </c>
      <c r="C55" s="233">
        <f>MIN(MAX(C52-C53-C54,0),C51)</f>
        <v>0</v>
      </c>
      <c r="D55" s="232">
        <f>(C55*$K$1)*$C$1</f>
        <v>0</v>
      </c>
      <c r="E55" s="99"/>
      <c r="F55" s="99"/>
      <c r="G55" s="144" t="s">
        <v>290</v>
      </c>
      <c r="H55" s="186">
        <f>MIN(MAX(H52-H53-H54),H51)</f>
        <v>0</v>
      </c>
      <c r="I55" s="175">
        <f>J55/$R$1</f>
        <v>0</v>
      </c>
      <c r="J55" s="175">
        <f>MIN(MAX(J52-J53-J54),J51)</f>
        <v>0</v>
      </c>
    </row>
    <row r="62" spans="1:10" ht="17.75" customHeight="1" x14ac:dyDescent="0.3">
      <c r="A62" s="923"/>
      <c r="B62" s="1438" t="str">
        <f>"سمك بالشبت و الليمون  1 / " &amp; COUNTIF($C$53:$C$54, "&gt;0")</f>
        <v>سمك بالشبت و الليمون  1 / 1</v>
      </c>
      <c r="C62" s="1439"/>
      <c r="D62" s="1439"/>
      <c r="E62" s="1439"/>
      <c r="F62" s="1439"/>
      <c r="G62" s="1439"/>
      <c r="H62" s="1439"/>
    </row>
    <row r="63" spans="1:10" ht="18" customHeight="1" x14ac:dyDescent="0.3">
      <c r="A63" s="923"/>
      <c r="B63" s="1436" t="str">
        <f>"Fish with Shabat and Lemon   1 / " &amp; COUNTIF($C$53:$C$54, "&gt;0")</f>
        <v>Fish with Shabat and Lemon   1 / 1</v>
      </c>
      <c r="C63" s="1437"/>
      <c r="D63" s="1437"/>
      <c r="E63" s="1437"/>
      <c r="F63" s="1437"/>
      <c r="G63" s="1437"/>
      <c r="H63" s="1437"/>
    </row>
    <row r="64" spans="1:10" ht="26" x14ac:dyDescent="0.3">
      <c r="A64" s="90"/>
      <c r="B64" s="242" t="s">
        <v>245</v>
      </c>
      <c r="C64" s="243" t="s">
        <v>246</v>
      </c>
      <c r="D64" s="244" t="s">
        <v>235</v>
      </c>
      <c r="E64" s="217" t="s">
        <v>238</v>
      </c>
      <c r="F64" s="217" t="s">
        <v>247</v>
      </c>
      <c r="G64" s="244" t="s">
        <v>248</v>
      </c>
      <c r="H64" s="217" t="s">
        <v>249</v>
      </c>
    </row>
    <row r="65" spans="1:10" ht="14.25" customHeight="1" x14ac:dyDescent="0.3">
      <c r="A65" s="218" t="s">
        <v>225</v>
      </c>
      <c r="B65" s="113" t="str">
        <f t="shared" ref="B65:D70" si="13">B5</f>
        <v>Fillet Fish - سمك فيليه</v>
      </c>
      <c r="C65" s="122" t="str">
        <f t="shared" si="13"/>
        <v>gm</v>
      </c>
      <c r="D65" s="457">
        <f t="shared" si="13"/>
        <v>12345.740740740741</v>
      </c>
      <c r="E65" s="279">
        <f>H53</f>
        <v>7.5794621026894866</v>
      </c>
      <c r="F65" s="126">
        <f>F5</f>
        <v>1</v>
      </c>
      <c r="G65" s="118">
        <f>G5</f>
        <v>93574.074074074073</v>
      </c>
      <c r="H65" s="119">
        <f>H5</f>
        <v>93574.074074074073</v>
      </c>
    </row>
    <row r="66" spans="1:10" ht="14.25" customHeight="1" x14ac:dyDescent="0.3">
      <c r="A66" s="269" t="s">
        <v>62</v>
      </c>
      <c r="B66" s="113" t="str">
        <f t="shared" si="13"/>
        <v>Dill Leaves - شبت</v>
      </c>
      <c r="C66" s="122" t="str">
        <f t="shared" si="13"/>
        <v>gm</v>
      </c>
      <c r="D66" s="122">
        <f t="shared" si="13"/>
        <v>75</v>
      </c>
      <c r="E66" s="280">
        <f>$C$53</f>
        <v>7.5795000000000003</v>
      </c>
      <c r="F66" s="126">
        <f>F6</f>
        <v>1</v>
      </c>
      <c r="G66" s="118">
        <f>D66*E66</f>
        <v>568.46249999999998</v>
      </c>
      <c r="H66" s="119">
        <f>G66*F66</f>
        <v>568.46249999999998</v>
      </c>
    </row>
    <row r="67" spans="1:10" ht="14.25" customHeight="1" x14ac:dyDescent="0.3">
      <c r="A67" s="269" t="s">
        <v>206</v>
      </c>
      <c r="B67" s="113" t="str">
        <f t="shared" si="13"/>
        <v>Lemon Juice - عصير ليمون</v>
      </c>
      <c r="C67" s="122" t="str">
        <f t="shared" si="13"/>
        <v>ml</v>
      </c>
      <c r="D67" s="122">
        <f t="shared" si="13"/>
        <v>1000</v>
      </c>
      <c r="E67" s="124">
        <f>$C$53</f>
        <v>7.5795000000000003</v>
      </c>
      <c r="F67" s="126">
        <f>F7</f>
        <v>1</v>
      </c>
      <c r="G67" s="118">
        <f>D67*E67</f>
        <v>7579.5</v>
      </c>
      <c r="H67" s="119">
        <f>G67*F67</f>
        <v>7579.5</v>
      </c>
    </row>
    <row r="68" spans="1:10" ht="14.25" customHeight="1" x14ac:dyDescent="0.3">
      <c r="A68" s="269" t="s">
        <v>95</v>
      </c>
      <c r="B68" s="113" t="str">
        <f t="shared" si="13"/>
        <v>Black Pepper Powder - فلفل أسود مطحون</v>
      </c>
      <c r="C68" s="122" t="str">
        <f t="shared" si="13"/>
        <v>gm</v>
      </c>
      <c r="D68" s="122">
        <f t="shared" si="13"/>
        <v>2.5</v>
      </c>
      <c r="E68" s="124">
        <f>$C$53</f>
        <v>7.5795000000000003</v>
      </c>
      <c r="F68" s="126">
        <f>F8</f>
        <v>1</v>
      </c>
      <c r="G68" s="118">
        <f>D68*E68</f>
        <v>18.94875</v>
      </c>
      <c r="H68" s="119">
        <f>G68*F68</f>
        <v>18.94875</v>
      </c>
    </row>
    <row r="69" spans="1:10" ht="14.25" customHeight="1" x14ac:dyDescent="0.3">
      <c r="A69" s="269" t="s">
        <v>95</v>
      </c>
      <c r="B69" s="113" t="str">
        <f t="shared" si="13"/>
        <v>Salt - ملح</v>
      </c>
      <c r="C69" s="122" t="str">
        <f t="shared" si="13"/>
        <v>gm</v>
      </c>
      <c r="D69" s="122">
        <f t="shared" si="13"/>
        <v>12.5</v>
      </c>
      <c r="E69" s="124">
        <f>$C$53</f>
        <v>7.5795000000000003</v>
      </c>
      <c r="F69" s="126">
        <f>F9</f>
        <v>1</v>
      </c>
      <c r="G69" s="118">
        <f>D69*E69</f>
        <v>94.743750000000006</v>
      </c>
      <c r="H69" s="119">
        <f>G69*F69</f>
        <v>94.743750000000006</v>
      </c>
    </row>
    <row r="70" spans="1:10" ht="14.25" customHeight="1" x14ac:dyDescent="0.3">
      <c r="A70" s="269" t="s">
        <v>95</v>
      </c>
      <c r="B70" s="113" t="str">
        <f t="shared" si="13"/>
        <v>Cumin Powder - كمون مطحون</v>
      </c>
      <c r="C70" s="122" t="str">
        <f t="shared" si="13"/>
        <v>gm</v>
      </c>
      <c r="D70" s="122">
        <f t="shared" si="13"/>
        <v>2.5</v>
      </c>
      <c r="E70" s="124">
        <f>$C$53</f>
        <v>7.5795000000000003</v>
      </c>
      <c r="F70" s="126">
        <f>F10</f>
        <v>1</v>
      </c>
      <c r="G70" s="118">
        <f>D70*E70</f>
        <v>18.94875</v>
      </c>
      <c r="H70" s="119">
        <f>G70*F70</f>
        <v>18.94875</v>
      </c>
    </row>
    <row r="71" spans="1:10" ht="20.25" customHeight="1" x14ac:dyDescent="0.4">
      <c r="A71" s="210"/>
      <c r="B71" s="197" t="s">
        <v>291</v>
      </c>
      <c r="C71" s="199" t="s">
        <v>277</v>
      </c>
      <c r="D71" s="14"/>
      <c r="E71" s="199" t="s">
        <v>292</v>
      </c>
      <c r="F71" s="14"/>
      <c r="G71" s="878" t="s">
        <v>268</v>
      </c>
      <c r="H71" s="878" t="s">
        <v>703</v>
      </c>
      <c r="I71" s="203"/>
      <c r="J71" s="202"/>
    </row>
    <row r="72" spans="1:10" ht="20" x14ac:dyDescent="0.4">
      <c r="A72" s="210"/>
      <c r="B72" s="198">
        <f>$J$53</f>
        <v>50530</v>
      </c>
      <c r="C72" s="198">
        <f>E72+G72</f>
        <v>7579.5</v>
      </c>
      <c r="D72" s="915"/>
      <c r="E72" s="198">
        <f>$D$53*$S$44</f>
        <v>0</v>
      </c>
      <c r="F72" s="919"/>
      <c r="G72" s="198">
        <f>$D$53*$T$44</f>
        <v>7579.5</v>
      </c>
      <c r="H72" s="198">
        <f>B72+E72</f>
        <v>50530</v>
      </c>
    </row>
  </sheetData>
  <mergeCells count="7">
    <mergeCell ref="AK2:AN3"/>
    <mergeCell ref="B63:H63"/>
    <mergeCell ref="AE2:AG3"/>
    <mergeCell ref="F2:G3"/>
    <mergeCell ref="R26:U26"/>
    <mergeCell ref="B62:H62"/>
    <mergeCell ref="R25:U25"/>
  </mergeCells>
  <printOptions horizontalCentered="1"/>
  <pageMargins left="0.5" right="0.5" top="1" bottom="0.5" header="0.3" footer="0.511811023622047"/>
  <pageSetup paperSize="9" scale="32" orientation="portrait" r:id="rId1"/>
  <legacyDrawing r:id="rId2"/>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74">
    <tabColor rgb="FF333F50"/>
    <pageSetUpPr fitToPage="1"/>
  </sheetPr>
  <dimension ref="A1:AG131"/>
  <sheetViews>
    <sheetView topLeftCell="Q11" zoomScale="85" zoomScaleNormal="85" workbookViewId="0">
      <selection activeCell="Q43" sqref="Q43:T44"/>
    </sheetView>
  </sheetViews>
  <sheetFormatPr defaultColWidth="12.5" defaultRowHeight="14" x14ac:dyDescent="0.3"/>
  <cols>
    <col min="1" max="1" width="12.5" style="1" customWidth="1"/>
    <col min="2" max="2" width="30.9140625" customWidth="1"/>
    <col min="3" max="3" width="19.75" customWidth="1"/>
    <col min="4" max="4" width="19" customWidth="1"/>
    <col min="5" max="5" width="16.1640625" customWidth="1"/>
    <col min="6" max="6" width="23.08203125" customWidth="1"/>
    <col min="7" max="7" width="25.1640625" customWidth="1"/>
    <col min="8" max="8" width="36.1640625" customWidth="1"/>
    <col min="12" max="12" width="8.33203125" customWidth="1"/>
    <col min="13" max="14" width="6.1640625" customWidth="1"/>
    <col min="18" max="18" width="32" customWidth="1"/>
    <col min="30" max="31" width="12.5" style="819"/>
  </cols>
  <sheetData>
    <row r="1" spans="1:33" ht="35.25" customHeight="1" x14ac:dyDescent="0.3">
      <c r="B1" s="79" t="s">
        <v>235</v>
      </c>
      <c r="C1" s="80">
        <v>1000</v>
      </c>
      <c r="D1" s="81" t="s">
        <v>236</v>
      </c>
      <c r="E1" s="116">
        <f>T32</f>
        <v>18942</v>
      </c>
      <c r="F1" s="79" t="s">
        <v>237</v>
      </c>
      <c r="G1" s="120">
        <f>E1/C1</f>
        <v>18.942</v>
      </c>
      <c r="H1" s="79" t="s">
        <v>238</v>
      </c>
      <c r="I1" s="608">
        <f>G1/K1</f>
        <v>19.527835051546393</v>
      </c>
      <c r="J1" s="85" t="s">
        <v>239</v>
      </c>
      <c r="K1" s="99">
        <f>9.7/10</f>
        <v>0.97</v>
      </c>
      <c r="M1" s="88"/>
      <c r="N1" s="89"/>
      <c r="O1" s="90" t="s">
        <v>240</v>
      </c>
      <c r="P1" s="91" t="s">
        <v>293</v>
      </c>
      <c r="Q1" s="92" t="s">
        <v>242</v>
      </c>
      <c r="R1" s="91">
        <v>0.5</v>
      </c>
      <c r="Y1" s="90" t="s">
        <v>463</v>
      </c>
      <c r="Z1" s="835">
        <v>26060</v>
      </c>
      <c r="AA1" s="90" t="s">
        <v>578</v>
      </c>
      <c r="AB1" s="835">
        <v>1000</v>
      </c>
      <c r="AC1" s="90" t="s">
        <v>567</v>
      </c>
      <c r="AD1" s="835">
        <v>181</v>
      </c>
      <c r="AE1" s="814"/>
      <c r="AF1" s="251"/>
      <c r="AG1" s="91"/>
    </row>
    <row r="2" spans="1:33" ht="12.75" customHeight="1" x14ac:dyDescent="0.3">
      <c r="A2" s="264"/>
      <c r="B2" s="1450" t="s">
        <v>163</v>
      </c>
      <c r="C2" s="1458"/>
      <c r="D2" s="1458"/>
      <c r="E2" s="1458"/>
      <c r="F2" s="1458"/>
      <c r="G2" s="1458"/>
      <c r="H2" s="1458"/>
      <c r="I2" s="1458"/>
      <c r="J2" s="1458"/>
      <c r="K2" s="1458"/>
      <c r="L2" s="292"/>
      <c r="M2" s="99"/>
      <c r="N2" s="99"/>
      <c r="O2" s="99"/>
      <c r="P2" s="99"/>
      <c r="Q2" s="99"/>
      <c r="R2" s="99"/>
      <c r="AC2" s="98"/>
      <c r="AD2" s="815"/>
      <c r="AE2" s="815"/>
    </row>
    <row r="3" spans="1:33" ht="12.75" customHeight="1" x14ac:dyDescent="0.3">
      <c r="A3" s="264"/>
      <c r="B3" s="1444"/>
      <c r="C3" s="1444"/>
      <c r="D3" s="1444"/>
      <c r="E3" s="1444"/>
      <c r="F3" s="1444"/>
      <c r="G3" s="1444"/>
      <c r="H3" s="1444"/>
      <c r="I3" s="1444"/>
      <c r="J3" s="1444"/>
      <c r="K3" s="1444"/>
      <c r="L3" s="292"/>
      <c r="M3" s="99"/>
      <c r="N3" s="99"/>
      <c r="O3" s="99"/>
      <c r="P3" s="99"/>
      <c r="Q3" s="99"/>
      <c r="R3" s="99"/>
      <c r="AC3" s="98"/>
      <c r="AD3" s="815"/>
      <c r="AE3" s="815"/>
    </row>
    <row r="4" spans="1:33" ht="35.25" customHeight="1" x14ac:dyDescent="0.3">
      <c r="A4" s="90" t="s">
        <v>1</v>
      </c>
      <c r="B4" s="90" t="s">
        <v>245</v>
      </c>
      <c r="C4" s="106" t="s">
        <v>246</v>
      </c>
      <c r="D4" s="90" t="s">
        <v>235</v>
      </c>
      <c r="E4" s="107" t="s">
        <v>238</v>
      </c>
      <c r="F4" s="107" t="s">
        <v>247</v>
      </c>
      <c r="G4" s="90" t="s">
        <v>248</v>
      </c>
      <c r="H4" s="330" t="s">
        <v>339</v>
      </c>
      <c r="I4" s="90" t="s">
        <v>250</v>
      </c>
      <c r="J4" s="90" t="s">
        <v>251</v>
      </c>
      <c r="K4" s="90" t="s">
        <v>252</v>
      </c>
      <c r="L4" s="90" t="s">
        <v>253</v>
      </c>
      <c r="M4" s="99"/>
      <c r="N4" s="99"/>
      <c r="O4" s="99"/>
      <c r="P4" s="99"/>
      <c r="AA4" s="250"/>
      <c r="AB4" s="252"/>
      <c r="AC4" s="250"/>
      <c r="AD4" s="813"/>
      <c r="AE4" s="813"/>
    </row>
    <row r="5" spans="1:33" ht="14.25" customHeight="1" x14ac:dyDescent="0.3">
      <c r="A5" s="265" t="s">
        <v>225</v>
      </c>
      <c r="B5" s="308" t="s">
        <v>224</v>
      </c>
      <c r="C5" s="114" t="s">
        <v>14</v>
      </c>
      <c r="D5" s="267">
        <f>I51/10</f>
        <v>2857.2</v>
      </c>
      <c r="E5" s="125">
        <f>H52</f>
        <v>18.941621167576649</v>
      </c>
      <c r="F5" s="126">
        <v>1</v>
      </c>
      <c r="G5" s="118">
        <f t="shared" ref="G5:G21" si="0">D5*E5</f>
        <v>54120</v>
      </c>
      <c r="H5" s="119">
        <f t="shared" ref="H5:H21" si="1">G5*F5</f>
        <v>54120</v>
      </c>
      <c r="I5" s="80">
        <f>VLOOKUP(B5,All_Ingredients!$A$1:$F$149,6,FALSE())</f>
        <v>0.86</v>
      </c>
      <c r="J5" s="118">
        <f>VLOOKUP(B5,All_Ingredients!$A$1:$J$149,10,FALSE())</f>
        <v>17.100000000000001</v>
      </c>
      <c r="K5" s="121">
        <f t="shared" ref="K5" si="2">(H5/I5)/1000</f>
        <v>62.930232558139537</v>
      </c>
      <c r="L5" s="121">
        <f t="shared" ref="L5" si="3">K5*J5</f>
        <v>1076.1069767441861</v>
      </c>
      <c r="M5" s="99"/>
      <c r="N5" s="99"/>
      <c r="O5" s="99"/>
      <c r="P5" s="99"/>
      <c r="AA5" s="91"/>
      <c r="AB5" s="132"/>
      <c r="AC5" s="253"/>
      <c r="AD5" s="816"/>
      <c r="AE5" s="817"/>
    </row>
    <row r="6" spans="1:33" ht="14.25" customHeight="1" x14ac:dyDescent="0.3">
      <c r="A6" s="269" t="s">
        <v>13</v>
      </c>
      <c r="B6" s="22" t="s">
        <v>732</v>
      </c>
      <c r="C6" s="123" t="s">
        <v>14</v>
      </c>
      <c r="D6" s="124">
        <v>520</v>
      </c>
      <c r="E6" s="196">
        <f t="shared" ref="E6:E21" si="4">$I$1</f>
        <v>19.527835051546393</v>
      </c>
      <c r="F6" s="126">
        <v>1</v>
      </c>
      <c r="G6" s="118">
        <f t="shared" si="0"/>
        <v>10154.474226804125</v>
      </c>
      <c r="H6" s="119">
        <f t="shared" si="1"/>
        <v>10154.474226804125</v>
      </c>
      <c r="I6" s="80">
        <f>VLOOKUP(B6,All_Ingredients!$A$1:$F$149,6,FALSE())</f>
        <v>1</v>
      </c>
      <c r="J6" s="118">
        <f>VLOOKUP(B6,All_Ingredients!$A$1:$J$149,10,FALSE())</f>
        <v>4.125</v>
      </c>
      <c r="K6" s="121">
        <f t="shared" ref="K6:K21" si="5">(H6/I6)/1000</f>
        <v>10.154474226804124</v>
      </c>
      <c r="L6" s="121">
        <f t="shared" ref="L6:L21" si="6">K6*J6</f>
        <v>41.88720618556701</v>
      </c>
    </row>
    <row r="7" spans="1:33" ht="14.25" customHeight="1" x14ac:dyDescent="0.3">
      <c r="A7" s="269" t="s">
        <v>206</v>
      </c>
      <c r="B7" s="22" t="s">
        <v>552</v>
      </c>
      <c r="C7" s="123" t="s">
        <v>161</v>
      </c>
      <c r="D7" s="124">
        <v>600</v>
      </c>
      <c r="E7" s="196">
        <f t="shared" si="4"/>
        <v>19.527835051546393</v>
      </c>
      <c r="F7" s="126">
        <v>0.95</v>
      </c>
      <c r="G7" s="118">
        <f t="shared" si="0"/>
        <v>11716.701030927836</v>
      </c>
      <c r="H7" s="119">
        <f t="shared" si="1"/>
        <v>11130.865979381444</v>
      </c>
      <c r="I7" s="80">
        <f>VLOOKUP(B7,All_Ingredients!$A$1:$F$149,6,FALSE())</f>
        <v>1</v>
      </c>
      <c r="J7" s="118">
        <f>VLOOKUP(B7,All_Ingredients!$A$1:$J$149,10,FALSE())</f>
        <v>0</v>
      </c>
      <c r="K7" s="121">
        <f t="shared" si="5"/>
        <v>11.130865979381444</v>
      </c>
      <c r="L7" s="121">
        <f t="shared" si="6"/>
        <v>0</v>
      </c>
    </row>
    <row r="8" spans="1:33" ht="14.25" customHeight="1" x14ac:dyDescent="0.3">
      <c r="A8" s="269" t="s">
        <v>95</v>
      </c>
      <c r="B8" s="22" t="s">
        <v>106</v>
      </c>
      <c r="C8" s="123" t="s">
        <v>14</v>
      </c>
      <c r="D8" s="124">
        <v>4</v>
      </c>
      <c r="E8" s="196">
        <f t="shared" si="4"/>
        <v>19.527835051546393</v>
      </c>
      <c r="F8" s="126">
        <v>0.75</v>
      </c>
      <c r="G8" s="118">
        <f t="shared" si="0"/>
        <v>78.111340206185574</v>
      </c>
      <c r="H8" s="119">
        <f t="shared" si="1"/>
        <v>58.583505154639184</v>
      </c>
      <c r="I8" s="80">
        <f>VLOOKUP(B8,All_Ingredients!$A$1:$F$149,6,FALSE())</f>
        <v>1</v>
      </c>
      <c r="J8" s="118">
        <f>VLOOKUP(B8,All_Ingredients!$A$1:$J$149,10,FALSE())</f>
        <v>15</v>
      </c>
      <c r="K8" s="121">
        <f t="shared" si="5"/>
        <v>5.8583505154639184E-2</v>
      </c>
      <c r="L8" s="121">
        <f t="shared" si="6"/>
        <v>0.87875257731958778</v>
      </c>
    </row>
    <row r="9" spans="1:33" ht="14.25" customHeight="1" x14ac:dyDescent="0.3">
      <c r="A9" s="269" t="s">
        <v>95</v>
      </c>
      <c r="B9" s="22" t="s">
        <v>108</v>
      </c>
      <c r="C9" s="123" t="s">
        <v>14</v>
      </c>
      <c r="D9" s="124">
        <v>4</v>
      </c>
      <c r="E9" s="196">
        <f t="shared" si="4"/>
        <v>19.527835051546393</v>
      </c>
      <c r="F9" s="126">
        <v>0.75</v>
      </c>
      <c r="G9" s="118">
        <f t="shared" si="0"/>
        <v>78.111340206185574</v>
      </c>
      <c r="H9" s="119">
        <f t="shared" si="1"/>
        <v>58.583505154639184</v>
      </c>
      <c r="I9" s="80">
        <f>VLOOKUP(B9,All_Ingredients!$A$1:$F$149,6,FALSE())</f>
        <v>1</v>
      </c>
      <c r="J9" s="118">
        <f>VLOOKUP(B9,All_Ingredients!$A$1:$J$149,10,FALSE())</f>
        <v>8</v>
      </c>
      <c r="K9" s="121">
        <f t="shared" si="5"/>
        <v>5.8583505154639184E-2</v>
      </c>
      <c r="L9" s="121">
        <f t="shared" si="6"/>
        <v>0.46866804123711348</v>
      </c>
    </row>
    <row r="10" spans="1:33" ht="14.25" customHeight="1" x14ac:dyDescent="0.3">
      <c r="A10" s="269" t="s">
        <v>95</v>
      </c>
      <c r="B10" s="22" t="s">
        <v>123</v>
      </c>
      <c r="C10" s="123" t="s">
        <v>14</v>
      </c>
      <c r="D10" s="124">
        <v>4</v>
      </c>
      <c r="E10" s="196">
        <f t="shared" si="4"/>
        <v>19.527835051546393</v>
      </c>
      <c r="F10" s="126">
        <v>0.9</v>
      </c>
      <c r="G10" s="118">
        <f t="shared" si="0"/>
        <v>78.111340206185574</v>
      </c>
      <c r="H10" s="119">
        <f t="shared" si="1"/>
        <v>70.300206185567021</v>
      </c>
      <c r="I10" s="80">
        <f>VLOOKUP(B10,All_Ingredients!$A$1:$F$149,6,FALSE())</f>
        <v>1</v>
      </c>
      <c r="J10" s="118">
        <f>VLOOKUP(B10,All_Ingredients!$A$1:$J$149,10,FALSE())</f>
        <v>14</v>
      </c>
      <c r="K10" s="121">
        <f t="shared" si="5"/>
        <v>7.0300206185567024E-2</v>
      </c>
      <c r="L10" s="121">
        <f t="shared" si="6"/>
        <v>0.98420288659793831</v>
      </c>
    </row>
    <row r="11" spans="1:33" ht="14.25" customHeight="1" x14ac:dyDescent="0.3">
      <c r="A11" s="269" t="s">
        <v>95</v>
      </c>
      <c r="B11" s="22" t="s">
        <v>100</v>
      </c>
      <c r="C11" s="123" t="s">
        <v>14</v>
      </c>
      <c r="D11" s="124">
        <v>4</v>
      </c>
      <c r="E11" s="196">
        <f t="shared" si="4"/>
        <v>19.527835051546393</v>
      </c>
      <c r="F11" s="126">
        <v>0.9</v>
      </c>
      <c r="G11" s="118">
        <f t="shared" si="0"/>
        <v>78.111340206185574</v>
      </c>
      <c r="H11" s="119">
        <f t="shared" si="1"/>
        <v>70.300206185567021</v>
      </c>
      <c r="I11" s="80">
        <f>VLOOKUP(B11,All_Ingredients!$A$1:$F$149,6,FALSE())</f>
        <v>1</v>
      </c>
      <c r="J11" s="118">
        <f>VLOOKUP(B11,All_Ingredients!$A$1:$J$149,10,FALSE())</f>
        <v>31</v>
      </c>
      <c r="K11" s="121">
        <f t="shared" si="5"/>
        <v>7.0300206185567024E-2</v>
      </c>
      <c r="L11" s="121">
        <f t="shared" si="6"/>
        <v>2.1793063917525779</v>
      </c>
    </row>
    <row r="12" spans="1:33" ht="14.25" customHeight="1" x14ac:dyDescent="0.3">
      <c r="A12" s="269" t="s">
        <v>95</v>
      </c>
      <c r="B12" s="22" t="s">
        <v>94</v>
      </c>
      <c r="C12" s="123" t="s">
        <v>14</v>
      </c>
      <c r="D12" s="124">
        <v>11</v>
      </c>
      <c r="E12" s="196">
        <f t="shared" si="4"/>
        <v>19.527835051546393</v>
      </c>
      <c r="F12" s="126">
        <v>0.75</v>
      </c>
      <c r="G12" s="118">
        <f t="shared" si="0"/>
        <v>214.80618556701032</v>
      </c>
      <c r="H12" s="119">
        <f t="shared" si="1"/>
        <v>161.10463917525774</v>
      </c>
      <c r="I12" s="80">
        <f>VLOOKUP(B12,All_Ingredients!$A$1:$F$149,6,FALSE())</f>
        <v>1</v>
      </c>
      <c r="J12" s="118">
        <f>VLOOKUP(B12,All_Ingredients!$A$1:$J$149,10,FALSE())</f>
        <v>0.74</v>
      </c>
      <c r="K12" s="121">
        <f t="shared" si="5"/>
        <v>0.16110463917525775</v>
      </c>
      <c r="L12" s="121">
        <f t="shared" si="6"/>
        <v>0.11921743298969073</v>
      </c>
    </row>
    <row r="13" spans="1:33" ht="14.25" customHeight="1" x14ac:dyDescent="0.3">
      <c r="A13" s="269" t="s">
        <v>13</v>
      </c>
      <c r="B13" s="22" t="s">
        <v>762</v>
      </c>
      <c r="C13" s="123" t="s">
        <v>14</v>
      </c>
      <c r="D13" s="124">
        <v>25</v>
      </c>
      <c r="E13" s="196">
        <f t="shared" si="4"/>
        <v>19.527835051546393</v>
      </c>
      <c r="F13" s="126">
        <v>1</v>
      </c>
      <c r="G13" s="118">
        <f t="shared" si="0"/>
        <v>488.19587628865986</v>
      </c>
      <c r="H13" s="119">
        <f t="shared" si="1"/>
        <v>488.19587628865986</v>
      </c>
      <c r="I13" s="80">
        <f>VLOOKUP(B13,All_Ingredients!$A$1:$F$149,6,FALSE())</f>
        <v>1</v>
      </c>
      <c r="J13" s="118">
        <f>VLOOKUP(B13,All_Ingredients!$A$1:$J$149,10,FALSE())</f>
        <v>10.5</v>
      </c>
      <c r="K13" s="121">
        <f t="shared" si="5"/>
        <v>0.48819587628865985</v>
      </c>
      <c r="L13" s="121">
        <f t="shared" si="6"/>
        <v>5.1260567010309286</v>
      </c>
    </row>
    <row r="14" spans="1:33" ht="14.25" customHeight="1" x14ac:dyDescent="0.3">
      <c r="A14" s="269" t="s">
        <v>154</v>
      </c>
      <c r="B14" s="22" t="s">
        <v>157</v>
      </c>
      <c r="C14" s="123" t="s">
        <v>14</v>
      </c>
      <c r="D14" s="124">
        <v>38</v>
      </c>
      <c r="E14" s="196">
        <f t="shared" si="4"/>
        <v>19.527835051546393</v>
      </c>
      <c r="F14" s="126">
        <v>1</v>
      </c>
      <c r="G14" s="118">
        <f t="shared" si="0"/>
        <v>742.05773195876293</v>
      </c>
      <c r="H14" s="119">
        <f t="shared" si="1"/>
        <v>742.05773195876293</v>
      </c>
      <c r="I14" s="80">
        <f>VLOOKUP(B14,All_Ingredients!$A$1:$F$149,6,FALSE())</f>
        <v>1</v>
      </c>
      <c r="J14" s="118">
        <f>VLOOKUP(B14,All_Ingredients!$A$1:$J$149,10,FALSE())</f>
        <v>46.193749999999994</v>
      </c>
      <c r="K14" s="121">
        <f t="shared" si="5"/>
        <v>0.7420577319587629</v>
      </c>
      <c r="L14" s="121">
        <f t="shared" si="6"/>
        <v>34.278429355670099</v>
      </c>
    </row>
    <row r="15" spans="1:33" ht="15" customHeight="1" x14ac:dyDescent="0.3">
      <c r="A15" s="269" t="s">
        <v>215</v>
      </c>
      <c r="B15" s="22" t="s">
        <v>218</v>
      </c>
      <c r="C15" s="123" t="s">
        <v>14</v>
      </c>
      <c r="D15" s="124">
        <v>11</v>
      </c>
      <c r="E15" s="196">
        <f t="shared" si="4"/>
        <v>19.527835051546393</v>
      </c>
      <c r="F15" s="126">
        <v>1</v>
      </c>
      <c r="G15" s="118">
        <f t="shared" si="0"/>
        <v>214.80618556701032</v>
      </c>
      <c r="H15" s="119">
        <f t="shared" si="1"/>
        <v>214.80618556701032</v>
      </c>
      <c r="I15" s="80">
        <f>VLOOKUP(B15,All_Ingredients!$A$1:$F$149,6,FALSE())</f>
        <v>1</v>
      </c>
      <c r="J15" s="118">
        <f>VLOOKUP(B15,All_Ingredients!$A$1:$J$149,10,FALSE())</f>
        <v>5</v>
      </c>
      <c r="K15" s="121">
        <f t="shared" si="5"/>
        <v>0.21480618556701031</v>
      </c>
      <c r="L15" s="121">
        <f t="shared" si="6"/>
        <v>1.0740309278350515</v>
      </c>
    </row>
    <row r="16" spans="1:33" ht="14.25" customHeight="1" x14ac:dyDescent="0.3">
      <c r="A16" s="269" t="s">
        <v>95</v>
      </c>
      <c r="B16" s="22" t="s">
        <v>140</v>
      </c>
      <c r="C16" s="123" t="s">
        <v>14</v>
      </c>
      <c r="D16" s="124">
        <v>10</v>
      </c>
      <c r="E16" s="196">
        <f t="shared" si="4"/>
        <v>19.527835051546393</v>
      </c>
      <c r="F16" s="126">
        <v>1</v>
      </c>
      <c r="G16" s="118">
        <f t="shared" si="0"/>
        <v>195.27835051546393</v>
      </c>
      <c r="H16" s="119">
        <f t="shared" si="1"/>
        <v>195.27835051546393</v>
      </c>
      <c r="I16" s="80">
        <f>VLOOKUP(B16,All_Ingredients!$A$1:$F$149,6,FALSE())</f>
        <v>1</v>
      </c>
      <c r="J16" s="118">
        <f>VLOOKUP(B16,All_Ingredients!$A$1:$J$149,10,FALSE())</f>
        <v>15.277777777777779</v>
      </c>
      <c r="K16" s="121">
        <f t="shared" si="5"/>
        <v>0.19527835051546394</v>
      </c>
      <c r="L16" s="121">
        <f t="shared" si="6"/>
        <v>2.9834192439862548</v>
      </c>
    </row>
    <row r="17" spans="1:30" ht="14.25" customHeight="1" x14ac:dyDescent="0.3">
      <c r="A17" s="269" t="s">
        <v>95</v>
      </c>
      <c r="B17" s="22" t="s">
        <v>98</v>
      </c>
      <c r="C17" s="123" t="s">
        <v>14</v>
      </c>
      <c r="D17" s="124">
        <v>3</v>
      </c>
      <c r="E17" s="196">
        <f t="shared" si="4"/>
        <v>19.527835051546393</v>
      </c>
      <c r="F17" s="126">
        <v>1</v>
      </c>
      <c r="G17" s="118">
        <f t="shared" si="0"/>
        <v>58.583505154639184</v>
      </c>
      <c r="H17" s="119">
        <f t="shared" si="1"/>
        <v>58.583505154639184</v>
      </c>
      <c r="I17" s="80">
        <f>VLOOKUP(B17,All_Ingredients!$A$1:$F$149,6,FALSE())</f>
        <v>1</v>
      </c>
      <c r="J17" s="118">
        <f>VLOOKUP(B17,All_Ingredients!$A$1:$J$149,10,FALSE())</f>
        <v>38</v>
      </c>
      <c r="K17" s="121">
        <f t="shared" si="5"/>
        <v>5.8583505154639184E-2</v>
      </c>
      <c r="L17" s="121">
        <f t="shared" si="6"/>
        <v>2.2261731958762891</v>
      </c>
    </row>
    <row r="18" spans="1:30" ht="14.25" customHeight="1" x14ac:dyDescent="0.3">
      <c r="A18" s="269" t="s">
        <v>95</v>
      </c>
      <c r="B18" s="22" t="s">
        <v>104</v>
      </c>
      <c r="C18" s="123" t="s">
        <v>14</v>
      </c>
      <c r="D18" s="124">
        <v>3</v>
      </c>
      <c r="E18" s="196">
        <f t="shared" si="4"/>
        <v>19.527835051546393</v>
      </c>
      <c r="F18" s="126">
        <v>1</v>
      </c>
      <c r="G18" s="118">
        <f t="shared" si="0"/>
        <v>58.583505154639184</v>
      </c>
      <c r="H18" s="119">
        <f t="shared" si="1"/>
        <v>58.583505154639184</v>
      </c>
      <c r="I18" s="80">
        <f>VLOOKUP(B18,All_Ingredients!$A$1:$F$149,6,FALSE())</f>
        <v>1</v>
      </c>
      <c r="J18" s="118">
        <f>VLOOKUP(B18,All_Ingredients!$A$1:$J$149,10,FALSE())</f>
        <v>19</v>
      </c>
      <c r="K18" s="121">
        <f t="shared" si="5"/>
        <v>5.8583505154639184E-2</v>
      </c>
      <c r="L18" s="121">
        <f t="shared" si="6"/>
        <v>1.1130865979381446</v>
      </c>
    </row>
    <row r="19" spans="1:30" ht="14.25" customHeight="1" x14ac:dyDescent="0.3">
      <c r="A19" s="269" t="s">
        <v>95</v>
      </c>
      <c r="B19" s="22" t="s">
        <v>125</v>
      </c>
      <c r="C19" s="123" t="s">
        <v>14</v>
      </c>
      <c r="D19" s="124">
        <v>3</v>
      </c>
      <c r="E19" s="196">
        <f t="shared" si="4"/>
        <v>19.527835051546393</v>
      </c>
      <c r="F19" s="126">
        <v>1</v>
      </c>
      <c r="G19" s="118">
        <f t="shared" si="0"/>
        <v>58.583505154639184</v>
      </c>
      <c r="H19" s="119">
        <f t="shared" si="1"/>
        <v>58.583505154639184</v>
      </c>
      <c r="I19" s="80">
        <f>VLOOKUP(B19,All_Ingredients!$A$1:$F$149,6,FALSE())</f>
        <v>1</v>
      </c>
      <c r="J19" s="118">
        <f>VLOOKUP(B19,All_Ingredients!$A$1:$J$149,10,FALSE())</f>
        <v>37</v>
      </c>
      <c r="K19" s="121">
        <f t="shared" si="5"/>
        <v>5.8583505154639184E-2</v>
      </c>
      <c r="L19" s="121">
        <f t="shared" si="6"/>
        <v>2.1675896907216496</v>
      </c>
    </row>
    <row r="20" spans="1:30" ht="14.25" customHeight="1" x14ac:dyDescent="0.3">
      <c r="A20" s="269" t="s">
        <v>95</v>
      </c>
      <c r="B20" s="22" t="s">
        <v>484</v>
      </c>
      <c r="C20" s="123" t="s">
        <v>14</v>
      </c>
      <c r="D20" s="124">
        <v>3</v>
      </c>
      <c r="E20" s="196">
        <f t="shared" si="4"/>
        <v>19.527835051546393</v>
      </c>
      <c r="F20" s="126">
        <v>1</v>
      </c>
      <c r="G20" s="118">
        <f t="shared" si="0"/>
        <v>58.583505154639184</v>
      </c>
      <c r="H20" s="119">
        <f t="shared" si="1"/>
        <v>58.583505154639184</v>
      </c>
      <c r="I20" s="80">
        <f>VLOOKUP(B20,All_Ingredients!$A$1:$F$149,6,FALSE())</f>
        <v>1</v>
      </c>
      <c r="J20" s="118">
        <f>VLOOKUP(B20,All_Ingredients!$A$1:$J$149,10,FALSE())</f>
        <v>15</v>
      </c>
      <c r="K20" s="121">
        <f t="shared" si="5"/>
        <v>5.8583505154639184E-2</v>
      </c>
      <c r="L20" s="121">
        <f t="shared" si="6"/>
        <v>0.87875257731958778</v>
      </c>
    </row>
    <row r="21" spans="1:30" ht="14.25" customHeight="1" x14ac:dyDescent="0.3">
      <c r="A21" s="269" t="s">
        <v>95</v>
      </c>
      <c r="B21" s="22" t="s">
        <v>127</v>
      </c>
      <c r="C21" s="123" t="s">
        <v>14</v>
      </c>
      <c r="D21" s="124">
        <v>3</v>
      </c>
      <c r="E21" s="196">
        <f t="shared" si="4"/>
        <v>19.527835051546393</v>
      </c>
      <c r="F21" s="126">
        <v>1</v>
      </c>
      <c r="G21" s="118">
        <f t="shared" si="0"/>
        <v>58.583505154639184</v>
      </c>
      <c r="H21" s="119">
        <f t="shared" si="1"/>
        <v>58.583505154639184</v>
      </c>
      <c r="I21" s="80">
        <f>VLOOKUP(B21,All_Ingredients!$A$1:$F$149,6,FALSE())</f>
        <v>1</v>
      </c>
      <c r="J21" s="118">
        <f>VLOOKUP(B21,All_Ingredients!$A$1:$J$149,10,FALSE())</f>
        <v>125</v>
      </c>
      <c r="K21" s="121">
        <f t="shared" si="5"/>
        <v>5.8583505154639184E-2</v>
      </c>
      <c r="L21" s="121">
        <f t="shared" si="6"/>
        <v>7.322938144329898</v>
      </c>
    </row>
    <row r="22" spans="1:30" ht="14.25" customHeight="1" x14ac:dyDescent="0.3">
      <c r="B22" s="99"/>
      <c r="E22" s="99"/>
      <c r="F22" s="99"/>
      <c r="L22" s="208"/>
    </row>
    <row r="23" spans="1:30" ht="14.25" customHeight="1" x14ac:dyDescent="0.3">
      <c r="L23" s="208"/>
    </row>
    <row r="24" spans="1:30" ht="14.25" customHeight="1" x14ac:dyDescent="0.3">
      <c r="L24" s="208"/>
      <c r="Z24" s="1265"/>
    </row>
    <row r="25" spans="1:30" ht="14.25" customHeight="1" x14ac:dyDescent="0.35">
      <c r="L25" s="208"/>
      <c r="R25" s="1440" t="s">
        <v>485</v>
      </c>
      <c r="S25" s="1444"/>
      <c r="T25" s="1444"/>
      <c r="U25" s="1444"/>
      <c r="Z25" s="140" t="s">
        <v>256</v>
      </c>
      <c r="AA25" s="141">
        <v>1</v>
      </c>
      <c r="AB25" s="140" t="s">
        <v>253</v>
      </c>
      <c r="AC25" s="1207">
        <f>(AA25*(1.7))*AD30</f>
        <v>4.3599216803191343E-2</v>
      </c>
      <c r="AD25"/>
    </row>
    <row r="26" spans="1:30" ht="14.25" customHeight="1" x14ac:dyDescent="0.3">
      <c r="L26" s="208"/>
      <c r="R26" s="1445" t="s">
        <v>426</v>
      </c>
      <c r="S26" s="1446"/>
      <c r="T26" s="1446"/>
      <c r="U26" s="1446"/>
      <c r="AB26" s="14"/>
      <c r="AC26" s="14"/>
      <c r="AD26" s="14"/>
    </row>
    <row r="27" spans="1:30" ht="14.25" customHeight="1" thickBot="1" x14ac:dyDescent="0.35">
      <c r="R27" s="144" t="s">
        <v>258</v>
      </c>
      <c r="S27" s="145" t="s">
        <v>259</v>
      </c>
      <c r="T27" s="145" t="s">
        <v>260</v>
      </c>
      <c r="U27" s="145" t="s">
        <v>261</v>
      </c>
      <c r="V27" s="145" t="s">
        <v>817</v>
      </c>
      <c r="Z27" s="140" t="s">
        <v>262</v>
      </c>
      <c r="AA27" s="146" t="s">
        <v>263</v>
      </c>
      <c r="AB27" s="146" t="s">
        <v>265</v>
      </c>
      <c r="AC27" s="1167" t="s">
        <v>817</v>
      </c>
      <c r="AD27" s="146" t="s">
        <v>266</v>
      </c>
    </row>
    <row r="28" spans="1:30" ht="14.25" customHeight="1" thickBot="1" x14ac:dyDescent="0.35">
      <c r="R28" s="147" t="s">
        <v>267</v>
      </c>
      <c r="S28" s="760">
        <f>Z1</f>
        <v>26060</v>
      </c>
      <c r="T28" s="148"/>
      <c r="U28" s="754">
        <f>S28/S40</f>
        <v>26060</v>
      </c>
      <c r="V28" s="148">
        <f>G37</f>
        <v>0</v>
      </c>
      <c r="Z28" s="150"/>
      <c r="AA28" s="151">
        <f>AA25*$S$40</f>
        <v>1</v>
      </c>
      <c r="AB28" s="152">
        <f>AA25*0.7</f>
        <v>0.7</v>
      </c>
      <c r="AC28" s="1169"/>
      <c r="AD28" s="1289">
        <f>SUM(AA28:AB28)</f>
        <v>1.7</v>
      </c>
    </row>
    <row r="29" spans="1:30" ht="14.25" customHeight="1" thickBot="1" x14ac:dyDescent="0.35">
      <c r="B29" s="99"/>
      <c r="E29" s="99"/>
      <c r="F29" s="99"/>
      <c r="R29" s="147" t="s">
        <v>268</v>
      </c>
      <c r="S29" s="154"/>
      <c r="T29" s="148">
        <f>S28*0.7</f>
        <v>18242</v>
      </c>
      <c r="U29" s="754">
        <f>T29</f>
        <v>18242</v>
      </c>
      <c r="V29" s="148"/>
      <c r="Z29" s="150"/>
      <c r="AA29" s="155">
        <f>AA28/$AD$28</f>
        <v>0.58823529411764708</v>
      </c>
      <c r="AB29" s="155">
        <f>AB28/$AD$28</f>
        <v>0.41176470588235292</v>
      </c>
      <c r="AC29" s="1173"/>
      <c r="AD29" s="155">
        <f>AD28/$AD$28</f>
        <v>1</v>
      </c>
    </row>
    <row r="30" spans="1:30" ht="14.25" customHeight="1" thickBot="1" x14ac:dyDescent="0.35">
      <c r="B30" s="99"/>
      <c r="E30" s="99"/>
      <c r="F30" s="99"/>
      <c r="R30" s="147" t="s">
        <v>269</v>
      </c>
      <c r="S30" s="1329">
        <f>AB1</f>
        <v>1000</v>
      </c>
      <c r="T30" s="756">
        <f>S30*0.7</f>
        <v>700</v>
      </c>
      <c r="U30" s="756">
        <f>S30/S40</f>
        <v>1000</v>
      </c>
      <c r="V30" s="1124"/>
      <c r="Z30" s="140" t="s">
        <v>270</v>
      </c>
      <c r="AA30" s="156">
        <f>S35/(S32)</f>
        <v>3.9767441860465116E-2</v>
      </c>
      <c r="AB30" s="157">
        <f>T35/T32</f>
        <v>5.473964203894616E-3</v>
      </c>
      <c r="AC30" s="1180">
        <f>V35/U32</f>
        <v>0</v>
      </c>
      <c r="AD30" s="1182">
        <f>SUMPRODUCT(AA30:AB30,AA29:AB29)+AC30</f>
        <v>2.5646598119524321E-2</v>
      </c>
    </row>
    <row r="31" spans="1:30" ht="14.25" customHeight="1" thickBot="1" x14ac:dyDescent="0.35">
      <c r="B31" s="99"/>
      <c r="E31" s="99"/>
      <c r="F31" s="99"/>
      <c r="R31" s="147" t="s">
        <v>271</v>
      </c>
      <c r="S31" s="154"/>
      <c r="T31" s="148"/>
      <c r="U31" s="148"/>
      <c r="V31" s="148"/>
    </row>
    <row r="32" spans="1:30" ht="14.25" customHeight="1" thickBot="1" x14ac:dyDescent="0.35">
      <c r="B32" s="99"/>
      <c r="E32" s="99"/>
      <c r="F32" s="99"/>
      <c r="R32" s="159" t="s">
        <v>261</v>
      </c>
      <c r="S32" s="148">
        <f>SUM(S28:S30)</f>
        <v>27060</v>
      </c>
      <c r="T32" s="148">
        <f>SUM(T28:T30)</f>
        <v>18942</v>
      </c>
      <c r="U32" s="148">
        <f>SUM(S32:T32)</f>
        <v>46002</v>
      </c>
      <c r="V32" s="148">
        <f>SUM(V28:V30)</f>
        <v>0</v>
      </c>
    </row>
    <row r="33" spans="2:23" ht="14.25" customHeight="1" thickBot="1" x14ac:dyDescent="0.35">
      <c r="B33" s="99"/>
      <c r="E33" s="99"/>
      <c r="F33" s="99"/>
      <c r="R33" s="160" t="s">
        <v>272</v>
      </c>
      <c r="S33" s="154"/>
      <c r="T33" s="154"/>
      <c r="U33" s="154"/>
      <c r="V33" s="154"/>
    </row>
    <row r="34" spans="2:23" ht="14.25" customHeight="1" thickBot="1" x14ac:dyDescent="0.35">
      <c r="B34" s="99"/>
      <c r="E34" s="99"/>
      <c r="F34" s="99"/>
      <c r="R34" s="161" t="s">
        <v>273</v>
      </c>
      <c r="S34" s="154"/>
      <c r="T34" s="148"/>
      <c r="U34" s="154"/>
      <c r="V34" s="154"/>
    </row>
    <row r="35" spans="2:23" ht="14.25" customHeight="1" thickBot="1" x14ac:dyDescent="0.35">
      <c r="R35" s="162" t="s">
        <v>253</v>
      </c>
      <c r="S35" s="1125">
        <f>$L$5</f>
        <v>1076.1069767441861</v>
      </c>
      <c r="T35" s="1125">
        <f>SUM(L6:L21)</f>
        <v>103.68782995017182</v>
      </c>
      <c r="U35" s="1125">
        <f>S35+T35+V35</f>
        <v>1179.7948066943579</v>
      </c>
      <c r="V35" s="1125">
        <f>K37</f>
        <v>0</v>
      </c>
    </row>
    <row r="40" spans="2:23" ht="14.75" customHeight="1" x14ac:dyDescent="0.3">
      <c r="Q40" s="14"/>
      <c r="R40" s="164" t="s">
        <v>274</v>
      </c>
      <c r="S40" s="238">
        <v>1</v>
      </c>
      <c r="T40" s="164" t="s">
        <v>275</v>
      </c>
      <c r="U40" s="238">
        <v>0</v>
      </c>
      <c r="V40" s="167">
        <f>S40+U40</f>
        <v>1</v>
      </c>
      <c r="W40" s="14"/>
    </row>
    <row r="41" spans="2:23" ht="14.25" customHeight="1" x14ac:dyDescent="0.3">
      <c r="Q41" s="14"/>
      <c r="R41" s="14"/>
      <c r="S41" s="14"/>
      <c r="T41" s="14"/>
      <c r="U41" s="168"/>
      <c r="V41" s="14"/>
      <c r="W41" s="14"/>
    </row>
    <row r="42" spans="2:23" ht="14.25" customHeight="1" x14ac:dyDescent="0.3">
      <c r="Q42" s="14"/>
      <c r="R42" s="14"/>
      <c r="S42" s="14"/>
      <c r="T42" s="14"/>
      <c r="U42" s="14"/>
      <c r="V42" s="14"/>
      <c r="W42" s="14"/>
    </row>
    <row r="43" spans="2:23" ht="14.25" customHeight="1" x14ac:dyDescent="0.3">
      <c r="Q43" s="169" t="s">
        <v>276</v>
      </c>
      <c r="R43" s="169" t="s">
        <v>277</v>
      </c>
      <c r="S43" s="169" t="s">
        <v>278</v>
      </c>
      <c r="T43" s="169" t="s">
        <v>279</v>
      </c>
      <c r="U43" s="169" t="s">
        <v>280</v>
      </c>
      <c r="V43" s="169" t="s">
        <v>281</v>
      </c>
      <c r="W43" s="169" t="s">
        <v>282</v>
      </c>
    </row>
    <row r="44" spans="2:23" ht="14.25" customHeight="1" x14ac:dyDescent="0.3">
      <c r="Q44" s="171">
        <v>14286</v>
      </c>
      <c r="R44" s="172">
        <f>D51</f>
        <v>10000</v>
      </c>
      <c r="S44" s="173">
        <v>0</v>
      </c>
      <c r="T44" s="173">
        <v>1</v>
      </c>
      <c r="U44" s="241">
        <f>R44*S44</f>
        <v>0</v>
      </c>
      <c r="V44" s="175">
        <f>R44*T44</f>
        <v>10000</v>
      </c>
      <c r="W44" s="175">
        <f>Q44-U44</f>
        <v>14286</v>
      </c>
    </row>
    <row r="50" spans="1:10" x14ac:dyDescent="0.3">
      <c r="B50" s="144"/>
      <c r="C50" s="144" t="s">
        <v>237</v>
      </c>
      <c r="D50" s="144" t="s">
        <v>283</v>
      </c>
      <c r="E50" s="99"/>
      <c r="F50" s="99"/>
      <c r="G50" s="144" t="s">
        <v>284</v>
      </c>
      <c r="H50" s="144" t="s">
        <v>237</v>
      </c>
      <c r="I50" s="144" t="s">
        <v>285</v>
      </c>
      <c r="J50" s="144" t="s">
        <v>286</v>
      </c>
    </row>
    <row r="51" spans="1:10" x14ac:dyDescent="0.3">
      <c r="B51" s="179" t="s">
        <v>287</v>
      </c>
      <c r="C51" s="180">
        <f>10/$K$1</f>
        <v>10.309278350515465</v>
      </c>
      <c r="D51" s="181">
        <f>$C$1*10</f>
        <v>10000</v>
      </c>
      <c r="E51" s="182"/>
      <c r="F51" s="99"/>
      <c r="G51" s="179" t="s">
        <v>287</v>
      </c>
      <c r="H51" s="276">
        <f>I51/$D$5</f>
        <v>10</v>
      </c>
      <c r="I51" s="180">
        <f>J51/$R$1</f>
        <v>28572</v>
      </c>
      <c r="J51" s="180">
        <f>$W$44</f>
        <v>14286</v>
      </c>
    </row>
    <row r="52" spans="1:10" x14ac:dyDescent="0.3">
      <c r="B52" s="230" t="s">
        <v>266</v>
      </c>
      <c r="C52" s="231">
        <f>$I$1</f>
        <v>19.527835051546393</v>
      </c>
      <c r="D52" s="232">
        <f>$E$1</f>
        <v>18942</v>
      </c>
      <c r="E52" s="99"/>
      <c r="F52" s="99"/>
      <c r="G52" s="147" t="s">
        <v>266</v>
      </c>
      <c r="H52" s="209">
        <f>I52/$D$5</f>
        <v>18.941621167576649</v>
      </c>
      <c r="I52" s="175">
        <f>J52/$R$1</f>
        <v>54120</v>
      </c>
      <c r="J52" s="183">
        <f>$S$32</f>
        <v>27060</v>
      </c>
    </row>
    <row r="53" spans="1:10" x14ac:dyDescent="0.3">
      <c r="B53" s="230" t="s">
        <v>288</v>
      </c>
      <c r="C53" s="233">
        <f>MIN(C52, C51)</f>
        <v>10.309278350515465</v>
      </c>
      <c r="D53" s="232">
        <f>(C53*$K$1)*$C$1</f>
        <v>10000</v>
      </c>
      <c r="E53" s="99"/>
      <c r="F53" s="99"/>
      <c r="G53" s="147" t="s">
        <v>288</v>
      </c>
      <c r="H53" s="186">
        <f>MIN(H52,H51)</f>
        <v>10</v>
      </c>
      <c r="I53" s="175">
        <f>J53/$R$1</f>
        <v>28572</v>
      </c>
      <c r="J53" s="175">
        <f>MIN(J52,J51)</f>
        <v>14286</v>
      </c>
    </row>
    <row r="54" spans="1:10" x14ac:dyDescent="0.3">
      <c r="B54" s="230" t="s">
        <v>289</v>
      </c>
      <c r="C54" s="233">
        <f>MIN(MAX(C52-C53,0),C51)</f>
        <v>9.2185567010309288</v>
      </c>
      <c r="D54" s="232">
        <f>(C54*$K$1)*$C$1</f>
        <v>8942</v>
      </c>
      <c r="E54" s="99"/>
      <c r="F54" s="99"/>
      <c r="G54" s="147" t="s">
        <v>289</v>
      </c>
      <c r="H54" s="186">
        <f>MIN(MAX(H52-H53),H51)</f>
        <v>8.941621167576649</v>
      </c>
      <c r="I54" s="175">
        <f>J54/$R$1</f>
        <v>25548</v>
      </c>
      <c r="J54" s="175">
        <f>MIN(MAX(J52-J53),J51)</f>
        <v>12774</v>
      </c>
    </row>
    <row r="55" spans="1:10" x14ac:dyDescent="0.3">
      <c r="B55" s="230" t="s">
        <v>290</v>
      </c>
      <c r="C55" s="233">
        <f>MIN(MAX(C52-C53-C54,0),C51)</f>
        <v>0</v>
      </c>
      <c r="D55" s="232">
        <f>(C55*$K$1)*$C$1</f>
        <v>0</v>
      </c>
      <c r="E55" s="99"/>
      <c r="F55" s="99"/>
      <c r="G55" s="144" t="s">
        <v>290</v>
      </c>
      <c r="H55" s="186">
        <f>MIN(MAX(H52-H53-H54),H51)</f>
        <v>0</v>
      </c>
      <c r="I55" s="175">
        <f>J55/$R$1</f>
        <v>0</v>
      </c>
      <c r="J55" s="175">
        <f>MIN(MAX(J52-J53-J54),J51)</f>
        <v>0</v>
      </c>
    </row>
    <row r="62" spans="1:10" ht="17.75" customHeight="1" x14ac:dyDescent="0.3">
      <c r="A62" s="923"/>
      <c r="B62" s="1438" t="str">
        <f>"ملوخية دجاج  1 / " &amp; COUNTIF($C$53:$C$55, "&gt;0")</f>
        <v>ملوخية دجاج  1 / 2</v>
      </c>
      <c r="C62" s="1439"/>
      <c r="D62" s="1439"/>
      <c r="E62" s="1439"/>
      <c r="F62" s="1439"/>
      <c r="G62" s="1439"/>
      <c r="H62" s="1439"/>
    </row>
    <row r="63" spans="1:10" ht="17.75" customHeight="1" x14ac:dyDescent="0.3">
      <c r="A63" s="923"/>
      <c r="B63" s="1436" t="str">
        <f>"Chicken Molokeya  1 / " &amp; COUNTIF($C$53:$C$55, "&gt;0")</f>
        <v>Chicken Molokeya  1 / 2</v>
      </c>
      <c r="C63" s="1437"/>
      <c r="D63" s="1437"/>
      <c r="E63" s="1437"/>
      <c r="F63" s="1437"/>
      <c r="G63" s="1437"/>
      <c r="H63" s="1437"/>
    </row>
    <row r="64" spans="1:10" ht="39.5" customHeight="1" x14ac:dyDescent="0.3">
      <c r="A64" s="90"/>
      <c r="B64" s="90" t="s">
        <v>245</v>
      </c>
      <c r="C64" s="106" t="s">
        <v>246</v>
      </c>
      <c r="D64" s="90" t="s">
        <v>235</v>
      </c>
      <c r="E64" s="217" t="s">
        <v>238</v>
      </c>
      <c r="F64" s="107" t="s">
        <v>247</v>
      </c>
      <c r="G64" s="90" t="s">
        <v>248</v>
      </c>
      <c r="H64" s="217" t="s">
        <v>249</v>
      </c>
    </row>
    <row r="65" spans="1:8" ht="14.25" customHeight="1" x14ac:dyDescent="0.3">
      <c r="A65" s="218" t="s">
        <v>225</v>
      </c>
      <c r="B65" s="322" t="str">
        <f t="shared" ref="B65:D81" si="7">B5</f>
        <v>Chicken - دجاج</v>
      </c>
      <c r="C65" s="322" t="str">
        <f t="shared" si="7"/>
        <v>gm</v>
      </c>
      <c r="D65" s="322">
        <f t="shared" si="7"/>
        <v>2857.2</v>
      </c>
      <c r="E65" s="196">
        <f>H53</f>
        <v>10</v>
      </c>
      <c r="F65" s="126">
        <f t="shared" ref="F65:F81" si="8">F5</f>
        <v>1</v>
      </c>
      <c r="G65" s="118">
        <f t="shared" ref="G65:G81" si="9">D65*E65</f>
        <v>28572</v>
      </c>
      <c r="H65" s="119">
        <f t="shared" ref="H65:H81" si="10">G65*F65</f>
        <v>28572</v>
      </c>
    </row>
    <row r="66" spans="1:8" ht="14.25" customHeight="1" x14ac:dyDescent="0.3">
      <c r="A66" s="269" t="s">
        <v>13</v>
      </c>
      <c r="B66" s="322" t="str">
        <f>B6</f>
        <v>Frozen Molokeya - ملوخية مجمدة</v>
      </c>
      <c r="C66" s="322" t="str">
        <f t="shared" si="7"/>
        <v>gm</v>
      </c>
      <c r="D66" s="322">
        <f t="shared" si="7"/>
        <v>520</v>
      </c>
      <c r="E66" s="196">
        <f>$C$53</f>
        <v>10.309278350515465</v>
      </c>
      <c r="F66" s="126">
        <f t="shared" si="8"/>
        <v>1</v>
      </c>
      <c r="G66" s="118">
        <f t="shared" si="9"/>
        <v>5360.8247422680415</v>
      </c>
      <c r="H66" s="119">
        <f t="shared" si="10"/>
        <v>5360.8247422680415</v>
      </c>
    </row>
    <row r="67" spans="1:8" ht="14.25" customHeight="1" x14ac:dyDescent="0.3">
      <c r="A67" s="269" t="s">
        <v>206</v>
      </c>
      <c r="B67" s="322" t="str">
        <f t="shared" si="7"/>
        <v>Chicken Stock - مرق دجاج</v>
      </c>
      <c r="C67" s="322" t="str">
        <f t="shared" si="7"/>
        <v>ml</v>
      </c>
      <c r="D67" s="322">
        <f t="shared" si="7"/>
        <v>600</v>
      </c>
      <c r="E67" s="196">
        <f t="shared" ref="E67:E81" si="11">$C$53</f>
        <v>10.309278350515465</v>
      </c>
      <c r="F67" s="126">
        <f t="shared" si="8"/>
        <v>0.95</v>
      </c>
      <c r="G67" s="118">
        <f t="shared" si="9"/>
        <v>6185.5670103092789</v>
      </c>
      <c r="H67" s="119">
        <f t="shared" si="10"/>
        <v>5876.288659793815</v>
      </c>
    </row>
    <row r="68" spans="1:8" ht="14.25" customHeight="1" x14ac:dyDescent="0.3">
      <c r="A68" s="269" t="s">
        <v>95</v>
      </c>
      <c r="B68" s="322" t="str">
        <f t="shared" si="7"/>
        <v>Cumin Powder - كمون مطحون</v>
      </c>
      <c r="C68" s="322" t="str">
        <f t="shared" si="7"/>
        <v>gm</v>
      </c>
      <c r="D68" s="322">
        <f t="shared" si="7"/>
        <v>4</v>
      </c>
      <c r="E68" s="196">
        <f t="shared" si="11"/>
        <v>10.309278350515465</v>
      </c>
      <c r="F68" s="126">
        <f t="shared" si="8"/>
        <v>0.75</v>
      </c>
      <c r="G68" s="118">
        <f t="shared" si="9"/>
        <v>41.237113402061858</v>
      </c>
      <c r="H68" s="119">
        <f t="shared" si="10"/>
        <v>30.927835051546396</v>
      </c>
    </row>
    <row r="69" spans="1:8" ht="14.25" customHeight="1" x14ac:dyDescent="0.3">
      <c r="A69" s="269" t="s">
        <v>95</v>
      </c>
      <c r="B69" s="322" t="str">
        <f t="shared" si="7"/>
        <v>Coriander Powder - كزبرة مطحونة</v>
      </c>
      <c r="C69" s="322" t="str">
        <f t="shared" si="7"/>
        <v>gm</v>
      </c>
      <c r="D69" s="322">
        <f t="shared" si="7"/>
        <v>4</v>
      </c>
      <c r="E69" s="196">
        <f t="shared" si="11"/>
        <v>10.309278350515465</v>
      </c>
      <c r="F69" s="126">
        <f t="shared" si="8"/>
        <v>0.75</v>
      </c>
      <c r="G69" s="118">
        <f t="shared" si="9"/>
        <v>41.237113402061858</v>
      </c>
      <c r="H69" s="119">
        <f t="shared" si="10"/>
        <v>30.927835051546396</v>
      </c>
    </row>
    <row r="70" spans="1:8" ht="14.25" customHeight="1" x14ac:dyDescent="0.3">
      <c r="A70" s="269" t="s">
        <v>95</v>
      </c>
      <c r="B70" s="322" t="str">
        <f t="shared" si="7"/>
        <v>Cinnamon Powder - قرفة مطحونة</v>
      </c>
      <c r="C70" s="322" t="str">
        <f t="shared" si="7"/>
        <v>gm</v>
      </c>
      <c r="D70" s="322">
        <f t="shared" si="7"/>
        <v>4</v>
      </c>
      <c r="E70" s="196">
        <f t="shared" si="11"/>
        <v>10.309278350515465</v>
      </c>
      <c r="F70" s="126">
        <f t="shared" si="8"/>
        <v>0.9</v>
      </c>
      <c r="G70" s="118">
        <f t="shared" si="9"/>
        <v>41.237113402061858</v>
      </c>
      <c r="H70" s="119">
        <f t="shared" si="10"/>
        <v>37.113402061855673</v>
      </c>
    </row>
    <row r="71" spans="1:8" ht="14.25" customHeight="1" x14ac:dyDescent="0.3">
      <c r="A71" s="269" t="s">
        <v>95</v>
      </c>
      <c r="B71" s="322" t="str">
        <f t="shared" si="7"/>
        <v>Black Pepper Powder - فلفل أسود مطحون</v>
      </c>
      <c r="C71" s="322" t="str">
        <f t="shared" si="7"/>
        <v>gm</v>
      </c>
      <c r="D71" s="322">
        <f t="shared" si="7"/>
        <v>4</v>
      </c>
      <c r="E71" s="196">
        <f t="shared" si="11"/>
        <v>10.309278350515465</v>
      </c>
      <c r="F71" s="126">
        <f t="shared" si="8"/>
        <v>0.9</v>
      </c>
      <c r="G71" s="118">
        <f t="shared" si="9"/>
        <v>41.237113402061858</v>
      </c>
      <c r="H71" s="119">
        <f t="shared" si="10"/>
        <v>37.113402061855673</v>
      </c>
    </row>
    <row r="72" spans="1:8" ht="14.25" customHeight="1" x14ac:dyDescent="0.3">
      <c r="A72" s="269" t="s">
        <v>95</v>
      </c>
      <c r="B72" s="322" t="str">
        <f t="shared" si="7"/>
        <v>Salt - ملح</v>
      </c>
      <c r="C72" s="322" t="str">
        <f t="shared" si="7"/>
        <v>gm</v>
      </c>
      <c r="D72" s="322">
        <f t="shared" si="7"/>
        <v>11</v>
      </c>
      <c r="E72" s="196">
        <f t="shared" si="11"/>
        <v>10.309278350515465</v>
      </c>
      <c r="F72" s="126">
        <f t="shared" si="8"/>
        <v>0.75</v>
      </c>
      <c r="G72" s="118">
        <f t="shared" si="9"/>
        <v>113.40206185567011</v>
      </c>
      <c r="H72" s="119">
        <f t="shared" si="10"/>
        <v>85.051546391752581</v>
      </c>
    </row>
    <row r="73" spans="1:8" ht="14.25" customHeight="1" x14ac:dyDescent="0.3">
      <c r="A73" s="269" t="s">
        <v>13</v>
      </c>
      <c r="B73" s="322" t="str">
        <f t="shared" si="7"/>
        <v>Garlic - ثوم مقشر</v>
      </c>
      <c r="C73" s="322" t="str">
        <f t="shared" si="7"/>
        <v>gm</v>
      </c>
      <c r="D73" s="322">
        <f t="shared" si="7"/>
        <v>25</v>
      </c>
      <c r="E73" s="196">
        <f t="shared" si="11"/>
        <v>10.309278350515465</v>
      </c>
      <c r="F73" s="126">
        <f t="shared" si="8"/>
        <v>1</v>
      </c>
      <c r="G73" s="118">
        <f t="shared" si="9"/>
        <v>257.73195876288662</v>
      </c>
      <c r="H73" s="119">
        <f t="shared" si="10"/>
        <v>257.73195876288662</v>
      </c>
    </row>
    <row r="74" spans="1:8" ht="14.25" customHeight="1" x14ac:dyDescent="0.3">
      <c r="A74" s="269" t="s">
        <v>154</v>
      </c>
      <c r="B74" s="322" t="str">
        <f t="shared" si="7"/>
        <v>Ghee - سمن</v>
      </c>
      <c r="C74" s="322" t="str">
        <f t="shared" si="7"/>
        <v>gm</v>
      </c>
      <c r="D74" s="322">
        <f t="shared" si="7"/>
        <v>38</v>
      </c>
      <c r="E74" s="196">
        <f t="shared" si="11"/>
        <v>10.309278350515465</v>
      </c>
      <c r="F74" s="126">
        <f t="shared" si="8"/>
        <v>1</v>
      </c>
      <c r="G74" s="118">
        <f t="shared" si="9"/>
        <v>391.75257731958766</v>
      </c>
      <c r="H74" s="119">
        <f t="shared" si="10"/>
        <v>391.75257731958766</v>
      </c>
    </row>
    <row r="75" spans="1:8" ht="14.25" customHeight="1" x14ac:dyDescent="0.3">
      <c r="A75" s="269" t="s">
        <v>215</v>
      </c>
      <c r="B75" s="322" t="str">
        <f t="shared" si="7"/>
        <v>Soda Bi Carb - بيكربونات الصوديوم</v>
      </c>
      <c r="C75" s="322" t="str">
        <f t="shared" si="7"/>
        <v>gm</v>
      </c>
      <c r="D75" s="322">
        <f t="shared" si="7"/>
        <v>11</v>
      </c>
      <c r="E75" s="196">
        <f t="shared" si="11"/>
        <v>10.309278350515465</v>
      </c>
      <c r="F75" s="126">
        <f t="shared" si="8"/>
        <v>1</v>
      </c>
      <c r="G75" s="118">
        <f t="shared" si="9"/>
        <v>113.40206185567011</v>
      </c>
      <c r="H75" s="119">
        <f t="shared" si="10"/>
        <v>113.40206185567011</v>
      </c>
    </row>
    <row r="76" spans="1:8" ht="14.25" customHeight="1" x14ac:dyDescent="0.3">
      <c r="A76" s="269" t="s">
        <v>95</v>
      </c>
      <c r="B76" s="322" t="str">
        <f t="shared" si="7"/>
        <v>Maggi Cubes - مكعبات ماجي</v>
      </c>
      <c r="C76" s="322" t="str">
        <f t="shared" si="7"/>
        <v>gm</v>
      </c>
      <c r="D76" s="322">
        <f t="shared" si="7"/>
        <v>10</v>
      </c>
      <c r="E76" s="196">
        <f t="shared" si="11"/>
        <v>10.309278350515465</v>
      </c>
      <c r="F76" s="126">
        <f t="shared" si="8"/>
        <v>1</v>
      </c>
      <c r="G76" s="118">
        <f t="shared" si="9"/>
        <v>103.09278350515464</v>
      </c>
      <c r="H76" s="119">
        <f t="shared" si="10"/>
        <v>103.09278350515464</v>
      </c>
    </row>
    <row r="77" spans="1:8" ht="14.25" customHeight="1" x14ac:dyDescent="0.3">
      <c r="A77" s="269" t="s">
        <v>95</v>
      </c>
      <c r="B77" s="322" t="str">
        <f t="shared" si="7"/>
        <v>Black Pepper Whole - فلفل أسود حب</v>
      </c>
      <c r="C77" s="322" t="str">
        <f t="shared" si="7"/>
        <v>gm</v>
      </c>
      <c r="D77" s="322">
        <f t="shared" si="7"/>
        <v>3</v>
      </c>
      <c r="E77" s="196">
        <f t="shared" si="11"/>
        <v>10.309278350515465</v>
      </c>
      <c r="F77" s="126">
        <f t="shared" si="8"/>
        <v>1</v>
      </c>
      <c r="G77" s="118">
        <f t="shared" si="9"/>
        <v>30.927835051546396</v>
      </c>
      <c r="H77" s="119">
        <f t="shared" si="10"/>
        <v>30.927835051546396</v>
      </c>
    </row>
    <row r="78" spans="1:8" ht="14.25" customHeight="1" x14ac:dyDescent="0.3">
      <c r="A78" s="269" t="s">
        <v>95</v>
      </c>
      <c r="B78" s="322" t="str">
        <f t="shared" si="7"/>
        <v>Cumin Whole - كمون حب</v>
      </c>
      <c r="C78" s="322" t="str">
        <f t="shared" si="7"/>
        <v>gm</v>
      </c>
      <c r="D78" s="322">
        <f t="shared" si="7"/>
        <v>3</v>
      </c>
      <c r="E78" s="196">
        <f t="shared" si="11"/>
        <v>10.309278350515465</v>
      </c>
      <c r="F78" s="126">
        <f t="shared" si="8"/>
        <v>1</v>
      </c>
      <c r="G78" s="118">
        <f t="shared" si="9"/>
        <v>30.927835051546396</v>
      </c>
      <c r="H78" s="119">
        <f t="shared" si="10"/>
        <v>30.927835051546396</v>
      </c>
    </row>
    <row r="79" spans="1:8" ht="14.25" customHeight="1" x14ac:dyDescent="0.3">
      <c r="A79" s="269" t="s">
        <v>95</v>
      </c>
      <c r="B79" s="322" t="str">
        <f t="shared" si="7"/>
        <v>Cloves Whole - قرنفل حب</v>
      </c>
      <c r="C79" s="322" t="str">
        <f t="shared" si="7"/>
        <v>gm</v>
      </c>
      <c r="D79" s="322">
        <f t="shared" si="7"/>
        <v>3</v>
      </c>
      <c r="E79" s="196">
        <f t="shared" si="11"/>
        <v>10.309278350515465</v>
      </c>
      <c r="F79" s="126">
        <f t="shared" si="8"/>
        <v>1</v>
      </c>
      <c r="G79" s="118">
        <f t="shared" si="9"/>
        <v>30.927835051546396</v>
      </c>
      <c r="H79" s="119">
        <f t="shared" si="10"/>
        <v>30.927835051546396</v>
      </c>
    </row>
    <row r="80" spans="1:8" ht="14.25" customHeight="1" x14ac:dyDescent="0.3">
      <c r="A80" s="269" t="s">
        <v>95</v>
      </c>
      <c r="B80" s="322" t="str">
        <f t="shared" si="7"/>
        <v>Cinnamon whole - قرفة أعواد</v>
      </c>
      <c r="C80" s="322" t="str">
        <f t="shared" si="7"/>
        <v>gm</v>
      </c>
      <c r="D80" s="322">
        <f t="shared" si="7"/>
        <v>3</v>
      </c>
      <c r="E80" s="196">
        <f t="shared" si="11"/>
        <v>10.309278350515465</v>
      </c>
      <c r="F80" s="126">
        <f t="shared" si="8"/>
        <v>1</v>
      </c>
      <c r="G80" s="118">
        <f t="shared" si="9"/>
        <v>30.927835051546396</v>
      </c>
      <c r="H80" s="119">
        <f t="shared" si="10"/>
        <v>30.927835051546396</v>
      </c>
    </row>
    <row r="81" spans="1:8" ht="14.25" customHeight="1" x14ac:dyDescent="0.3">
      <c r="A81" s="269" t="s">
        <v>95</v>
      </c>
      <c r="B81" s="322" t="str">
        <f t="shared" si="7"/>
        <v>Cardamom Whole - هيل حب</v>
      </c>
      <c r="C81" s="322" t="str">
        <f t="shared" si="7"/>
        <v>gm</v>
      </c>
      <c r="D81" s="322">
        <f t="shared" si="7"/>
        <v>3</v>
      </c>
      <c r="E81" s="196">
        <f t="shared" si="11"/>
        <v>10.309278350515465</v>
      </c>
      <c r="F81" s="126">
        <f t="shared" si="8"/>
        <v>1</v>
      </c>
      <c r="G81" s="118">
        <f t="shared" si="9"/>
        <v>30.927835051546396</v>
      </c>
      <c r="H81" s="119">
        <f t="shared" si="10"/>
        <v>30.927835051546396</v>
      </c>
    </row>
    <row r="82" spans="1:8" ht="20.25" customHeight="1" x14ac:dyDescent="0.3">
      <c r="A82" s="210"/>
      <c r="B82" s="197" t="s">
        <v>291</v>
      </c>
      <c r="C82" s="199" t="s">
        <v>277</v>
      </c>
      <c r="D82" s="14"/>
      <c r="E82" s="199" t="s">
        <v>292</v>
      </c>
      <c r="F82" s="14"/>
      <c r="G82" s="878" t="s">
        <v>268</v>
      </c>
      <c r="H82" s="878" t="s">
        <v>703</v>
      </c>
    </row>
    <row r="83" spans="1:8" ht="22.25" customHeight="1" x14ac:dyDescent="0.4">
      <c r="A83" s="210"/>
      <c r="B83" s="198">
        <f>$J$53</f>
        <v>14286</v>
      </c>
      <c r="C83" s="198">
        <f>E83+G83</f>
        <v>10000</v>
      </c>
      <c r="D83" s="915"/>
      <c r="E83" s="198">
        <f>$D$53*$S$44</f>
        <v>0</v>
      </c>
      <c r="F83" s="919"/>
      <c r="G83" s="198">
        <f>$D$53*$T$44</f>
        <v>10000</v>
      </c>
      <c r="H83" s="198">
        <f>B83+E83</f>
        <v>14286</v>
      </c>
    </row>
    <row r="84" spans="1:8" ht="14.25" customHeight="1" x14ac:dyDescent="0.3">
      <c r="B84" s="99"/>
      <c r="E84" s="99"/>
      <c r="F84" s="99"/>
    </row>
    <row r="85" spans="1:8" ht="17.75" customHeight="1" x14ac:dyDescent="0.3">
      <c r="A85" s="923"/>
      <c r="B85" s="1438" t="str">
        <f>"ملوخية دجاج  2 / " &amp; COUNTIF($C$53:$C$55, "&gt;0")</f>
        <v>ملوخية دجاج  2 / 2</v>
      </c>
      <c r="C85" s="1439"/>
      <c r="D85" s="1439"/>
      <c r="E85" s="1439"/>
      <c r="F85" s="1439"/>
      <c r="G85" s="1439"/>
      <c r="H85" s="1439"/>
    </row>
    <row r="86" spans="1:8" ht="17.75" customHeight="1" x14ac:dyDescent="0.3">
      <c r="A86" s="923"/>
      <c r="B86" s="1436" t="str">
        <f>"Chicken Molokeya  2 / " &amp; COUNTIF($C$53:$C$55, "&gt;0")</f>
        <v>Chicken Molokeya  2 / 2</v>
      </c>
      <c r="C86" s="1437"/>
      <c r="D86" s="1437"/>
      <c r="E86" s="1437"/>
      <c r="F86" s="1437"/>
      <c r="G86" s="1437"/>
      <c r="H86" s="1437"/>
    </row>
    <row r="87" spans="1:8" ht="40.5" customHeight="1" x14ac:dyDescent="0.3">
      <c r="A87" s="90"/>
      <c r="B87" s="90" t="s">
        <v>245</v>
      </c>
      <c r="C87" s="106" t="s">
        <v>246</v>
      </c>
      <c r="D87" s="90" t="s">
        <v>235</v>
      </c>
      <c r="E87" s="217" t="s">
        <v>238</v>
      </c>
      <c r="F87" s="107" t="s">
        <v>247</v>
      </c>
      <c r="G87" s="90" t="s">
        <v>248</v>
      </c>
      <c r="H87" s="217" t="s">
        <v>249</v>
      </c>
    </row>
    <row r="88" spans="1:8" ht="14.25" customHeight="1" x14ac:dyDescent="0.3">
      <c r="A88" s="269" t="s">
        <v>225</v>
      </c>
      <c r="B88" s="322" t="str">
        <f t="shared" ref="B88:D104" si="12">B5</f>
        <v>Chicken - دجاج</v>
      </c>
      <c r="C88" s="322" t="str">
        <f t="shared" si="12"/>
        <v>gm</v>
      </c>
      <c r="D88" s="322">
        <f t="shared" si="12"/>
        <v>2857.2</v>
      </c>
      <c r="E88" s="222">
        <f>H54</f>
        <v>8.941621167576649</v>
      </c>
      <c r="F88" s="126">
        <f t="shared" ref="F88:F104" si="13">F5</f>
        <v>1</v>
      </c>
      <c r="G88" s="118">
        <f t="shared" ref="G88:G104" si="14">D88*E88</f>
        <v>25548</v>
      </c>
      <c r="H88" s="119">
        <f t="shared" ref="H88:H104" si="15">G88*F88</f>
        <v>25548</v>
      </c>
    </row>
    <row r="89" spans="1:8" ht="14.25" customHeight="1" x14ac:dyDescent="0.3">
      <c r="A89" s="269" t="s">
        <v>13</v>
      </c>
      <c r="B89" s="322" t="str">
        <f t="shared" si="12"/>
        <v>Frozen Molokeya - ملوخية مجمدة</v>
      </c>
      <c r="C89" s="322" t="str">
        <f t="shared" si="12"/>
        <v>gm</v>
      </c>
      <c r="D89" s="322">
        <f t="shared" si="12"/>
        <v>520</v>
      </c>
      <c r="E89" s="222">
        <f t="shared" ref="E89:E104" si="16">$C$54</f>
        <v>9.2185567010309288</v>
      </c>
      <c r="F89" s="126">
        <f t="shared" si="13"/>
        <v>1</v>
      </c>
      <c r="G89" s="118">
        <f t="shared" si="14"/>
        <v>4793.649484536083</v>
      </c>
      <c r="H89" s="119">
        <f t="shared" si="15"/>
        <v>4793.649484536083</v>
      </c>
    </row>
    <row r="90" spans="1:8" ht="14.25" customHeight="1" x14ac:dyDescent="0.3">
      <c r="A90" s="269" t="s">
        <v>206</v>
      </c>
      <c r="B90" s="322" t="str">
        <f t="shared" si="12"/>
        <v>Chicken Stock - مرق دجاج</v>
      </c>
      <c r="C90" s="322" t="str">
        <f t="shared" si="12"/>
        <v>ml</v>
      </c>
      <c r="D90" s="322">
        <f t="shared" si="12"/>
        <v>600</v>
      </c>
      <c r="E90" s="222">
        <f>$C$54</f>
        <v>9.2185567010309288</v>
      </c>
      <c r="F90" s="126">
        <f t="shared" si="13"/>
        <v>0.95</v>
      </c>
      <c r="G90" s="118">
        <f t="shared" si="14"/>
        <v>5531.1340206185569</v>
      </c>
      <c r="H90" s="119">
        <f t="shared" si="15"/>
        <v>5254.5773195876291</v>
      </c>
    </row>
    <row r="91" spans="1:8" ht="14.25" customHeight="1" x14ac:dyDescent="0.3">
      <c r="A91" s="269" t="s">
        <v>95</v>
      </c>
      <c r="B91" s="322" t="str">
        <f t="shared" si="12"/>
        <v>Cumin Powder - كمون مطحون</v>
      </c>
      <c r="C91" s="322" t="str">
        <f t="shared" si="12"/>
        <v>gm</v>
      </c>
      <c r="D91" s="322">
        <f t="shared" si="12"/>
        <v>4</v>
      </c>
      <c r="E91" s="222">
        <f t="shared" si="16"/>
        <v>9.2185567010309288</v>
      </c>
      <c r="F91" s="126">
        <f t="shared" si="13"/>
        <v>0.75</v>
      </c>
      <c r="G91" s="118">
        <f t="shared" si="14"/>
        <v>36.874226804123715</v>
      </c>
      <c r="H91" s="119">
        <f t="shared" si="15"/>
        <v>27.655670103092788</v>
      </c>
    </row>
    <row r="92" spans="1:8" ht="14.25" customHeight="1" x14ac:dyDescent="0.3">
      <c r="A92" s="269" t="s">
        <v>95</v>
      </c>
      <c r="B92" s="322" t="str">
        <f t="shared" si="12"/>
        <v>Coriander Powder - كزبرة مطحونة</v>
      </c>
      <c r="C92" s="322" t="str">
        <f t="shared" si="12"/>
        <v>gm</v>
      </c>
      <c r="D92" s="322">
        <f t="shared" si="12"/>
        <v>4</v>
      </c>
      <c r="E92" s="222">
        <f t="shared" si="16"/>
        <v>9.2185567010309288</v>
      </c>
      <c r="F92" s="126">
        <f t="shared" si="13"/>
        <v>0.75</v>
      </c>
      <c r="G92" s="118">
        <f t="shared" si="14"/>
        <v>36.874226804123715</v>
      </c>
      <c r="H92" s="119">
        <f t="shared" si="15"/>
        <v>27.655670103092788</v>
      </c>
    </row>
    <row r="93" spans="1:8" ht="14.25" customHeight="1" x14ac:dyDescent="0.3">
      <c r="A93" s="269" t="s">
        <v>95</v>
      </c>
      <c r="B93" s="322" t="str">
        <f t="shared" si="12"/>
        <v>Cinnamon Powder - قرفة مطحونة</v>
      </c>
      <c r="C93" s="322" t="str">
        <f t="shared" si="12"/>
        <v>gm</v>
      </c>
      <c r="D93" s="322">
        <f t="shared" si="12"/>
        <v>4</v>
      </c>
      <c r="E93" s="222">
        <f t="shared" si="16"/>
        <v>9.2185567010309288</v>
      </c>
      <c r="F93" s="126">
        <f t="shared" si="13"/>
        <v>0.9</v>
      </c>
      <c r="G93" s="118">
        <f t="shared" si="14"/>
        <v>36.874226804123715</v>
      </c>
      <c r="H93" s="119">
        <f t="shared" si="15"/>
        <v>33.186804123711347</v>
      </c>
    </row>
    <row r="94" spans="1:8" ht="14.25" customHeight="1" x14ac:dyDescent="0.3">
      <c r="A94" s="269" t="s">
        <v>95</v>
      </c>
      <c r="B94" s="322" t="str">
        <f t="shared" si="12"/>
        <v>Black Pepper Powder - فلفل أسود مطحون</v>
      </c>
      <c r="C94" s="322" t="str">
        <f t="shared" si="12"/>
        <v>gm</v>
      </c>
      <c r="D94" s="322">
        <f t="shared" si="12"/>
        <v>4</v>
      </c>
      <c r="E94" s="222">
        <f t="shared" si="16"/>
        <v>9.2185567010309288</v>
      </c>
      <c r="F94" s="126">
        <f t="shared" si="13"/>
        <v>0.9</v>
      </c>
      <c r="G94" s="118">
        <f t="shared" si="14"/>
        <v>36.874226804123715</v>
      </c>
      <c r="H94" s="119">
        <f t="shared" si="15"/>
        <v>33.186804123711347</v>
      </c>
    </row>
    <row r="95" spans="1:8" ht="14.25" customHeight="1" x14ac:dyDescent="0.3">
      <c r="A95" s="269" t="s">
        <v>95</v>
      </c>
      <c r="B95" s="322" t="str">
        <f t="shared" si="12"/>
        <v>Salt - ملح</v>
      </c>
      <c r="C95" s="322" t="str">
        <f t="shared" si="12"/>
        <v>gm</v>
      </c>
      <c r="D95" s="322">
        <f t="shared" si="12"/>
        <v>11</v>
      </c>
      <c r="E95" s="222">
        <f t="shared" si="16"/>
        <v>9.2185567010309288</v>
      </c>
      <c r="F95" s="126">
        <f t="shared" si="13"/>
        <v>0.75</v>
      </c>
      <c r="G95" s="118">
        <f t="shared" si="14"/>
        <v>101.40412371134022</v>
      </c>
      <c r="H95" s="119">
        <f t="shared" si="15"/>
        <v>76.053092783505164</v>
      </c>
    </row>
    <row r="96" spans="1:8" ht="14.25" customHeight="1" x14ac:dyDescent="0.3">
      <c r="A96" s="269" t="s">
        <v>13</v>
      </c>
      <c r="B96" s="322" t="str">
        <f t="shared" si="12"/>
        <v>Garlic - ثوم مقشر</v>
      </c>
      <c r="C96" s="322" t="str">
        <f t="shared" si="12"/>
        <v>gm</v>
      </c>
      <c r="D96" s="322">
        <f t="shared" si="12"/>
        <v>25</v>
      </c>
      <c r="E96" s="222">
        <f t="shared" si="16"/>
        <v>9.2185567010309288</v>
      </c>
      <c r="F96" s="126">
        <f t="shared" si="13"/>
        <v>1</v>
      </c>
      <c r="G96" s="118">
        <f t="shared" si="14"/>
        <v>230.46391752577321</v>
      </c>
      <c r="H96" s="119">
        <f t="shared" si="15"/>
        <v>230.46391752577321</v>
      </c>
    </row>
    <row r="97" spans="1:8" ht="14.25" customHeight="1" x14ac:dyDescent="0.3">
      <c r="A97" s="269" t="s">
        <v>154</v>
      </c>
      <c r="B97" s="322" t="str">
        <f t="shared" si="12"/>
        <v>Ghee - سمن</v>
      </c>
      <c r="C97" s="322" t="str">
        <f t="shared" si="12"/>
        <v>gm</v>
      </c>
      <c r="D97" s="322">
        <f t="shared" si="12"/>
        <v>38</v>
      </c>
      <c r="E97" s="222">
        <f t="shared" si="16"/>
        <v>9.2185567010309288</v>
      </c>
      <c r="F97" s="126">
        <f t="shared" si="13"/>
        <v>1</v>
      </c>
      <c r="G97" s="118">
        <f t="shared" si="14"/>
        <v>350.30515463917527</v>
      </c>
      <c r="H97" s="119">
        <f t="shared" si="15"/>
        <v>350.30515463917527</v>
      </c>
    </row>
    <row r="98" spans="1:8" ht="14.25" customHeight="1" x14ac:dyDescent="0.3">
      <c r="A98" s="269" t="s">
        <v>215</v>
      </c>
      <c r="B98" s="322" t="str">
        <f t="shared" si="12"/>
        <v>Soda Bi Carb - بيكربونات الصوديوم</v>
      </c>
      <c r="C98" s="322" t="str">
        <f t="shared" si="12"/>
        <v>gm</v>
      </c>
      <c r="D98" s="322">
        <f t="shared" si="12"/>
        <v>11</v>
      </c>
      <c r="E98" s="222">
        <f t="shared" si="16"/>
        <v>9.2185567010309288</v>
      </c>
      <c r="F98" s="126">
        <f t="shared" si="13"/>
        <v>1</v>
      </c>
      <c r="G98" s="118">
        <f t="shared" si="14"/>
        <v>101.40412371134022</v>
      </c>
      <c r="H98" s="119">
        <f t="shared" si="15"/>
        <v>101.40412371134022</v>
      </c>
    </row>
    <row r="99" spans="1:8" ht="14.25" customHeight="1" x14ac:dyDescent="0.3">
      <c r="A99" s="269" t="s">
        <v>95</v>
      </c>
      <c r="B99" s="322" t="str">
        <f t="shared" si="12"/>
        <v>Maggi Cubes - مكعبات ماجي</v>
      </c>
      <c r="C99" s="322" t="str">
        <f t="shared" si="12"/>
        <v>gm</v>
      </c>
      <c r="D99" s="322">
        <f t="shared" si="12"/>
        <v>10</v>
      </c>
      <c r="E99" s="222">
        <f t="shared" si="16"/>
        <v>9.2185567010309288</v>
      </c>
      <c r="F99" s="126">
        <f t="shared" si="13"/>
        <v>1</v>
      </c>
      <c r="G99" s="118">
        <f t="shared" si="14"/>
        <v>92.185567010309285</v>
      </c>
      <c r="H99" s="119">
        <f t="shared" si="15"/>
        <v>92.185567010309285</v>
      </c>
    </row>
    <row r="100" spans="1:8" ht="14.25" customHeight="1" x14ac:dyDescent="0.3">
      <c r="A100" s="269" t="s">
        <v>95</v>
      </c>
      <c r="B100" s="322" t="str">
        <f t="shared" si="12"/>
        <v>Black Pepper Whole - فلفل أسود حب</v>
      </c>
      <c r="C100" s="322" t="str">
        <f t="shared" si="12"/>
        <v>gm</v>
      </c>
      <c r="D100" s="322">
        <f t="shared" si="12"/>
        <v>3</v>
      </c>
      <c r="E100" s="222">
        <f t="shared" si="16"/>
        <v>9.2185567010309288</v>
      </c>
      <c r="F100" s="126">
        <f t="shared" si="13"/>
        <v>1</v>
      </c>
      <c r="G100" s="118">
        <f t="shared" si="14"/>
        <v>27.655670103092788</v>
      </c>
      <c r="H100" s="119">
        <f t="shared" si="15"/>
        <v>27.655670103092788</v>
      </c>
    </row>
    <row r="101" spans="1:8" ht="14.25" customHeight="1" x14ac:dyDescent="0.3">
      <c r="A101" s="269" t="s">
        <v>95</v>
      </c>
      <c r="B101" s="322" t="str">
        <f t="shared" si="12"/>
        <v>Cumin Whole - كمون حب</v>
      </c>
      <c r="C101" s="322" t="str">
        <f t="shared" si="12"/>
        <v>gm</v>
      </c>
      <c r="D101" s="322">
        <f t="shared" si="12"/>
        <v>3</v>
      </c>
      <c r="E101" s="222">
        <f t="shared" si="16"/>
        <v>9.2185567010309288</v>
      </c>
      <c r="F101" s="126">
        <f t="shared" si="13"/>
        <v>1</v>
      </c>
      <c r="G101" s="118">
        <f t="shared" si="14"/>
        <v>27.655670103092788</v>
      </c>
      <c r="H101" s="119">
        <f t="shared" si="15"/>
        <v>27.655670103092788</v>
      </c>
    </row>
    <row r="102" spans="1:8" ht="14.25" customHeight="1" x14ac:dyDescent="0.3">
      <c r="A102" s="269" t="s">
        <v>95</v>
      </c>
      <c r="B102" s="322" t="str">
        <f t="shared" si="12"/>
        <v>Cloves Whole - قرنفل حب</v>
      </c>
      <c r="C102" s="322" t="str">
        <f t="shared" si="12"/>
        <v>gm</v>
      </c>
      <c r="D102" s="322">
        <f t="shared" si="12"/>
        <v>3</v>
      </c>
      <c r="E102" s="222">
        <f t="shared" si="16"/>
        <v>9.2185567010309288</v>
      </c>
      <c r="F102" s="126">
        <f t="shared" si="13"/>
        <v>1</v>
      </c>
      <c r="G102" s="118">
        <f t="shared" si="14"/>
        <v>27.655670103092788</v>
      </c>
      <c r="H102" s="119">
        <f t="shared" si="15"/>
        <v>27.655670103092788</v>
      </c>
    </row>
    <row r="103" spans="1:8" ht="14.25" customHeight="1" x14ac:dyDescent="0.3">
      <c r="A103" s="269" t="s">
        <v>95</v>
      </c>
      <c r="B103" s="322" t="str">
        <f t="shared" si="12"/>
        <v>Cinnamon whole - قرفة أعواد</v>
      </c>
      <c r="C103" s="322" t="str">
        <f t="shared" si="12"/>
        <v>gm</v>
      </c>
      <c r="D103" s="322">
        <f t="shared" si="12"/>
        <v>3</v>
      </c>
      <c r="E103" s="222">
        <f t="shared" si="16"/>
        <v>9.2185567010309288</v>
      </c>
      <c r="F103" s="126">
        <f t="shared" si="13"/>
        <v>1</v>
      </c>
      <c r="G103" s="118">
        <f t="shared" si="14"/>
        <v>27.655670103092788</v>
      </c>
      <c r="H103" s="119">
        <f t="shared" si="15"/>
        <v>27.655670103092788</v>
      </c>
    </row>
    <row r="104" spans="1:8" ht="14.25" customHeight="1" x14ac:dyDescent="0.3">
      <c r="A104" s="269" t="s">
        <v>95</v>
      </c>
      <c r="B104" s="322" t="str">
        <f t="shared" si="12"/>
        <v>Cardamom Whole - هيل حب</v>
      </c>
      <c r="C104" s="322" t="str">
        <f t="shared" si="12"/>
        <v>gm</v>
      </c>
      <c r="D104" s="322">
        <f t="shared" si="12"/>
        <v>3</v>
      </c>
      <c r="E104" s="222">
        <f t="shared" si="16"/>
        <v>9.2185567010309288</v>
      </c>
      <c r="F104" s="126">
        <f t="shared" si="13"/>
        <v>1</v>
      </c>
      <c r="G104" s="118">
        <f t="shared" si="14"/>
        <v>27.655670103092788</v>
      </c>
      <c r="H104" s="119">
        <f t="shared" si="15"/>
        <v>27.655670103092788</v>
      </c>
    </row>
    <row r="105" spans="1:8" ht="20.25" customHeight="1" x14ac:dyDescent="0.3">
      <c r="A105" s="210"/>
      <c r="B105" s="197" t="s">
        <v>291</v>
      </c>
      <c r="C105" s="199" t="s">
        <v>277</v>
      </c>
      <c r="D105" s="14"/>
      <c r="E105" s="199" t="s">
        <v>292</v>
      </c>
      <c r="F105" s="14"/>
      <c r="G105" s="878" t="s">
        <v>268</v>
      </c>
      <c r="H105" s="878" t="s">
        <v>703</v>
      </c>
    </row>
    <row r="106" spans="1:8" ht="20" x14ac:dyDescent="0.4">
      <c r="A106" s="210"/>
      <c r="B106" s="198">
        <f>$J$54</f>
        <v>12774</v>
      </c>
      <c r="C106" s="198">
        <f>E106+G106</f>
        <v>8942</v>
      </c>
      <c r="D106" s="915"/>
      <c r="E106" s="198">
        <f>$D$54*$S$44</f>
        <v>0</v>
      </c>
      <c r="F106" s="919"/>
      <c r="G106" s="198">
        <f>$D$54*$T$44</f>
        <v>8942</v>
      </c>
      <c r="H106" s="198">
        <f>B106+E106</f>
        <v>12774</v>
      </c>
    </row>
    <row r="110" spans="1:8" ht="17.75" customHeight="1" x14ac:dyDescent="0.3">
      <c r="A110" s="923"/>
      <c r="B110" s="1438" t="str">
        <f>"ملوخية دجاج  3 / " &amp; COUNTIF($C$53:$C$55, "&gt;0")</f>
        <v>ملوخية دجاج  3 / 2</v>
      </c>
      <c r="C110" s="1439"/>
      <c r="D110" s="1439"/>
      <c r="E110" s="1439"/>
      <c r="F110" s="1439"/>
      <c r="G110" s="1439"/>
      <c r="H110" s="1439"/>
    </row>
    <row r="111" spans="1:8" ht="17.75" customHeight="1" x14ac:dyDescent="0.3">
      <c r="A111" s="923"/>
      <c r="B111" s="1436" t="str">
        <f>"Chicken Molokeya  3 / " &amp; COUNTIF($C$53:$C$55, "&gt;0")</f>
        <v>Chicken Molokeya  3 / 2</v>
      </c>
      <c r="C111" s="1437"/>
      <c r="D111" s="1437"/>
      <c r="E111" s="1437"/>
      <c r="F111" s="1437"/>
      <c r="G111" s="1437"/>
      <c r="H111" s="1437"/>
    </row>
    <row r="112" spans="1:8" ht="43.5" customHeight="1" x14ac:dyDescent="0.3">
      <c r="A112" s="90"/>
      <c r="B112" s="90" t="s">
        <v>245</v>
      </c>
      <c r="C112" s="106" t="s">
        <v>246</v>
      </c>
      <c r="D112" s="90" t="s">
        <v>235</v>
      </c>
      <c r="E112" s="217" t="s">
        <v>238</v>
      </c>
      <c r="F112" s="107" t="s">
        <v>247</v>
      </c>
      <c r="G112" s="90" t="s">
        <v>248</v>
      </c>
      <c r="H112" s="217" t="s">
        <v>249</v>
      </c>
    </row>
    <row r="113" spans="1:8" ht="14.25" customHeight="1" x14ac:dyDescent="0.3">
      <c r="A113" s="269" t="s">
        <v>225</v>
      </c>
      <c r="B113" s="123" t="str">
        <f t="shared" ref="B113:D129" si="17">B5</f>
        <v>Chicken - دجاج</v>
      </c>
      <c r="C113" s="123" t="str">
        <f t="shared" si="17"/>
        <v>gm</v>
      </c>
      <c r="D113" s="123">
        <f t="shared" si="17"/>
        <v>2857.2</v>
      </c>
      <c r="E113" s="222">
        <f>H$55</f>
        <v>0</v>
      </c>
      <c r="F113" s="126">
        <f>F30</f>
        <v>0</v>
      </c>
      <c r="G113" s="118">
        <f t="shared" ref="G113:G129" si="18">D113*E113</f>
        <v>0</v>
      </c>
      <c r="H113" s="119">
        <f t="shared" ref="H113:H129" si="19">G113*F113</f>
        <v>0</v>
      </c>
    </row>
    <row r="114" spans="1:8" ht="14.25" customHeight="1" x14ac:dyDescent="0.3">
      <c r="A114" s="269" t="s">
        <v>13</v>
      </c>
      <c r="B114" s="123" t="str">
        <f t="shared" si="17"/>
        <v>Frozen Molokeya - ملوخية مجمدة</v>
      </c>
      <c r="C114" s="123" t="str">
        <f t="shared" si="17"/>
        <v>gm</v>
      </c>
      <c r="D114" s="123">
        <f t="shared" si="17"/>
        <v>520</v>
      </c>
      <c r="E114" s="222">
        <f t="shared" ref="E114:E129" si="20">$C$55</f>
        <v>0</v>
      </c>
      <c r="F114" s="126">
        <f t="shared" ref="F114:F129" si="21">F6</f>
        <v>1</v>
      </c>
      <c r="G114" s="118">
        <f t="shared" si="18"/>
        <v>0</v>
      </c>
      <c r="H114" s="119">
        <f t="shared" si="19"/>
        <v>0</v>
      </c>
    </row>
    <row r="115" spans="1:8" ht="14.25" customHeight="1" x14ac:dyDescent="0.3">
      <c r="A115" s="269" t="s">
        <v>206</v>
      </c>
      <c r="B115" s="123" t="str">
        <f t="shared" si="17"/>
        <v>Chicken Stock - مرق دجاج</v>
      </c>
      <c r="C115" s="123" t="str">
        <f t="shared" si="17"/>
        <v>ml</v>
      </c>
      <c r="D115" s="123">
        <f t="shared" si="17"/>
        <v>600</v>
      </c>
      <c r="E115" s="222">
        <f t="shared" si="20"/>
        <v>0</v>
      </c>
      <c r="F115" s="126">
        <f t="shared" si="21"/>
        <v>0.95</v>
      </c>
      <c r="G115" s="118">
        <f t="shared" si="18"/>
        <v>0</v>
      </c>
      <c r="H115" s="119">
        <f t="shared" si="19"/>
        <v>0</v>
      </c>
    </row>
    <row r="116" spans="1:8" ht="14.25" customHeight="1" x14ac:dyDescent="0.3">
      <c r="A116" s="269" t="s">
        <v>95</v>
      </c>
      <c r="B116" s="123" t="str">
        <f t="shared" si="17"/>
        <v>Cumin Powder - كمون مطحون</v>
      </c>
      <c r="C116" s="123" t="str">
        <f t="shared" si="17"/>
        <v>gm</v>
      </c>
      <c r="D116" s="123">
        <f t="shared" si="17"/>
        <v>4</v>
      </c>
      <c r="E116" s="222">
        <f t="shared" si="20"/>
        <v>0</v>
      </c>
      <c r="F116" s="126">
        <f t="shared" si="21"/>
        <v>0.75</v>
      </c>
      <c r="G116" s="118">
        <f t="shared" si="18"/>
        <v>0</v>
      </c>
      <c r="H116" s="119">
        <f t="shared" si="19"/>
        <v>0</v>
      </c>
    </row>
    <row r="117" spans="1:8" ht="14.25" customHeight="1" x14ac:dyDescent="0.3">
      <c r="A117" s="269" t="s">
        <v>95</v>
      </c>
      <c r="B117" s="123" t="str">
        <f t="shared" si="17"/>
        <v>Coriander Powder - كزبرة مطحونة</v>
      </c>
      <c r="C117" s="123" t="str">
        <f t="shared" si="17"/>
        <v>gm</v>
      </c>
      <c r="D117" s="123">
        <f t="shared" si="17"/>
        <v>4</v>
      </c>
      <c r="E117" s="222">
        <f t="shared" si="20"/>
        <v>0</v>
      </c>
      <c r="F117" s="126">
        <f t="shared" si="21"/>
        <v>0.75</v>
      </c>
      <c r="G117" s="118">
        <f t="shared" si="18"/>
        <v>0</v>
      </c>
      <c r="H117" s="119">
        <f t="shared" si="19"/>
        <v>0</v>
      </c>
    </row>
    <row r="118" spans="1:8" ht="14.25" customHeight="1" x14ac:dyDescent="0.3">
      <c r="A118" s="269" t="s">
        <v>95</v>
      </c>
      <c r="B118" s="123" t="str">
        <f t="shared" si="17"/>
        <v>Cinnamon Powder - قرفة مطحونة</v>
      </c>
      <c r="C118" s="123" t="str">
        <f t="shared" si="17"/>
        <v>gm</v>
      </c>
      <c r="D118" s="123">
        <f t="shared" si="17"/>
        <v>4</v>
      </c>
      <c r="E118" s="222">
        <f t="shared" si="20"/>
        <v>0</v>
      </c>
      <c r="F118" s="126">
        <f t="shared" si="21"/>
        <v>0.9</v>
      </c>
      <c r="G118" s="118">
        <f t="shared" si="18"/>
        <v>0</v>
      </c>
      <c r="H118" s="119">
        <f t="shared" si="19"/>
        <v>0</v>
      </c>
    </row>
    <row r="119" spans="1:8" ht="14.25" customHeight="1" x14ac:dyDescent="0.3">
      <c r="A119" s="269" t="s">
        <v>95</v>
      </c>
      <c r="B119" s="123" t="str">
        <f t="shared" si="17"/>
        <v>Black Pepper Powder - فلفل أسود مطحون</v>
      </c>
      <c r="C119" s="123" t="str">
        <f t="shared" si="17"/>
        <v>gm</v>
      </c>
      <c r="D119" s="123">
        <f t="shared" si="17"/>
        <v>4</v>
      </c>
      <c r="E119" s="222">
        <f t="shared" si="20"/>
        <v>0</v>
      </c>
      <c r="F119" s="126">
        <f t="shared" si="21"/>
        <v>0.9</v>
      </c>
      <c r="G119" s="118">
        <f t="shared" si="18"/>
        <v>0</v>
      </c>
      <c r="H119" s="119">
        <f t="shared" si="19"/>
        <v>0</v>
      </c>
    </row>
    <row r="120" spans="1:8" ht="14.25" customHeight="1" x14ac:dyDescent="0.3">
      <c r="A120" s="269" t="s">
        <v>95</v>
      </c>
      <c r="B120" s="123" t="str">
        <f t="shared" si="17"/>
        <v>Salt - ملح</v>
      </c>
      <c r="C120" s="123" t="str">
        <f t="shared" si="17"/>
        <v>gm</v>
      </c>
      <c r="D120" s="123">
        <f t="shared" si="17"/>
        <v>11</v>
      </c>
      <c r="E120" s="222">
        <f t="shared" si="20"/>
        <v>0</v>
      </c>
      <c r="F120" s="126">
        <f t="shared" si="21"/>
        <v>0.75</v>
      </c>
      <c r="G120" s="118">
        <f t="shared" si="18"/>
        <v>0</v>
      </c>
      <c r="H120" s="119">
        <f t="shared" si="19"/>
        <v>0</v>
      </c>
    </row>
    <row r="121" spans="1:8" ht="14.25" customHeight="1" x14ac:dyDescent="0.3">
      <c r="A121" s="269" t="s">
        <v>13</v>
      </c>
      <c r="B121" s="123" t="str">
        <f t="shared" si="17"/>
        <v>Garlic - ثوم مقشر</v>
      </c>
      <c r="C121" s="123" t="str">
        <f t="shared" si="17"/>
        <v>gm</v>
      </c>
      <c r="D121" s="123">
        <f t="shared" si="17"/>
        <v>25</v>
      </c>
      <c r="E121" s="222">
        <f t="shared" si="20"/>
        <v>0</v>
      </c>
      <c r="F121" s="126">
        <f t="shared" si="21"/>
        <v>1</v>
      </c>
      <c r="G121" s="118">
        <f t="shared" si="18"/>
        <v>0</v>
      </c>
      <c r="H121" s="119">
        <f t="shared" si="19"/>
        <v>0</v>
      </c>
    </row>
    <row r="122" spans="1:8" ht="14.25" customHeight="1" x14ac:dyDescent="0.3">
      <c r="A122" s="269" t="s">
        <v>154</v>
      </c>
      <c r="B122" s="123" t="str">
        <f t="shared" si="17"/>
        <v>Ghee - سمن</v>
      </c>
      <c r="C122" s="123" t="str">
        <f t="shared" si="17"/>
        <v>gm</v>
      </c>
      <c r="D122" s="123">
        <f t="shared" si="17"/>
        <v>38</v>
      </c>
      <c r="E122" s="222">
        <f t="shared" si="20"/>
        <v>0</v>
      </c>
      <c r="F122" s="126">
        <f t="shared" si="21"/>
        <v>1</v>
      </c>
      <c r="G122" s="118">
        <f t="shared" si="18"/>
        <v>0</v>
      </c>
      <c r="H122" s="119">
        <f t="shared" si="19"/>
        <v>0</v>
      </c>
    </row>
    <row r="123" spans="1:8" ht="14.25" customHeight="1" x14ac:dyDescent="0.3">
      <c r="A123" s="269" t="s">
        <v>215</v>
      </c>
      <c r="B123" s="123" t="str">
        <f t="shared" si="17"/>
        <v>Soda Bi Carb - بيكربونات الصوديوم</v>
      </c>
      <c r="C123" s="123" t="str">
        <f t="shared" si="17"/>
        <v>gm</v>
      </c>
      <c r="D123" s="123">
        <f t="shared" si="17"/>
        <v>11</v>
      </c>
      <c r="E123" s="222">
        <f t="shared" si="20"/>
        <v>0</v>
      </c>
      <c r="F123" s="126">
        <f t="shared" si="21"/>
        <v>1</v>
      </c>
      <c r="G123" s="118">
        <f t="shared" si="18"/>
        <v>0</v>
      </c>
      <c r="H123" s="119">
        <f t="shared" si="19"/>
        <v>0</v>
      </c>
    </row>
    <row r="124" spans="1:8" ht="14.25" customHeight="1" x14ac:dyDescent="0.3">
      <c r="A124" s="269" t="s">
        <v>95</v>
      </c>
      <c r="B124" s="123" t="str">
        <f t="shared" si="17"/>
        <v>Maggi Cubes - مكعبات ماجي</v>
      </c>
      <c r="C124" s="123" t="str">
        <f t="shared" si="17"/>
        <v>gm</v>
      </c>
      <c r="D124" s="123">
        <f t="shared" si="17"/>
        <v>10</v>
      </c>
      <c r="E124" s="222">
        <f t="shared" si="20"/>
        <v>0</v>
      </c>
      <c r="F124" s="126">
        <f t="shared" si="21"/>
        <v>1</v>
      </c>
      <c r="G124" s="118">
        <f t="shared" si="18"/>
        <v>0</v>
      </c>
      <c r="H124" s="119">
        <f t="shared" si="19"/>
        <v>0</v>
      </c>
    </row>
    <row r="125" spans="1:8" ht="14.25" customHeight="1" x14ac:dyDescent="0.3">
      <c r="A125" s="269" t="s">
        <v>95</v>
      </c>
      <c r="B125" s="123" t="str">
        <f t="shared" si="17"/>
        <v>Black Pepper Whole - فلفل أسود حب</v>
      </c>
      <c r="C125" s="123" t="str">
        <f t="shared" si="17"/>
        <v>gm</v>
      </c>
      <c r="D125" s="123">
        <f t="shared" si="17"/>
        <v>3</v>
      </c>
      <c r="E125" s="222">
        <f t="shared" si="20"/>
        <v>0</v>
      </c>
      <c r="F125" s="126">
        <f t="shared" si="21"/>
        <v>1</v>
      </c>
      <c r="G125" s="118">
        <f t="shared" si="18"/>
        <v>0</v>
      </c>
      <c r="H125" s="119">
        <f t="shared" si="19"/>
        <v>0</v>
      </c>
    </row>
    <row r="126" spans="1:8" ht="14.25" customHeight="1" x14ac:dyDescent="0.3">
      <c r="A126" s="269" t="s">
        <v>95</v>
      </c>
      <c r="B126" s="123" t="str">
        <f t="shared" si="17"/>
        <v>Cumin Whole - كمون حب</v>
      </c>
      <c r="C126" s="123" t="str">
        <f t="shared" si="17"/>
        <v>gm</v>
      </c>
      <c r="D126" s="123">
        <f t="shared" si="17"/>
        <v>3</v>
      </c>
      <c r="E126" s="222">
        <f t="shared" si="20"/>
        <v>0</v>
      </c>
      <c r="F126" s="126">
        <f t="shared" si="21"/>
        <v>1</v>
      </c>
      <c r="G126" s="118">
        <f t="shared" si="18"/>
        <v>0</v>
      </c>
      <c r="H126" s="119">
        <f t="shared" si="19"/>
        <v>0</v>
      </c>
    </row>
    <row r="127" spans="1:8" ht="14.25" customHeight="1" x14ac:dyDescent="0.3">
      <c r="A127" s="269" t="s">
        <v>95</v>
      </c>
      <c r="B127" s="123" t="str">
        <f t="shared" si="17"/>
        <v>Cloves Whole - قرنفل حب</v>
      </c>
      <c r="C127" s="123" t="str">
        <f t="shared" si="17"/>
        <v>gm</v>
      </c>
      <c r="D127" s="123">
        <f t="shared" si="17"/>
        <v>3</v>
      </c>
      <c r="E127" s="222">
        <f t="shared" si="20"/>
        <v>0</v>
      </c>
      <c r="F127" s="126">
        <f t="shared" si="21"/>
        <v>1</v>
      </c>
      <c r="G127" s="118">
        <f t="shared" si="18"/>
        <v>0</v>
      </c>
      <c r="H127" s="119">
        <f t="shared" si="19"/>
        <v>0</v>
      </c>
    </row>
    <row r="128" spans="1:8" ht="14.25" customHeight="1" x14ac:dyDescent="0.3">
      <c r="A128" s="269" t="s">
        <v>95</v>
      </c>
      <c r="B128" s="123" t="str">
        <f t="shared" si="17"/>
        <v>Cinnamon whole - قرفة أعواد</v>
      </c>
      <c r="C128" s="123" t="str">
        <f t="shared" si="17"/>
        <v>gm</v>
      </c>
      <c r="D128" s="123">
        <f t="shared" si="17"/>
        <v>3</v>
      </c>
      <c r="E128" s="222">
        <f t="shared" si="20"/>
        <v>0</v>
      </c>
      <c r="F128" s="126">
        <f t="shared" si="21"/>
        <v>1</v>
      </c>
      <c r="G128" s="118">
        <f t="shared" si="18"/>
        <v>0</v>
      </c>
      <c r="H128" s="119">
        <f t="shared" si="19"/>
        <v>0</v>
      </c>
    </row>
    <row r="129" spans="1:10" ht="20.25" customHeight="1" x14ac:dyDescent="0.4">
      <c r="A129" s="269" t="s">
        <v>95</v>
      </c>
      <c r="B129" s="123" t="str">
        <f t="shared" si="17"/>
        <v>Cardamom Whole - هيل حب</v>
      </c>
      <c r="C129" s="123" t="str">
        <f t="shared" si="17"/>
        <v>gm</v>
      </c>
      <c r="D129" s="123">
        <f t="shared" si="17"/>
        <v>3</v>
      </c>
      <c r="E129" s="222">
        <f t="shared" si="20"/>
        <v>0</v>
      </c>
      <c r="F129" s="126">
        <f t="shared" si="21"/>
        <v>1</v>
      </c>
      <c r="G129" s="118">
        <f t="shared" si="18"/>
        <v>0</v>
      </c>
      <c r="H129" s="119">
        <f t="shared" si="19"/>
        <v>0</v>
      </c>
      <c r="I129" s="203"/>
      <c r="J129" s="202"/>
    </row>
    <row r="130" spans="1:10" ht="20.25" customHeight="1" x14ac:dyDescent="0.3">
      <c r="A130" s="210"/>
      <c r="B130" s="197" t="s">
        <v>291</v>
      </c>
      <c r="C130" s="199" t="s">
        <v>277</v>
      </c>
      <c r="D130" s="14"/>
      <c r="E130" s="199" t="s">
        <v>292</v>
      </c>
      <c r="F130" s="14"/>
      <c r="G130" s="878" t="s">
        <v>268</v>
      </c>
      <c r="H130" s="878" t="s">
        <v>703</v>
      </c>
    </row>
    <row r="131" spans="1:10" ht="20" x14ac:dyDescent="0.4">
      <c r="A131" s="210"/>
      <c r="B131" s="198">
        <f>$J$55</f>
        <v>0</v>
      </c>
      <c r="C131" s="198">
        <f>E131+G131</f>
        <v>0</v>
      </c>
      <c r="D131" s="915"/>
      <c r="E131" s="198">
        <f>$D$55*$S$44</f>
        <v>0</v>
      </c>
      <c r="F131" s="919"/>
      <c r="G131" s="198">
        <f>$D$55*$T$44</f>
        <v>0</v>
      </c>
      <c r="H131" s="198">
        <f>B131+E131</f>
        <v>0</v>
      </c>
    </row>
  </sheetData>
  <mergeCells count="9">
    <mergeCell ref="B2:K3"/>
    <mergeCell ref="B63:H63"/>
    <mergeCell ref="B85:H85"/>
    <mergeCell ref="B110:H110"/>
    <mergeCell ref="R26:U26"/>
    <mergeCell ref="R25:U25"/>
    <mergeCell ref="B62:H62"/>
    <mergeCell ref="B86:H86"/>
    <mergeCell ref="B111:H111"/>
  </mergeCells>
  <printOptions horizontalCentered="1"/>
  <pageMargins left="0.5" right="0.5" top="1" bottom="0.5" header="0.3" footer="0.511811023622047"/>
  <pageSetup paperSize="9" scale="32" orientation="portrait" r:id="rId1"/>
  <legacyDrawing r:id="rId2"/>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75">
    <tabColor rgb="FFFF0000"/>
    <pageSetUpPr fitToPage="1"/>
  </sheetPr>
  <dimension ref="A1:AP974"/>
  <sheetViews>
    <sheetView zoomScale="70" zoomScaleNormal="70" workbookViewId="0">
      <selection activeCell="E5" sqref="E5"/>
    </sheetView>
  </sheetViews>
  <sheetFormatPr defaultColWidth="12.5" defaultRowHeight="12.5" x14ac:dyDescent="0.25"/>
  <cols>
    <col min="1" max="1" width="12.5" style="14" customWidth="1"/>
    <col min="2" max="2" width="49.25" style="14" customWidth="1"/>
    <col min="3" max="3" width="24"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5" width="3.83203125" style="14" customWidth="1"/>
    <col min="16" max="17" width="12.5" style="14" customWidth="1"/>
    <col min="18" max="18" width="24.6640625" style="14" customWidth="1"/>
    <col min="19" max="19" width="15.9140625" style="14" customWidth="1"/>
    <col min="20" max="27" width="12.5" style="14" customWidth="1"/>
    <col min="28" max="28" width="11" style="14" bestFit="1" customWidth="1"/>
    <col min="29" max="29" width="11.75" style="14" bestFit="1" customWidth="1"/>
    <col min="30" max="30" width="13.25" style="14" bestFit="1" customWidth="1"/>
    <col min="31" max="31" width="7" style="818" bestFit="1" customWidth="1"/>
    <col min="32" max="32" width="6.25" style="818" customWidth="1"/>
    <col min="33" max="35" width="6.25" style="14" customWidth="1"/>
    <col min="36" max="36" width="36.9140625" style="14" customWidth="1"/>
    <col min="37" max="37" width="12.5" style="14" customWidth="1"/>
    <col min="38" max="16384" width="12.5" style="14"/>
  </cols>
  <sheetData>
    <row r="1" spans="1:32" ht="28.5" customHeight="1" x14ac:dyDescent="0.3">
      <c r="B1" s="79" t="s">
        <v>335</v>
      </c>
      <c r="C1" s="80">
        <v>1</v>
      </c>
      <c r="D1" s="81" t="s">
        <v>236</v>
      </c>
      <c r="E1" s="116">
        <f>156</f>
        <v>156</v>
      </c>
      <c r="F1" s="79" t="s">
        <v>237</v>
      </c>
      <c r="G1" s="116">
        <f>E1/C1</f>
        <v>156</v>
      </c>
      <c r="H1" s="79" t="s">
        <v>238</v>
      </c>
      <c r="I1" s="116"/>
      <c r="J1" s="325" t="s">
        <v>239</v>
      </c>
      <c r="K1" s="326">
        <v>1</v>
      </c>
      <c r="L1" s="99"/>
      <c r="M1" s="99"/>
      <c r="N1" s="99"/>
      <c r="O1" s="90" t="s">
        <v>240</v>
      </c>
      <c r="P1" s="91" t="s">
        <v>486</v>
      </c>
      <c r="Q1" s="92" t="s">
        <v>242</v>
      </c>
      <c r="R1" s="463">
        <v>0.5</v>
      </c>
      <c r="S1" s="92" t="s">
        <v>337</v>
      </c>
      <c r="T1" s="1303">
        <v>70</v>
      </c>
      <c r="U1" s="99"/>
      <c r="V1" s="99"/>
      <c r="Y1" s="90" t="s">
        <v>463</v>
      </c>
      <c r="Z1" s="835">
        <v>188</v>
      </c>
      <c r="AA1" s="90" t="s">
        <v>578</v>
      </c>
      <c r="AB1" s="835">
        <v>5</v>
      </c>
      <c r="AC1" s="90" t="s">
        <v>567</v>
      </c>
      <c r="AD1" s="835">
        <v>188</v>
      </c>
      <c r="AE1" s="90" t="s">
        <v>558</v>
      </c>
      <c r="AF1" s="835">
        <f>Z1+AB1</f>
        <v>193</v>
      </c>
    </row>
    <row r="2" spans="1:32" ht="12.75" customHeight="1" x14ac:dyDescent="0.25">
      <c r="A2" s="329"/>
      <c r="B2" s="1443" t="s">
        <v>492</v>
      </c>
      <c r="C2" s="1466"/>
      <c r="D2" s="1466"/>
      <c r="E2" s="1466"/>
      <c r="F2" s="1466"/>
      <c r="G2" s="1466"/>
      <c r="H2" s="1466"/>
      <c r="I2" s="329"/>
      <c r="J2" s="329"/>
      <c r="K2" s="329"/>
      <c r="L2" s="292"/>
      <c r="M2" s="99"/>
      <c r="N2" s="99"/>
      <c r="O2" s="99"/>
      <c r="P2" s="99"/>
      <c r="Q2" s="99"/>
      <c r="R2" s="99"/>
      <c r="S2" s="99"/>
      <c r="T2" s="99"/>
      <c r="U2" s="99"/>
    </row>
    <row r="3" spans="1:32" ht="12.75" customHeight="1" x14ac:dyDescent="0.3">
      <c r="A3" s="329"/>
      <c r="B3" s="1444"/>
      <c r="C3" s="1444"/>
      <c r="D3" s="1444"/>
      <c r="E3" s="1444"/>
      <c r="F3" s="1444"/>
      <c r="G3" s="1444"/>
      <c r="H3" s="1444"/>
      <c r="I3" s="609"/>
      <c r="J3" s="609"/>
      <c r="K3" s="609"/>
      <c r="L3" s="292"/>
      <c r="M3" s="99"/>
      <c r="N3" s="99"/>
      <c r="O3" s="99"/>
      <c r="P3" s="99"/>
      <c r="Q3" s="99"/>
      <c r="R3" s="99"/>
      <c r="S3" s="99"/>
      <c r="T3" s="99"/>
      <c r="U3" s="99"/>
    </row>
    <row r="4" spans="1:32" ht="68.75" customHeight="1" x14ac:dyDescent="0.25">
      <c r="A4" s="90" t="s">
        <v>1</v>
      </c>
      <c r="B4" s="90" t="s">
        <v>245</v>
      </c>
      <c r="C4" s="106" t="s">
        <v>246</v>
      </c>
      <c r="D4" s="90" t="s">
        <v>502</v>
      </c>
      <c r="E4" s="107" t="s">
        <v>238</v>
      </c>
      <c r="F4" s="107" t="s">
        <v>247</v>
      </c>
      <c r="G4" s="90" t="s">
        <v>248</v>
      </c>
      <c r="H4" s="330" t="s">
        <v>339</v>
      </c>
      <c r="I4" s="90" t="s">
        <v>250</v>
      </c>
      <c r="J4" s="90" t="s">
        <v>251</v>
      </c>
      <c r="K4" s="90" t="s">
        <v>252</v>
      </c>
      <c r="L4" s="90" t="s">
        <v>253</v>
      </c>
      <c r="M4" s="370"/>
      <c r="N4" s="99"/>
      <c r="O4" s="99"/>
      <c r="P4" s="99"/>
      <c r="Q4" s="99"/>
      <c r="R4" s="99"/>
      <c r="S4" s="99"/>
    </row>
    <row r="5" spans="1:32" ht="14.25" customHeight="1" x14ac:dyDescent="0.3">
      <c r="A5" s="402" t="s">
        <v>225</v>
      </c>
      <c r="B5" s="610" t="s">
        <v>230</v>
      </c>
      <c r="C5" s="418" t="s">
        <v>14</v>
      </c>
      <c r="D5" s="445">
        <f>80/R1</f>
        <v>160</v>
      </c>
      <c r="E5" s="196">
        <f>H53</f>
        <v>135.1</v>
      </c>
      <c r="F5" s="126">
        <v>1</v>
      </c>
      <c r="G5" s="248">
        <f>D5*E5</f>
        <v>21616</v>
      </c>
      <c r="H5" s="119">
        <f>G5*F5</f>
        <v>21616</v>
      </c>
      <c r="I5" s="80">
        <f>VLOOKUP(B5,All_Ingredients!$A$1:$F$149,6,FALSE())</f>
        <v>0.99</v>
      </c>
      <c r="J5" s="118">
        <f>VLOOKUP(B5,All_Ingredients!$A$1:$J$149,10,FALSE())</f>
        <v>11.75</v>
      </c>
      <c r="K5" s="121">
        <f>(H5/I5)/1000</f>
        <v>21.834343434343435</v>
      </c>
      <c r="L5" s="121">
        <f>K5*J5</f>
        <v>256.55353535353538</v>
      </c>
      <c r="M5" s="130"/>
      <c r="P5" s="529" t="s">
        <v>880</v>
      </c>
      <c r="R5" s="529" t="s">
        <v>701</v>
      </c>
    </row>
    <row r="6" spans="1:32" ht="14.25" customHeight="1" x14ac:dyDescent="0.3">
      <c r="A6" s="403"/>
      <c r="B6" s="322" t="s">
        <v>226</v>
      </c>
      <c r="C6" s="333" t="s">
        <v>14</v>
      </c>
      <c r="D6" s="445">
        <f>20/R1</f>
        <v>40</v>
      </c>
      <c r="E6" s="196">
        <f>H54</f>
        <v>135.1</v>
      </c>
      <c r="F6" s="126">
        <v>1</v>
      </c>
      <c r="G6" s="120">
        <f>D6*E6</f>
        <v>5404</v>
      </c>
      <c r="H6" s="119">
        <f>G6*F6</f>
        <v>5404</v>
      </c>
      <c r="I6" s="80">
        <f>VLOOKUP(B6,All_Ingredients!$A$1:$F$149,6,FALSE())</f>
        <v>1</v>
      </c>
      <c r="J6" s="118">
        <f>VLOOKUP(B6,All_Ingredients!$A$1:$J$149,10,FALSE())</f>
        <v>30</v>
      </c>
      <c r="K6" s="121">
        <f>(H6/I6)/1000</f>
        <v>5.4039999999999999</v>
      </c>
      <c r="L6" s="121">
        <f>K6*J6</f>
        <v>162.12</v>
      </c>
      <c r="M6" s="130"/>
      <c r="P6" s="529" t="s">
        <v>881</v>
      </c>
    </row>
    <row r="7" spans="1:32" ht="14.25" customHeight="1" x14ac:dyDescent="0.3">
      <c r="B7" s="1114" t="s">
        <v>879</v>
      </c>
      <c r="C7" s="123" t="s">
        <v>234</v>
      </c>
      <c r="D7" s="115">
        <v>1</v>
      </c>
      <c r="E7" s="115">
        <f>$Z$1+$AB$1</f>
        <v>193</v>
      </c>
      <c r="F7" s="126">
        <v>1</v>
      </c>
      <c r="G7" s="120">
        <f>D7*($Z$1+$AB$1)</f>
        <v>193</v>
      </c>
      <c r="H7" s="119">
        <f>G7*F7</f>
        <v>193</v>
      </c>
      <c r="I7" s="80">
        <f>VLOOKUP(B7,All_Ingredients!$A$1:$F$149,6,FALSE())</f>
        <v>1</v>
      </c>
      <c r="J7" s="118">
        <f>VLOOKUP(B7,All_Ingredients!$A$1:$J$149,10,FALSE())</f>
        <v>1</v>
      </c>
      <c r="K7" s="174">
        <f>H7*I7</f>
        <v>193</v>
      </c>
      <c r="L7" s="121">
        <f>K7*J7</f>
        <v>193</v>
      </c>
      <c r="M7" s="130"/>
      <c r="R7" s="529" t="s">
        <v>702</v>
      </c>
    </row>
    <row r="8" spans="1:32" ht="14" customHeight="1" x14ac:dyDescent="0.25">
      <c r="B8" s="348"/>
      <c r="C8" s="132"/>
      <c r="D8" s="332"/>
      <c r="E8" s="332"/>
      <c r="F8" s="135"/>
      <c r="G8" s="139"/>
      <c r="H8" s="137"/>
      <c r="I8" s="91"/>
      <c r="J8" s="136"/>
      <c r="K8" s="553"/>
      <c r="L8" s="130"/>
      <c r="M8" s="130"/>
    </row>
    <row r="9" spans="1:32" ht="14.25" customHeight="1" x14ac:dyDescent="0.25">
      <c r="B9" s="93" t="s">
        <v>254</v>
      </c>
      <c r="C9" s="93">
        <v>10000</v>
      </c>
      <c r="D9" s="623" t="s">
        <v>522</v>
      </c>
      <c r="E9" s="624">
        <f>$S$30*$T$1</f>
        <v>13510</v>
      </c>
      <c r="F9" s="93" t="s">
        <v>243</v>
      </c>
      <c r="G9" s="328">
        <f>(($S$30*$T$1)/$R$1)/$C$9</f>
        <v>2.702</v>
      </c>
      <c r="H9" s="94"/>
      <c r="I9" s="91"/>
      <c r="J9" s="136"/>
      <c r="K9" s="130"/>
      <c r="L9" s="130"/>
      <c r="M9" s="130"/>
    </row>
    <row r="10" spans="1:32" ht="9.5" customHeight="1" x14ac:dyDescent="0.25">
      <c r="B10" s="100"/>
      <c r="C10" s="1442" t="s">
        <v>492</v>
      </c>
      <c r="D10" s="1442"/>
      <c r="E10" s="1442"/>
      <c r="F10" s="100"/>
      <c r="G10" s="100"/>
      <c r="H10" s="100"/>
      <c r="I10" s="91"/>
      <c r="J10" s="136"/>
      <c r="K10" s="130"/>
      <c r="L10" s="130"/>
      <c r="M10" s="130"/>
    </row>
    <row r="11" spans="1:32" ht="26" customHeight="1" x14ac:dyDescent="0.25">
      <c r="B11" s="641"/>
      <c r="C11" s="100"/>
      <c r="D11" s="100"/>
      <c r="E11" s="100"/>
      <c r="F11" s="100"/>
      <c r="G11" s="100"/>
      <c r="H11" s="100"/>
      <c r="I11" s="91"/>
      <c r="J11" s="136"/>
      <c r="K11" s="130"/>
      <c r="L11" s="130"/>
      <c r="M11" s="130"/>
    </row>
    <row r="12" spans="1:32" ht="22.25" customHeight="1" x14ac:dyDescent="0.25">
      <c r="B12" s="93" t="s">
        <v>245</v>
      </c>
      <c r="C12" s="527" t="s">
        <v>246</v>
      </c>
      <c r="D12" s="93" t="s">
        <v>254</v>
      </c>
      <c r="E12" s="93" t="s">
        <v>238</v>
      </c>
      <c r="F12" s="93" t="s">
        <v>247</v>
      </c>
      <c r="G12" s="93" t="s">
        <v>248</v>
      </c>
      <c r="H12" s="93" t="s">
        <v>339</v>
      </c>
      <c r="I12" s="90" t="s">
        <v>250</v>
      </c>
      <c r="J12" s="90" t="s">
        <v>251</v>
      </c>
      <c r="K12" s="90" t="s">
        <v>252</v>
      </c>
      <c r="L12" s="90" t="s">
        <v>253</v>
      </c>
      <c r="M12" s="130"/>
    </row>
    <row r="13" spans="1:32" ht="14.25" customHeight="1" x14ac:dyDescent="0.25">
      <c r="B13" s="322" t="s">
        <v>55</v>
      </c>
      <c r="C13" s="333" t="s">
        <v>14</v>
      </c>
      <c r="D13" s="115">
        <v>200</v>
      </c>
      <c r="E13" s="125">
        <f t="shared" ref="E13:E24" si="0">$G$9</f>
        <v>2.702</v>
      </c>
      <c r="F13" s="298">
        <v>1</v>
      </c>
      <c r="G13" s="118">
        <f t="shared" ref="G13:G21" si="1">D13*E13</f>
        <v>540.4</v>
      </c>
      <c r="H13" s="206">
        <f t="shared" ref="H13:H24" si="2">G13*F13</f>
        <v>540.4</v>
      </c>
      <c r="I13" s="80">
        <f>VLOOKUP(B13,All_Ingredients!$A$1:$F$149,6,FALSE())</f>
        <v>0.87</v>
      </c>
      <c r="J13" s="118">
        <f>VLOOKUP(B13,All_Ingredients!$A$1:$J$149,10,FALSE())</f>
        <v>7</v>
      </c>
      <c r="K13" s="121">
        <f>(H13/I13)/1000</f>
        <v>0.62114942528735628</v>
      </c>
      <c r="L13" s="121">
        <f>K13*J13</f>
        <v>4.3480459770114939</v>
      </c>
      <c r="M13" s="130"/>
    </row>
    <row r="14" spans="1:32" ht="14.25" customHeight="1" x14ac:dyDescent="0.25">
      <c r="B14" s="322" t="s">
        <v>762</v>
      </c>
      <c r="C14" s="333" t="s">
        <v>14</v>
      </c>
      <c r="D14" s="115">
        <v>200</v>
      </c>
      <c r="E14" s="125">
        <f t="shared" si="0"/>
        <v>2.702</v>
      </c>
      <c r="F14" s="298">
        <v>1</v>
      </c>
      <c r="G14" s="118">
        <f t="shared" si="1"/>
        <v>540.4</v>
      </c>
      <c r="H14" s="206">
        <f t="shared" si="2"/>
        <v>540.4</v>
      </c>
      <c r="I14" s="80">
        <f>VLOOKUP(B14,All_Ingredients!$A$1:$F$149,6,FALSE())</f>
        <v>1</v>
      </c>
      <c r="J14" s="118">
        <f>VLOOKUP(B14,All_Ingredients!$A$1:$J$149,10,FALSE())</f>
        <v>10.5</v>
      </c>
      <c r="K14" s="121">
        <f>(H14/I14)/1000</f>
        <v>0.54039999999999999</v>
      </c>
      <c r="L14" s="121">
        <f>K14*J14</f>
        <v>5.6741999999999999</v>
      </c>
      <c r="M14" s="130"/>
    </row>
    <row r="15" spans="1:32" s="554" customFormat="1" ht="14.25" customHeight="1" x14ac:dyDescent="0.25">
      <c r="A15" s="14"/>
      <c r="B15" s="322" t="s">
        <v>12</v>
      </c>
      <c r="C15" s="333" t="s">
        <v>14</v>
      </c>
      <c r="D15" s="115">
        <v>1000</v>
      </c>
      <c r="E15" s="125">
        <f t="shared" si="0"/>
        <v>2.702</v>
      </c>
      <c r="F15" s="298">
        <v>1</v>
      </c>
      <c r="G15" s="118">
        <f t="shared" si="1"/>
        <v>2702</v>
      </c>
      <c r="H15" s="206">
        <f t="shared" si="2"/>
        <v>2702</v>
      </c>
      <c r="I15" s="80">
        <f>VLOOKUP(B15,All_Ingredients!$A$1:$F$149,6,FALSE())</f>
        <v>0.9</v>
      </c>
      <c r="J15" s="118">
        <f>VLOOKUP(B15,All_Ingredients!$A$1:$J$149,10,FALSE())</f>
        <v>3</v>
      </c>
      <c r="K15" s="121">
        <f t="shared" ref="K15:K24" si="3">(H15/I15)/1000</f>
        <v>3.0022222222222221</v>
      </c>
      <c r="L15" s="121">
        <f t="shared" ref="L15:L24" si="4">K15*J15</f>
        <v>9.0066666666666659</v>
      </c>
      <c r="M15" s="475"/>
      <c r="N15" s="612"/>
      <c r="O15" s="612"/>
      <c r="R15" s="611" t="s">
        <v>487</v>
      </c>
      <c r="S15" s="136"/>
      <c r="AE15" s="820"/>
      <c r="AF15" s="820"/>
    </row>
    <row r="16" spans="1:32" ht="14.25" customHeight="1" x14ac:dyDescent="0.25">
      <c r="A16" s="554"/>
      <c r="B16" s="322" t="s">
        <v>61</v>
      </c>
      <c r="C16" s="333" t="s">
        <v>14</v>
      </c>
      <c r="D16" s="115">
        <v>100</v>
      </c>
      <c r="E16" s="125">
        <f t="shared" si="0"/>
        <v>2.702</v>
      </c>
      <c r="F16" s="298">
        <v>1</v>
      </c>
      <c r="G16" s="118">
        <f t="shared" si="1"/>
        <v>270.2</v>
      </c>
      <c r="H16" s="206">
        <f t="shared" si="2"/>
        <v>270.2</v>
      </c>
      <c r="I16" s="80">
        <f>VLOOKUP(B16,All_Ingredients!$A$1:$F$149,6,FALSE())</f>
        <v>0.94</v>
      </c>
      <c r="J16" s="118">
        <f>VLOOKUP(B16,All_Ingredients!$A$1:$J$149,10,FALSE())</f>
        <v>3.6363636363636367</v>
      </c>
      <c r="K16" s="121">
        <f t="shared" si="3"/>
        <v>0.28744680851063825</v>
      </c>
      <c r="L16" s="121">
        <f t="shared" si="4"/>
        <v>1.0452611218568664</v>
      </c>
      <c r="M16" s="136"/>
      <c r="N16" s="130"/>
      <c r="O16" s="130"/>
      <c r="R16" s="611" t="s">
        <v>488</v>
      </c>
      <c r="S16" s="136"/>
    </row>
    <row r="17" spans="1:42" ht="14.25" customHeight="1" x14ac:dyDescent="0.25">
      <c r="A17" s="554"/>
      <c r="B17" s="322" t="s">
        <v>94</v>
      </c>
      <c r="C17" s="333" t="s">
        <v>14</v>
      </c>
      <c r="D17" s="115">
        <v>150</v>
      </c>
      <c r="E17" s="125">
        <f t="shared" si="0"/>
        <v>2.702</v>
      </c>
      <c r="F17" s="298">
        <v>1</v>
      </c>
      <c r="G17" s="118">
        <f t="shared" si="1"/>
        <v>405.3</v>
      </c>
      <c r="H17" s="206">
        <f t="shared" si="2"/>
        <v>405.3</v>
      </c>
      <c r="I17" s="80">
        <f>VLOOKUP(B17,All_Ingredients!$A$1:$F$149,6,FALSE())</f>
        <v>1</v>
      </c>
      <c r="J17" s="118">
        <f>VLOOKUP(B17,All_Ingredients!$A$1:$J$149,10,FALSE())</f>
        <v>0.74</v>
      </c>
      <c r="K17" s="121">
        <f t="shared" si="3"/>
        <v>0.40529999999999999</v>
      </c>
      <c r="L17" s="121">
        <f t="shared" si="4"/>
        <v>0.29992199999999997</v>
      </c>
      <c r="M17" s="136"/>
      <c r="N17" s="130"/>
      <c r="O17" s="130"/>
      <c r="R17" s="611" t="s">
        <v>489</v>
      </c>
      <c r="S17" s="136"/>
    </row>
    <row r="18" spans="1:42" ht="14.25" customHeight="1" x14ac:dyDescent="0.25">
      <c r="A18" s="554"/>
      <c r="B18" s="322" t="s">
        <v>760</v>
      </c>
      <c r="C18" s="333" t="s">
        <v>14</v>
      </c>
      <c r="D18" s="115">
        <v>100</v>
      </c>
      <c r="E18" s="125">
        <f t="shared" si="0"/>
        <v>2.702</v>
      </c>
      <c r="F18" s="298">
        <v>1</v>
      </c>
      <c r="G18" s="118">
        <f t="shared" si="1"/>
        <v>270.2</v>
      </c>
      <c r="H18" s="206">
        <f t="shared" si="2"/>
        <v>270.2</v>
      </c>
      <c r="I18" s="80">
        <f>VLOOKUP(B18,All_Ingredients!$A$1:$F$149,6,FALSE())</f>
        <v>1</v>
      </c>
      <c r="J18" s="118">
        <f>VLOOKUP(B18,All_Ingredients!$A$1:$J$149,10,FALSE())</f>
        <v>43.333333333333336</v>
      </c>
      <c r="K18" s="121">
        <f t="shared" si="3"/>
        <v>0.2702</v>
      </c>
      <c r="L18" s="121">
        <f t="shared" si="4"/>
        <v>11.708666666666668</v>
      </c>
      <c r="M18" s="136"/>
      <c r="N18" s="130"/>
      <c r="O18" s="130"/>
      <c r="R18" s="611" t="s">
        <v>490</v>
      </c>
      <c r="S18" s="136"/>
      <c r="AJ18" s="348"/>
      <c r="AK18" s="331"/>
      <c r="AM18" s="134"/>
      <c r="AN18" s="532"/>
      <c r="AO18" s="136"/>
      <c r="AP18" s="533"/>
    </row>
    <row r="19" spans="1:42" ht="14.25" customHeight="1" x14ac:dyDescent="0.25">
      <c r="A19" s="554"/>
      <c r="B19" s="322" t="s">
        <v>34</v>
      </c>
      <c r="C19" s="333" t="s">
        <v>14</v>
      </c>
      <c r="D19" s="115">
        <v>200</v>
      </c>
      <c r="E19" s="125">
        <f t="shared" si="0"/>
        <v>2.702</v>
      </c>
      <c r="F19" s="298">
        <v>1</v>
      </c>
      <c r="G19" s="118">
        <f t="shared" si="1"/>
        <v>540.4</v>
      </c>
      <c r="H19" s="206">
        <f t="shared" si="2"/>
        <v>540.4</v>
      </c>
      <c r="I19" s="80">
        <f>VLOOKUP(B19,All_Ingredients!$A$1:$F$149,6,FALSE())</f>
        <v>0.86</v>
      </c>
      <c r="J19" s="118">
        <f>VLOOKUP(B19,All_Ingredients!$A$1:$J$149,10,FALSE())</f>
        <v>14</v>
      </c>
      <c r="K19" s="121">
        <f t="shared" si="3"/>
        <v>0.62837209302325581</v>
      </c>
      <c r="L19" s="121">
        <f t="shared" si="4"/>
        <v>8.797209302325582</v>
      </c>
      <c r="M19" s="136"/>
      <c r="N19" s="130"/>
      <c r="O19" s="130"/>
      <c r="R19" s="135"/>
      <c r="S19" s="136"/>
      <c r="AJ19" s="348"/>
      <c r="AK19" s="331"/>
      <c r="AM19" s="134"/>
      <c r="AN19" s="532"/>
      <c r="AO19" s="136"/>
      <c r="AP19" s="533"/>
    </row>
    <row r="20" spans="1:42" ht="14.25" customHeight="1" x14ac:dyDescent="0.25">
      <c r="A20" s="554"/>
      <c r="B20" s="322" t="s">
        <v>119</v>
      </c>
      <c r="C20" s="333" t="s">
        <v>14</v>
      </c>
      <c r="D20" s="115">
        <v>30</v>
      </c>
      <c r="E20" s="125">
        <f t="shared" si="0"/>
        <v>2.702</v>
      </c>
      <c r="F20" s="298">
        <v>1</v>
      </c>
      <c r="G20" s="118">
        <f t="shared" si="1"/>
        <v>81.06</v>
      </c>
      <c r="H20" s="206">
        <f t="shared" si="2"/>
        <v>81.06</v>
      </c>
      <c r="I20" s="80">
        <f>VLOOKUP(B20,All_Ingredients!$A$1:$F$149,6,FALSE())</f>
        <v>1</v>
      </c>
      <c r="J20" s="118">
        <f>VLOOKUP(B20,All_Ingredients!$A$1:$J$149,10,FALSE())</f>
        <v>15</v>
      </c>
      <c r="K20" s="121">
        <f t="shared" si="3"/>
        <v>8.1060000000000007E-2</v>
      </c>
      <c r="L20" s="121">
        <f t="shared" si="4"/>
        <v>1.2159000000000002</v>
      </c>
      <c r="M20" s="136"/>
      <c r="N20" s="130"/>
      <c r="O20" s="130"/>
      <c r="R20" s="14" t="s">
        <v>491</v>
      </c>
      <c r="S20" s="136"/>
      <c r="AJ20" s="348"/>
      <c r="AK20" s="331"/>
      <c r="AM20" s="134"/>
      <c r="AN20" s="532"/>
      <c r="AO20" s="136"/>
      <c r="AP20" s="533"/>
    </row>
    <row r="21" spans="1:42" ht="14.25" customHeight="1" x14ac:dyDescent="0.25">
      <c r="B21" s="322" t="s">
        <v>114</v>
      </c>
      <c r="C21" s="333" t="s">
        <v>14</v>
      </c>
      <c r="D21" s="115">
        <v>50</v>
      </c>
      <c r="E21" s="125">
        <f t="shared" si="0"/>
        <v>2.702</v>
      </c>
      <c r="F21" s="298">
        <v>1</v>
      </c>
      <c r="G21" s="118">
        <f t="shared" si="1"/>
        <v>135.1</v>
      </c>
      <c r="H21" s="206">
        <f t="shared" si="2"/>
        <v>135.1</v>
      </c>
      <c r="I21" s="80">
        <f>VLOOKUP(B21,All_Ingredients!$A$1:$F$149,6,FALSE())</f>
        <v>1</v>
      </c>
      <c r="J21" s="118">
        <f>VLOOKUP(B21,All_Ingredients!$A$1:$J$149,10,FALSE())</f>
        <v>20</v>
      </c>
      <c r="K21" s="121">
        <f t="shared" si="3"/>
        <v>0.1351</v>
      </c>
      <c r="L21" s="121">
        <f t="shared" si="4"/>
        <v>2.702</v>
      </c>
      <c r="M21" s="136"/>
      <c r="N21" s="130"/>
      <c r="O21" s="130"/>
      <c r="AJ21" s="348"/>
      <c r="AK21" s="331"/>
      <c r="AM21" s="134"/>
      <c r="AN21" s="532"/>
      <c r="AO21" s="136"/>
      <c r="AP21" s="533"/>
    </row>
    <row r="22" spans="1:42" ht="14.25" customHeight="1" x14ac:dyDescent="0.25">
      <c r="B22" s="322" t="s">
        <v>108</v>
      </c>
      <c r="C22" s="333" t="s">
        <v>14</v>
      </c>
      <c r="D22" s="115">
        <v>55</v>
      </c>
      <c r="E22" s="125">
        <f t="shared" si="0"/>
        <v>2.702</v>
      </c>
      <c r="F22" s="298">
        <v>1</v>
      </c>
      <c r="G22" s="118">
        <f>D22*E22</f>
        <v>148.60999999999999</v>
      </c>
      <c r="H22" s="206">
        <f t="shared" si="2"/>
        <v>148.60999999999999</v>
      </c>
      <c r="I22" s="80">
        <f>VLOOKUP(B22,All_Ingredients!$A$1:$F$149,6,FALSE())</f>
        <v>1</v>
      </c>
      <c r="J22" s="118">
        <f>VLOOKUP(B22,All_Ingredients!$A$1:$J$149,10,FALSE())</f>
        <v>8</v>
      </c>
      <c r="K22" s="121">
        <f t="shared" si="3"/>
        <v>0.14860999999999999</v>
      </c>
      <c r="L22" s="121">
        <f t="shared" si="4"/>
        <v>1.1888799999999999</v>
      </c>
      <c r="M22" s="136"/>
      <c r="N22" s="130"/>
      <c r="O22" s="130"/>
    </row>
    <row r="23" spans="1:42" ht="12.75" customHeight="1" x14ac:dyDescent="0.25">
      <c r="B23" s="322" t="s">
        <v>106</v>
      </c>
      <c r="C23" s="333" t="s">
        <v>14</v>
      </c>
      <c r="D23" s="115">
        <v>55</v>
      </c>
      <c r="E23" s="125">
        <f t="shared" si="0"/>
        <v>2.702</v>
      </c>
      <c r="F23" s="298">
        <v>1</v>
      </c>
      <c r="G23" s="118">
        <f>D23*E23</f>
        <v>148.60999999999999</v>
      </c>
      <c r="H23" s="206">
        <f t="shared" si="2"/>
        <v>148.60999999999999</v>
      </c>
      <c r="I23" s="80">
        <f>VLOOKUP(B23,All_Ingredients!$A$1:$F$149,6,FALSE())</f>
        <v>1</v>
      </c>
      <c r="J23" s="118">
        <f>VLOOKUP(B23,All_Ingredients!$A$1:$J$149,10,FALSE())</f>
        <v>15</v>
      </c>
      <c r="K23" s="121">
        <f t="shared" si="3"/>
        <v>0.14860999999999999</v>
      </c>
      <c r="L23" s="121">
        <f t="shared" si="4"/>
        <v>2.2291499999999997</v>
      </c>
    </row>
    <row r="24" spans="1:42" ht="12.75" customHeight="1" x14ac:dyDescent="0.25">
      <c r="B24" s="322" t="s">
        <v>218</v>
      </c>
      <c r="C24" s="333" t="s">
        <v>14</v>
      </c>
      <c r="D24" s="115">
        <v>30</v>
      </c>
      <c r="E24" s="125">
        <f t="shared" si="0"/>
        <v>2.702</v>
      </c>
      <c r="F24" s="298">
        <v>1</v>
      </c>
      <c r="G24" s="118">
        <f>D24*E24</f>
        <v>81.06</v>
      </c>
      <c r="H24" s="206">
        <f t="shared" si="2"/>
        <v>81.06</v>
      </c>
      <c r="I24" s="80">
        <f>VLOOKUP(B24,All_Ingredients!$A$1:$F$149,6,FALSE())</f>
        <v>1</v>
      </c>
      <c r="J24" s="118">
        <f>VLOOKUP(B24,All_Ingredients!$A$1:$J$149,10,FALSE())</f>
        <v>5</v>
      </c>
      <c r="K24" s="121">
        <f t="shared" si="3"/>
        <v>8.1060000000000007E-2</v>
      </c>
      <c r="L24" s="121">
        <f t="shared" si="4"/>
        <v>0.40530000000000005</v>
      </c>
      <c r="Z24" s="1208"/>
    </row>
    <row r="25" spans="1:42" ht="12.75" customHeight="1" x14ac:dyDescent="0.3">
      <c r="R25" s="1467" t="s">
        <v>492</v>
      </c>
      <c r="S25" s="1467"/>
      <c r="T25"/>
      <c r="U25"/>
      <c r="V25"/>
      <c r="Z25" s="140" t="s">
        <v>822</v>
      </c>
      <c r="AA25" s="141">
        <v>1</v>
      </c>
      <c r="AB25" s="140" t="s">
        <v>253</v>
      </c>
      <c r="AC25" s="142">
        <f>AE30*AA25</f>
        <v>3.4212162543422933</v>
      </c>
    </row>
    <row r="26" spans="1:42" ht="14" customHeight="1" x14ac:dyDescent="0.25">
      <c r="R26" s="616" t="s">
        <v>295</v>
      </c>
      <c r="S26" s="616"/>
    </row>
    <row r="27" spans="1:42" ht="14" customHeight="1" x14ac:dyDescent="0.3">
      <c r="J27" s="348"/>
      <c r="K27" s="302"/>
      <c r="L27" s="139"/>
      <c r="R27" s="144" t="s">
        <v>258</v>
      </c>
      <c r="S27" s="144" t="s">
        <v>493</v>
      </c>
      <c r="T27" s="144" t="s">
        <v>261</v>
      </c>
      <c r="U27" s="145" t="s">
        <v>808</v>
      </c>
      <c r="V27" s="145" t="s">
        <v>823</v>
      </c>
      <c r="W27" s="145" t="s">
        <v>818</v>
      </c>
      <c r="Z27" s="146" t="s">
        <v>262</v>
      </c>
      <c r="AA27" s="146" t="s">
        <v>808</v>
      </c>
      <c r="AB27" s="146" t="s">
        <v>263</v>
      </c>
      <c r="AC27" s="146" t="s">
        <v>821</v>
      </c>
      <c r="AD27" s="146" t="s">
        <v>818</v>
      </c>
      <c r="AE27" s="146" t="s">
        <v>266</v>
      </c>
    </row>
    <row r="28" spans="1:42" ht="14" customHeight="1" x14ac:dyDescent="0.3">
      <c r="J28" s="348"/>
      <c r="K28" s="302"/>
      <c r="L28" s="332"/>
      <c r="R28" s="144" t="s">
        <v>267</v>
      </c>
      <c r="S28" s="1362">
        <f>Z1</f>
        <v>188</v>
      </c>
      <c r="T28" s="1291"/>
      <c r="U28" s="1291">
        <f>SUM(H13:H24)</f>
        <v>5863.34</v>
      </c>
      <c r="V28" s="1291"/>
      <c r="W28" s="1291">
        <f>G7</f>
        <v>193</v>
      </c>
      <c r="Z28" s="1297"/>
      <c r="AA28" s="1298"/>
      <c r="AB28" s="151">
        <f>AA25*$S$40</f>
        <v>1</v>
      </c>
      <c r="AC28" s="1298"/>
      <c r="AD28" s="1298"/>
      <c r="AE28" s="153">
        <f>SUM(AB28:AD28)</f>
        <v>1</v>
      </c>
    </row>
    <row r="29" spans="1:42" ht="14" customHeight="1" x14ac:dyDescent="0.3">
      <c r="J29" s="348"/>
      <c r="K29" s="302"/>
      <c r="L29" s="332"/>
      <c r="R29" s="144" t="s">
        <v>269</v>
      </c>
      <c r="S29" s="1363">
        <f>AB1</f>
        <v>5</v>
      </c>
      <c r="T29" s="1292"/>
      <c r="U29" s="1292"/>
      <c r="V29" s="1292"/>
      <c r="W29" s="1292"/>
      <c r="Z29" s="1297"/>
      <c r="AA29" s="1298"/>
      <c r="AB29" s="155">
        <f>AB28/$AE$28</f>
        <v>1</v>
      </c>
      <c r="AC29" s="1298"/>
      <c r="AD29" s="1298"/>
      <c r="AE29" s="155">
        <f>AE28/$AE$28</f>
        <v>1</v>
      </c>
    </row>
    <row r="30" spans="1:42" ht="14" customHeight="1" thickBot="1" x14ac:dyDescent="0.35">
      <c r="D30" s="332"/>
      <c r="E30" s="135"/>
      <c r="F30" s="136"/>
      <c r="J30" s="348"/>
      <c r="K30" s="302"/>
      <c r="L30" s="332"/>
      <c r="R30" s="145" t="s">
        <v>261</v>
      </c>
      <c r="S30" s="339">
        <f>S28+S29</f>
        <v>193</v>
      </c>
      <c r="T30" s="1293"/>
      <c r="U30" s="1293"/>
      <c r="V30" s="1293"/>
      <c r="W30" s="1293"/>
      <c r="Z30" s="146" t="s">
        <v>270</v>
      </c>
      <c r="AA30" s="1153">
        <f>U33/$AF$1</f>
        <v>0.2519233250493641</v>
      </c>
      <c r="AB30" s="156">
        <f>S33/(AF1)</f>
        <v>2.1692929292929293</v>
      </c>
      <c r="AC30" s="175">
        <f>V33/AF1</f>
        <v>0</v>
      </c>
      <c r="AD30" s="1153">
        <f>W33/$AF$1</f>
        <v>1</v>
      </c>
      <c r="AE30" s="1129">
        <f>AA30+AB30+AC30+AD30</f>
        <v>3.4212162543422933</v>
      </c>
    </row>
    <row r="31" spans="1:42" ht="14" customHeight="1" thickBot="1" x14ac:dyDescent="0.35">
      <c r="D31" s="332"/>
      <c r="E31" s="135"/>
      <c r="F31" s="136"/>
      <c r="J31" s="348"/>
      <c r="K31" s="302"/>
      <c r="L31" s="332"/>
      <c r="R31" s="340" t="s">
        <v>258</v>
      </c>
      <c r="S31" s="341"/>
      <c r="T31" s="1294"/>
      <c r="U31" s="1294"/>
      <c r="V31" s="1294"/>
      <c r="W31" s="1294"/>
    </row>
    <row r="32" spans="1:42" ht="14" customHeight="1" thickBot="1" x14ac:dyDescent="0.35">
      <c r="D32" s="332"/>
      <c r="E32" s="135"/>
      <c r="F32" s="136"/>
      <c r="J32" s="348"/>
      <c r="K32" s="302"/>
      <c r="L32" s="332"/>
      <c r="R32" s="177" t="s">
        <v>273</v>
      </c>
      <c r="S32" s="343"/>
      <c r="T32" s="1295"/>
      <c r="U32" s="1295"/>
      <c r="V32" s="1295"/>
      <c r="W32" s="1295"/>
    </row>
    <row r="33" spans="2:23" ht="14" customHeight="1" thickBot="1" x14ac:dyDescent="0.35">
      <c r="D33" s="99"/>
      <c r="E33" s="99"/>
      <c r="J33" s="348"/>
      <c r="K33" s="302"/>
      <c r="L33" s="332"/>
      <c r="R33" s="162" t="s">
        <v>253</v>
      </c>
      <c r="S33" s="1125">
        <f>$L$5+L6</f>
        <v>418.67353535353539</v>
      </c>
      <c r="T33" s="1299">
        <f>S33+U33+V33+W33</f>
        <v>660.29473708806267</v>
      </c>
      <c r="U33" s="1296">
        <f>SUM(L13:L24)</f>
        <v>48.621201734527268</v>
      </c>
      <c r="V33" s="1296">
        <v>0</v>
      </c>
      <c r="W33" s="1296">
        <f>L7</f>
        <v>193</v>
      </c>
    </row>
    <row r="34" spans="2:23" ht="14" customHeight="1" x14ac:dyDescent="0.3">
      <c r="D34" s="99"/>
      <c r="E34" s="99"/>
      <c r="J34" s="348"/>
      <c r="K34" s="302"/>
      <c r="L34" s="332"/>
      <c r="S34" s="526"/>
    </row>
    <row r="35" spans="2:23" ht="14" customHeight="1" x14ac:dyDescent="0.3">
      <c r="B35" s="1441" t="s">
        <v>840</v>
      </c>
      <c r="C35" s="1441"/>
      <c r="D35" s="1441"/>
      <c r="E35" s="1441"/>
      <c r="F35" s="1441"/>
      <c r="G35" s="877"/>
      <c r="H35" s="877"/>
      <c r="I35" s="877"/>
      <c r="J35" s="877"/>
      <c r="K35" s="877"/>
      <c r="L35" s="877"/>
      <c r="S35" s="526"/>
    </row>
    <row r="36" spans="2:23" ht="14" customHeight="1" x14ac:dyDescent="0.25">
      <c r="B36" s="848" t="s">
        <v>245</v>
      </c>
      <c r="C36" s="848" t="s">
        <v>321</v>
      </c>
      <c r="D36" s="850" t="s">
        <v>645</v>
      </c>
      <c r="E36" s="847" t="s">
        <v>646</v>
      </c>
      <c r="F36" s="850" t="s">
        <v>647</v>
      </c>
      <c r="G36" s="870"/>
      <c r="H36" s="850" t="s">
        <v>647</v>
      </c>
      <c r="I36" s="850" t="s">
        <v>250</v>
      </c>
      <c r="J36" s="850" t="s">
        <v>251</v>
      </c>
      <c r="K36" s="850" t="s">
        <v>252</v>
      </c>
      <c r="L36" s="850" t="s">
        <v>253</v>
      </c>
    </row>
    <row r="37" spans="2:23" ht="14" customHeight="1" x14ac:dyDescent="0.25">
      <c r="B37" s="1304" t="s">
        <v>716</v>
      </c>
      <c r="C37" s="844" t="s">
        <v>14</v>
      </c>
      <c r="D37" s="845">
        <v>0.2</v>
      </c>
      <c r="E37" s="843">
        <f>$AD$1</f>
        <v>188</v>
      </c>
      <c r="F37" s="843">
        <f>D37*E37</f>
        <v>37.6</v>
      </c>
      <c r="G37" s="869"/>
      <c r="H37" s="843">
        <f>F37</f>
        <v>37.6</v>
      </c>
      <c r="I37" s="843">
        <f>VLOOKUP(B37,All_Ingredients!$A$1:$F$149,6,FALSE())</f>
        <v>0.65</v>
      </c>
      <c r="J37" s="843">
        <f>VLOOKUP(B37,All_Ingredients!$A$1:$J$149,10,FALSE())</f>
        <v>45</v>
      </c>
      <c r="K37" s="843">
        <f>(H37/I37)/1000</f>
        <v>5.7846153846153846E-2</v>
      </c>
      <c r="L37" s="843">
        <f>K37*J37</f>
        <v>2.6030769230769231</v>
      </c>
    </row>
    <row r="38" spans="2:23" ht="14" customHeight="1" x14ac:dyDescent="0.3">
      <c r="J38" s="348"/>
      <c r="L38" s="363"/>
    </row>
    <row r="39" spans="2:23" ht="14" customHeight="1" x14ac:dyDescent="0.3">
      <c r="B39" s="99"/>
      <c r="J39" s="348"/>
      <c r="L39" s="363"/>
    </row>
    <row r="40" spans="2:23" ht="46.5" customHeight="1" x14ac:dyDescent="0.3">
      <c r="B40" s="99"/>
      <c r="C40" s="99"/>
      <c r="D40" s="345"/>
      <c r="E40" s="99"/>
      <c r="F40" s="99"/>
      <c r="G40" s="99"/>
      <c r="H40" s="99"/>
      <c r="I40" s="99"/>
      <c r="J40" s="348"/>
      <c r="L40" s="363"/>
      <c r="R40" s="164" t="s">
        <v>274</v>
      </c>
      <c r="S40" s="165">
        <v>1</v>
      </c>
      <c r="T40" s="164" t="s">
        <v>275</v>
      </c>
      <c r="U40" s="166">
        <v>0</v>
      </c>
      <c r="V40" s="167">
        <f>S40+U40</f>
        <v>1</v>
      </c>
    </row>
    <row r="41" spans="2:23" ht="17.75" customHeight="1" x14ac:dyDescent="0.25">
      <c r="B41" s="99"/>
      <c r="C41" s="99"/>
      <c r="D41" s="99"/>
      <c r="E41" s="99"/>
      <c r="F41" s="99"/>
      <c r="G41" s="99"/>
      <c r="H41" s="99"/>
      <c r="I41" s="99"/>
      <c r="J41" s="99"/>
      <c r="U41" s="168"/>
    </row>
    <row r="42" spans="2:23" ht="17.75" customHeight="1" x14ac:dyDescent="0.25">
      <c r="B42" s="1493"/>
      <c r="C42" s="1493"/>
      <c r="D42" s="1493"/>
      <c r="E42" s="1493"/>
      <c r="F42" s="1493"/>
      <c r="G42" s="1493"/>
      <c r="H42" s="1493"/>
      <c r="I42" s="1493"/>
      <c r="J42" s="1493"/>
    </row>
    <row r="43" spans="2:23" ht="12.75" customHeight="1" x14ac:dyDescent="0.3">
      <c r="B43" s="1465"/>
      <c r="C43" s="1465"/>
      <c r="D43" s="1465"/>
      <c r="E43" s="1465"/>
      <c r="F43" s="1465"/>
      <c r="G43" s="1465"/>
      <c r="H43" s="1465"/>
      <c r="I43" s="1465"/>
      <c r="J43" s="1465"/>
      <c r="Q43" s="169" t="s">
        <v>276</v>
      </c>
      <c r="R43" s="169" t="s">
        <v>277</v>
      </c>
      <c r="S43" s="169" t="s">
        <v>278</v>
      </c>
      <c r="T43" s="169" t="s">
        <v>279</v>
      </c>
      <c r="U43" s="169" t="s">
        <v>280</v>
      </c>
      <c r="V43" s="169" t="s">
        <v>281</v>
      </c>
      <c r="W43" s="169" t="s">
        <v>282</v>
      </c>
    </row>
    <row r="44" spans="2:23" ht="14" customHeight="1" x14ac:dyDescent="0.3">
      <c r="B44" s="346"/>
      <c r="C44" s="347"/>
      <c r="D44" s="346"/>
      <c r="E44" s="346"/>
      <c r="F44" s="346"/>
      <c r="G44" s="346"/>
      <c r="H44" s="346"/>
      <c r="I44" s="346"/>
      <c r="J44" s="346"/>
      <c r="Q44" s="171">
        <v>18841</v>
      </c>
      <c r="R44" s="172">
        <f>E52</f>
        <v>0</v>
      </c>
      <c r="S44" s="173">
        <v>0</v>
      </c>
      <c r="T44" s="173">
        <v>0</v>
      </c>
      <c r="U44" s="241">
        <f>R44*S44</f>
        <v>0</v>
      </c>
      <c r="V44" s="175">
        <f>R44*T44</f>
        <v>0</v>
      </c>
      <c r="W44" s="175">
        <f>Q44-U44</f>
        <v>18841</v>
      </c>
    </row>
    <row r="45" spans="2:23" ht="14" customHeight="1" x14ac:dyDescent="0.25">
      <c r="B45" s="348"/>
      <c r="C45" s="348"/>
      <c r="D45" s="332"/>
      <c r="E45" s="332"/>
      <c r="F45" s="135"/>
      <c r="G45" s="136"/>
      <c r="H45" s="137"/>
      <c r="I45" s="91"/>
      <c r="J45" s="138"/>
    </row>
    <row r="46" spans="2:23" ht="14.25" customHeight="1" x14ac:dyDescent="0.25">
      <c r="B46" s="348"/>
      <c r="C46" s="348"/>
      <c r="D46" s="332"/>
      <c r="E46" s="332"/>
      <c r="F46" s="135"/>
      <c r="G46" s="136"/>
      <c r="H46" s="137"/>
      <c r="I46" s="91"/>
      <c r="J46" s="138"/>
    </row>
    <row r="47" spans="2:23" ht="14.25" customHeight="1" x14ac:dyDescent="0.25">
      <c r="B47" s="348"/>
      <c r="C47" s="348"/>
      <c r="D47" s="332"/>
      <c r="E47" s="332"/>
      <c r="F47" s="135"/>
      <c r="G47" s="136"/>
      <c r="H47" s="137"/>
      <c r="I47" s="91"/>
      <c r="J47" s="138"/>
    </row>
    <row r="48" spans="2:23" ht="14.25" customHeight="1" x14ac:dyDescent="0.25">
      <c r="B48" s="348"/>
      <c r="C48" s="348"/>
      <c r="D48" s="332"/>
      <c r="E48" s="332"/>
      <c r="F48" s="135"/>
      <c r="G48" s="136"/>
      <c r="H48" s="137"/>
      <c r="I48" s="91"/>
      <c r="J48" s="138"/>
    </row>
    <row r="49" spans="2:10" ht="14.25" customHeight="1" x14ac:dyDescent="0.25">
      <c r="B49" s="348"/>
      <c r="C49" s="348"/>
      <c r="D49" s="332"/>
      <c r="E49" s="332"/>
      <c r="F49" s="135"/>
      <c r="G49" s="136"/>
      <c r="H49" s="137"/>
      <c r="I49" s="91"/>
      <c r="J49" s="138"/>
    </row>
    <row r="50" spans="2:10" ht="14.25" customHeight="1" x14ac:dyDescent="0.25">
      <c r="B50" s="348"/>
      <c r="C50" s="348"/>
      <c r="D50" s="332"/>
      <c r="E50" s="332"/>
      <c r="F50" s="135"/>
      <c r="G50" s="136"/>
      <c r="H50" s="137"/>
      <c r="I50" s="91"/>
      <c r="J50" s="138"/>
    </row>
    <row r="51" spans="2:10" ht="14.25" customHeight="1" x14ac:dyDescent="0.3">
      <c r="B51" s="178"/>
      <c r="C51" s="178"/>
      <c r="D51" s="178"/>
      <c r="E51" s="99"/>
      <c r="F51" s="99"/>
      <c r="G51" s="144" t="s">
        <v>284</v>
      </c>
      <c r="H51" s="144" t="s">
        <v>237</v>
      </c>
      <c r="I51" s="177" t="s">
        <v>285</v>
      </c>
      <c r="J51" s="177" t="s">
        <v>286</v>
      </c>
    </row>
    <row r="52" spans="2:10" ht="14.25" customHeight="1" x14ac:dyDescent="0.3">
      <c r="B52" s="178"/>
      <c r="C52" s="887"/>
      <c r="D52" s="477"/>
      <c r="E52" s="182"/>
      <c r="F52" s="99"/>
      <c r="G52" s="179" t="s">
        <v>287</v>
      </c>
      <c r="H52" s="276">
        <f>I52/$D$5</f>
        <v>235.51249999999999</v>
      </c>
      <c r="I52" s="180">
        <f>J52/$R$1</f>
        <v>37682</v>
      </c>
      <c r="J52" s="180">
        <f>$W$44</f>
        <v>18841</v>
      </c>
    </row>
    <row r="53" spans="2:10" ht="14.25" customHeight="1" x14ac:dyDescent="0.3">
      <c r="B53" s="11"/>
      <c r="C53" s="335"/>
      <c r="D53" s="478"/>
      <c r="E53" s="99"/>
      <c r="F53" s="99"/>
      <c r="G53" s="147" t="s">
        <v>266</v>
      </c>
      <c r="H53" s="642">
        <f>I53/$D$5</f>
        <v>135.1</v>
      </c>
      <c r="I53" s="175">
        <f>J53/$R$1</f>
        <v>21616</v>
      </c>
      <c r="J53" s="183">
        <f>$S$30*$T$1*0.8</f>
        <v>10808</v>
      </c>
    </row>
    <row r="54" spans="2:10" ht="14.25" customHeight="1" x14ac:dyDescent="0.3">
      <c r="B54" s="11"/>
      <c r="C54" s="335"/>
      <c r="D54" s="478"/>
      <c r="E54" s="99"/>
      <c r="F54" s="99"/>
      <c r="G54" s="147" t="s">
        <v>288</v>
      </c>
      <c r="H54" s="186">
        <f>MIN(H53,H52)</f>
        <v>135.1</v>
      </c>
      <c r="I54" s="175">
        <f>J54/$R$1</f>
        <v>21616</v>
      </c>
      <c r="J54" s="175">
        <f>MIN(J53,J52)</f>
        <v>10808</v>
      </c>
    </row>
    <row r="55" spans="2:10" ht="14.25" customHeight="1" x14ac:dyDescent="0.3">
      <c r="B55" s="11"/>
      <c r="C55" s="335"/>
      <c r="D55" s="478"/>
      <c r="E55" s="99"/>
      <c r="F55" s="99"/>
      <c r="G55" s="147" t="s">
        <v>289</v>
      </c>
      <c r="H55" s="186">
        <f>MIN(MAX(H53-H54),H52)</f>
        <v>0</v>
      </c>
      <c r="I55" s="175">
        <f>J55/$R$1</f>
        <v>0</v>
      </c>
      <c r="J55" s="175">
        <f>MIN(MAX(J53-J54),J52)</f>
        <v>0</v>
      </c>
    </row>
    <row r="56" spans="2:10" ht="14.25" customHeight="1" x14ac:dyDescent="0.3">
      <c r="B56" s="11"/>
      <c r="C56" s="335"/>
      <c r="D56" s="478"/>
      <c r="E56" s="99"/>
      <c r="F56" s="99"/>
      <c r="G56" s="144" t="s">
        <v>290</v>
      </c>
      <c r="H56" s="186">
        <f>MIN(MAX(H53-H54-H55),H52)</f>
        <v>0</v>
      </c>
      <c r="I56" s="175">
        <f>J56/$R$1</f>
        <v>0</v>
      </c>
      <c r="J56" s="175">
        <f>MIN(MAX(J53-J54-J55),J52)</f>
        <v>0</v>
      </c>
    </row>
    <row r="57" spans="2:10" ht="17.75" customHeight="1" x14ac:dyDescent="0.25"/>
    <row r="58" spans="2:10" ht="12.75" customHeight="1" x14ac:dyDescent="0.25">
      <c r="B58" s="1465"/>
      <c r="C58" s="1465"/>
      <c r="D58" s="1465"/>
      <c r="E58" s="1465"/>
      <c r="F58" s="1465"/>
      <c r="G58" s="1465"/>
      <c r="H58" s="1465"/>
      <c r="I58" s="1465"/>
      <c r="J58" s="1465"/>
    </row>
    <row r="59" spans="2:10" ht="14.25" customHeight="1" x14ac:dyDescent="0.25">
      <c r="B59" s="346"/>
      <c r="C59" s="347"/>
      <c r="D59" s="346"/>
      <c r="E59" s="346"/>
      <c r="F59" s="346"/>
      <c r="G59" s="346"/>
      <c r="H59" s="346"/>
      <c r="I59" s="346"/>
      <c r="J59" s="346"/>
    </row>
    <row r="60" spans="2:10" ht="14.25" customHeight="1" x14ac:dyDescent="0.25">
      <c r="B60" s="348"/>
      <c r="C60" s="348"/>
      <c r="D60" s="348"/>
      <c r="E60" s="332"/>
      <c r="F60" s="135"/>
      <c r="G60" s="136"/>
      <c r="H60" s="137"/>
      <c r="I60" s="91"/>
      <c r="J60" s="138"/>
    </row>
    <row r="61" spans="2:10" ht="14.25" customHeight="1" x14ac:dyDescent="0.25">
      <c r="B61" s="348"/>
      <c r="C61" s="348"/>
      <c r="D61" s="348"/>
      <c r="E61" s="332"/>
      <c r="F61" s="135"/>
      <c r="G61" s="136"/>
      <c r="H61" s="137"/>
      <c r="I61" s="91"/>
      <c r="J61" s="138"/>
    </row>
    <row r="62" spans="2:10" ht="14.25" customHeight="1" x14ac:dyDescent="0.25">
      <c r="B62" s="348"/>
      <c r="C62" s="348"/>
      <c r="D62" s="348"/>
      <c r="E62" s="332"/>
      <c r="F62" s="135"/>
      <c r="G62" s="136"/>
      <c r="H62" s="137"/>
      <c r="I62" s="91"/>
      <c r="J62" s="138"/>
    </row>
    <row r="63" spans="2:10" ht="18" customHeight="1" x14ac:dyDescent="0.25">
      <c r="B63" s="348"/>
      <c r="C63" s="348"/>
      <c r="D63" s="348"/>
      <c r="E63" s="332"/>
      <c r="F63" s="135"/>
      <c r="G63" s="136"/>
      <c r="H63" s="137"/>
      <c r="I63" s="91"/>
      <c r="J63" s="138"/>
    </row>
    <row r="64" spans="2:10" ht="23.75" customHeight="1" x14ac:dyDescent="0.3">
      <c r="B64" s="1465"/>
      <c r="C64" s="1458"/>
      <c r="D64" s="1458"/>
      <c r="E64" s="1458"/>
      <c r="F64" s="1458"/>
      <c r="G64" s="1458"/>
      <c r="H64" s="1458"/>
    </row>
    <row r="65" spans="1:14" ht="47.75" customHeight="1" x14ac:dyDescent="0.3">
      <c r="B65" s="1465"/>
      <c r="C65" s="1458"/>
      <c r="D65" s="1458"/>
      <c r="E65" s="1458"/>
      <c r="F65" s="1458"/>
      <c r="G65" s="1458"/>
      <c r="H65" s="1458"/>
      <c r="M65" s="130"/>
      <c r="N65" s="130"/>
    </row>
    <row r="66" spans="1:14" ht="14.25" customHeight="1" x14ac:dyDescent="0.25">
      <c r="A66" s="370"/>
      <c r="B66" s="346"/>
      <c r="C66" s="347"/>
      <c r="D66" s="346"/>
      <c r="E66" s="346"/>
      <c r="F66" s="346"/>
      <c r="G66" s="346"/>
      <c r="H66" s="346"/>
      <c r="I66" s="91"/>
      <c r="J66" s="136"/>
      <c r="K66" s="91"/>
      <c r="L66" s="136"/>
    </row>
    <row r="67" spans="1:14" ht="14.25" customHeight="1" x14ac:dyDescent="0.25">
      <c r="B67" s="348"/>
      <c r="C67" s="348"/>
      <c r="D67" s="348"/>
      <c r="E67" s="295"/>
      <c r="F67" s="135"/>
      <c r="G67" s="139"/>
      <c r="H67" s="137"/>
    </row>
    <row r="68" spans="1:14" ht="14.25" customHeight="1" x14ac:dyDescent="0.25">
      <c r="B68" s="348"/>
      <c r="C68" s="348"/>
      <c r="D68" s="348"/>
      <c r="E68" s="480"/>
      <c r="F68" s="135"/>
      <c r="G68" s="136"/>
      <c r="H68" s="137"/>
    </row>
    <row r="69" spans="1:14" ht="14.25" customHeight="1" x14ac:dyDescent="0.25">
      <c r="B69" s="348"/>
      <c r="C69" s="348"/>
      <c r="D69" s="348"/>
      <c r="E69" s="480"/>
      <c r="F69" s="135"/>
      <c r="G69" s="136"/>
      <c r="H69" s="137"/>
    </row>
    <row r="70" spans="1:14" ht="14.25" customHeight="1" x14ac:dyDescent="0.25">
      <c r="B70" s="348"/>
      <c r="C70" s="348"/>
      <c r="D70" s="348"/>
      <c r="E70" s="480"/>
      <c r="F70" s="135"/>
      <c r="G70" s="136"/>
      <c r="H70" s="137"/>
    </row>
    <row r="71" spans="1:14" ht="14.25" customHeight="1" x14ac:dyDescent="0.25">
      <c r="B71" s="348"/>
      <c r="C71" s="348"/>
      <c r="D71" s="348"/>
      <c r="E71" s="480"/>
      <c r="F71" s="135"/>
      <c r="G71" s="136"/>
      <c r="H71" s="137"/>
    </row>
    <row r="72" spans="1:14" ht="14.25" customHeight="1" x14ac:dyDescent="0.25">
      <c r="B72" s="348"/>
      <c r="C72" s="348"/>
      <c r="D72" s="348"/>
      <c r="E72" s="480"/>
      <c r="F72" s="135"/>
      <c r="G72" s="136"/>
      <c r="H72" s="137"/>
    </row>
    <row r="73" spans="1:14" ht="14.25" customHeight="1" x14ac:dyDescent="0.25">
      <c r="B73" s="348"/>
      <c r="C73" s="348"/>
      <c r="D73" s="348"/>
      <c r="E73" s="480"/>
      <c r="F73" s="135"/>
      <c r="G73" s="136"/>
      <c r="H73" s="137"/>
    </row>
    <row r="74" spans="1:14" ht="14.25" customHeight="1" x14ac:dyDescent="0.25">
      <c r="B74" s="348"/>
      <c r="C74" s="348"/>
      <c r="D74" s="348"/>
      <c r="E74" s="480"/>
      <c r="F74" s="135"/>
      <c r="G74" s="136"/>
      <c r="H74" s="137"/>
    </row>
    <row r="75" spans="1:14" ht="14.25" customHeight="1" x14ac:dyDescent="0.25">
      <c r="B75" s="348"/>
      <c r="C75" s="348"/>
      <c r="D75" s="348"/>
      <c r="E75" s="480"/>
      <c r="F75" s="135"/>
      <c r="G75" s="136"/>
      <c r="H75" s="137"/>
    </row>
    <row r="76" spans="1:14" ht="20.25" customHeight="1" x14ac:dyDescent="0.25">
      <c r="B76" s="348"/>
      <c r="C76" s="348"/>
      <c r="D76" s="348"/>
      <c r="E76" s="480"/>
      <c r="F76" s="135"/>
      <c r="G76" s="136"/>
      <c r="H76" s="137"/>
    </row>
    <row r="77" spans="1:14" ht="20" x14ac:dyDescent="0.4">
      <c r="B77" s="203"/>
      <c r="C77" s="481"/>
      <c r="D77" s="482"/>
      <c r="E77" s="483"/>
      <c r="F77" s="482"/>
      <c r="G77" s="484"/>
    </row>
    <row r="78" spans="1:14" ht="12.75" customHeight="1" x14ac:dyDescent="0.25"/>
    <row r="79" spans="1:14" ht="12.75" customHeight="1" x14ac:dyDescent="0.25">
      <c r="E79" s="99"/>
      <c r="F79" s="99"/>
    </row>
    <row r="80" spans="1:14" ht="17.75" customHeight="1" x14ac:dyDescent="0.25">
      <c r="E80" s="99"/>
      <c r="F80" s="99"/>
    </row>
    <row r="81" spans="1:8" ht="17.75" customHeight="1" x14ac:dyDescent="0.3">
      <c r="B81" s="1465"/>
      <c r="C81" s="1458"/>
      <c r="D81" s="1458"/>
      <c r="E81" s="1458"/>
      <c r="F81" s="1458"/>
      <c r="G81" s="1458"/>
      <c r="H81" s="1458"/>
    </row>
    <row r="82" spans="1:8" ht="25.5" customHeight="1" x14ac:dyDescent="0.3">
      <c r="B82" s="1465"/>
      <c r="C82" s="1458"/>
      <c r="D82" s="1458"/>
      <c r="E82" s="1458"/>
      <c r="F82" s="1458"/>
      <c r="G82" s="1458"/>
      <c r="H82" s="1458"/>
    </row>
    <row r="83" spans="1:8" ht="14.25" customHeight="1" x14ac:dyDescent="0.25">
      <c r="A83" s="370"/>
      <c r="B83" s="346"/>
      <c r="C83" s="347"/>
      <c r="D83" s="346"/>
      <c r="E83" s="346"/>
      <c r="F83" s="346"/>
      <c r="G83" s="346"/>
      <c r="H83" s="346"/>
    </row>
    <row r="84" spans="1:8" ht="14.25" customHeight="1" x14ac:dyDescent="0.25">
      <c r="B84" s="348"/>
      <c r="C84" s="348"/>
      <c r="D84" s="348"/>
      <c r="E84" s="295"/>
      <c r="F84" s="135"/>
      <c r="G84" s="139"/>
      <c r="H84" s="137"/>
    </row>
    <row r="85" spans="1:8" ht="14.25" customHeight="1" x14ac:dyDescent="0.25">
      <c r="B85" s="348"/>
      <c r="C85" s="348"/>
      <c r="D85" s="348"/>
      <c r="E85" s="480"/>
      <c r="F85" s="135"/>
      <c r="G85" s="136"/>
      <c r="H85" s="137"/>
    </row>
    <row r="86" spans="1:8" ht="14.25" customHeight="1" x14ac:dyDescent="0.25">
      <c r="B86" s="348"/>
      <c r="C86" s="348"/>
      <c r="D86" s="348"/>
      <c r="E86" s="480"/>
      <c r="F86" s="135"/>
      <c r="G86" s="136"/>
      <c r="H86" s="137"/>
    </row>
    <row r="87" spans="1:8" ht="14.25" customHeight="1" x14ac:dyDescent="0.25">
      <c r="B87" s="348"/>
      <c r="C87" s="348"/>
      <c r="D87" s="348"/>
      <c r="E87" s="480"/>
      <c r="F87" s="135"/>
      <c r="G87" s="136"/>
      <c r="H87" s="137"/>
    </row>
    <row r="88" spans="1:8" ht="14.25" customHeight="1" x14ac:dyDescent="0.25">
      <c r="B88" s="348"/>
      <c r="C88" s="348"/>
      <c r="D88" s="348"/>
      <c r="E88" s="480"/>
      <c r="F88" s="135"/>
      <c r="G88" s="136"/>
      <c r="H88" s="137"/>
    </row>
    <row r="89" spans="1:8" ht="14.25" customHeight="1" x14ac:dyDescent="0.25">
      <c r="B89" s="348"/>
      <c r="C89" s="348"/>
      <c r="D89" s="348"/>
      <c r="E89" s="480"/>
      <c r="F89" s="135"/>
      <c r="G89" s="136"/>
      <c r="H89" s="137"/>
    </row>
    <row r="90" spans="1:8" ht="14.25" customHeight="1" x14ac:dyDescent="0.25">
      <c r="B90" s="348"/>
      <c r="C90" s="348"/>
      <c r="D90" s="348"/>
      <c r="E90" s="480"/>
      <c r="F90" s="135"/>
      <c r="G90" s="136"/>
      <c r="H90" s="137"/>
    </row>
    <row r="91" spans="1:8" ht="14.25" customHeight="1" x14ac:dyDescent="0.25">
      <c r="B91" s="348"/>
      <c r="C91" s="348"/>
      <c r="D91" s="348"/>
      <c r="E91" s="480"/>
      <c r="F91" s="135"/>
      <c r="G91" s="136"/>
      <c r="H91" s="137"/>
    </row>
    <row r="92" spans="1:8" ht="14.25" customHeight="1" x14ac:dyDescent="0.25">
      <c r="B92" s="348"/>
      <c r="C92" s="348"/>
      <c r="D92" s="348"/>
      <c r="E92" s="480"/>
      <c r="F92" s="135"/>
      <c r="G92" s="136"/>
      <c r="H92" s="137"/>
    </row>
    <row r="93" spans="1:8" ht="20.25" customHeight="1" x14ac:dyDescent="0.25">
      <c r="B93" s="348"/>
      <c r="C93" s="348"/>
      <c r="D93" s="348"/>
      <c r="E93" s="480"/>
      <c r="F93" s="135"/>
      <c r="G93" s="136"/>
      <c r="H93" s="137"/>
    </row>
    <row r="94" spans="1:8" ht="12.75" customHeight="1" x14ac:dyDescent="0.4">
      <c r="B94" s="203"/>
      <c r="C94" s="481"/>
      <c r="D94" s="482"/>
      <c r="E94" s="483"/>
      <c r="F94" s="482"/>
      <c r="G94" s="484"/>
    </row>
    <row r="95" spans="1:8" ht="12.75" customHeight="1" x14ac:dyDescent="0.25">
      <c r="B95" s="99"/>
      <c r="E95" s="99"/>
      <c r="F95" s="99"/>
    </row>
    <row r="96" spans="1:8" ht="12.75" customHeight="1" x14ac:dyDescent="0.25">
      <c r="B96" s="99"/>
      <c r="E96" s="99"/>
      <c r="F96" s="99"/>
    </row>
    <row r="97" spans="2:6" ht="12.75" customHeight="1" x14ac:dyDescent="0.25">
      <c r="B97" s="99"/>
      <c r="E97" s="99"/>
      <c r="F97" s="99"/>
    </row>
    <row r="98" spans="2:6" ht="12.75" customHeight="1" x14ac:dyDescent="0.25">
      <c r="B98" s="99"/>
      <c r="E98" s="99"/>
      <c r="F98" s="99"/>
    </row>
    <row r="99" spans="2:6" ht="12.75" customHeight="1" x14ac:dyDescent="0.25">
      <c r="B99" s="99"/>
      <c r="E99" s="99"/>
      <c r="F99" s="99"/>
    </row>
    <row r="100" spans="2:6" ht="12.75" customHeight="1" x14ac:dyDescent="0.25">
      <c r="B100" s="99"/>
      <c r="E100" s="99"/>
      <c r="F100" s="99"/>
    </row>
    <row r="101" spans="2:6" ht="12.75" customHeight="1" x14ac:dyDescent="0.25">
      <c r="B101" s="99"/>
      <c r="E101" s="99"/>
      <c r="F101" s="99"/>
    </row>
    <row r="102" spans="2:6" ht="12.75" customHeight="1" x14ac:dyDescent="0.25">
      <c r="B102" s="99"/>
      <c r="E102" s="99"/>
      <c r="F102" s="99"/>
    </row>
    <row r="103" spans="2:6" ht="12.75" customHeight="1" x14ac:dyDescent="0.25">
      <c r="B103" s="99"/>
      <c r="E103" s="99"/>
      <c r="F103" s="99"/>
    </row>
    <row r="104" spans="2:6" ht="12.75" customHeight="1" x14ac:dyDescent="0.25">
      <c r="B104" s="99"/>
      <c r="E104" s="99"/>
      <c r="F104" s="99"/>
    </row>
    <row r="105" spans="2:6" ht="12.75" customHeight="1" x14ac:dyDescent="0.25">
      <c r="B105" s="99"/>
      <c r="E105" s="99"/>
      <c r="F105" s="99"/>
    </row>
    <row r="106" spans="2:6" ht="12.75" customHeight="1" x14ac:dyDescent="0.25">
      <c r="B106" s="99"/>
      <c r="E106" s="99"/>
      <c r="F106" s="99"/>
    </row>
    <row r="107" spans="2:6" ht="12.75" customHeight="1" x14ac:dyDescent="0.25">
      <c r="B107" s="99"/>
      <c r="E107" s="99"/>
      <c r="F107" s="99"/>
    </row>
    <row r="108" spans="2:6" ht="12.75" customHeight="1" x14ac:dyDescent="0.25">
      <c r="B108" s="99"/>
      <c r="E108" s="99"/>
      <c r="F108" s="99"/>
    </row>
    <row r="109" spans="2:6" ht="12.75" customHeight="1" x14ac:dyDescent="0.25">
      <c r="B109" s="99"/>
      <c r="E109" s="99"/>
      <c r="F109" s="99"/>
    </row>
    <row r="110" spans="2:6" ht="12.75" customHeight="1" x14ac:dyDescent="0.25">
      <c r="B110" s="99"/>
      <c r="E110" s="99"/>
      <c r="F110" s="99"/>
    </row>
    <row r="111" spans="2:6" ht="12.75" customHeight="1" x14ac:dyDescent="0.25">
      <c r="B111" s="99"/>
      <c r="E111" s="99"/>
      <c r="F111" s="99"/>
    </row>
    <row r="112" spans="2:6" ht="12.75" customHeight="1" x14ac:dyDescent="0.25">
      <c r="B112" s="99"/>
      <c r="E112" s="99"/>
      <c r="F112" s="99"/>
    </row>
    <row r="113" spans="2:6" ht="12.75" customHeight="1" x14ac:dyDescent="0.25">
      <c r="B113" s="99"/>
      <c r="E113" s="99"/>
      <c r="F113" s="99"/>
    </row>
    <row r="114" spans="2:6" ht="12.75" customHeight="1" x14ac:dyDescent="0.25">
      <c r="B114" s="99"/>
      <c r="E114" s="99"/>
      <c r="F114" s="99"/>
    </row>
    <row r="115" spans="2:6" ht="12.75" customHeight="1" x14ac:dyDescent="0.25">
      <c r="B115" s="99"/>
      <c r="E115" s="99"/>
      <c r="F115" s="99"/>
    </row>
    <row r="116" spans="2:6" ht="12.75" customHeight="1" x14ac:dyDescent="0.25">
      <c r="B116" s="99"/>
      <c r="E116" s="99"/>
      <c r="F116" s="99"/>
    </row>
    <row r="117" spans="2:6" ht="12.75" customHeight="1" x14ac:dyDescent="0.25">
      <c r="B117" s="99"/>
      <c r="E117" s="99"/>
      <c r="F117" s="99"/>
    </row>
    <row r="118" spans="2:6" ht="12.75" customHeight="1" x14ac:dyDescent="0.25">
      <c r="B118" s="99"/>
      <c r="E118" s="99"/>
      <c r="F118" s="99"/>
    </row>
    <row r="119" spans="2:6" ht="12.75" customHeight="1" x14ac:dyDescent="0.25">
      <c r="B119" s="99"/>
      <c r="E119" s="99"/>
      <c r="F119" s="99"/>
    </row>
    <row r="120" spans="2:6" ht="12.75" customHeight="1" x14ac:dyDescent="0.25">
      <c r="B120" s="99"/>
      <c r="E120" s="99"/>
      <c r="F120" s="99"/>
    </row>
    <row r="121" spans="2:6" ht="12.75" customHeight="1" x14ac:dyDescent="0.25">
      <c r="B121" s="99"/>
      <c r="E121" s="99"/>
      <c r="F121" s="99"/>
    </row>
    <row r="122" spans="2:6" ht="12.75" customHeight="1" x14ac:dyDescent="0.25">
      <c r="B122" s="99"/>
      <c r="E122" s="99"/>
      <c r="F122" s="99"/>
    </row>
    <row r="123" spans="2:6" ht="12.75" customHeight="1" x14ac:dyDescent="0.25">
      <c r="B123" s="99"/>
      <c r="E123" s="99"/>
      <c r="F123" s="99"/>
    </row>
    <row r="124" spans="2:6" ht="12.75" customHeight="1" x14ac:dyDescent="0.25">
      <c r="B124" s="99"/>
      <c r="E124" s="99"/>
      <c r="F124" s="99"/>
    </row>
    <row r="125" spans="2:6" ht="12.75" customHeight="1" x14ac:dyDescent="0.25">
      <c r="B125" s="99"/>
      <c r="E125" s="99"/>
      <c r="F125" s="99"/>
    </row>
    <row r="126" spans="2:6" ht="12.75" customHeight="1" x14ac:dyDescent="0.25">
      <c r="B126" s="99"/>
      <c r="E126" s="99"/>
      <c r="F126" s="99"/>
    </row>
    <row r="127" spans="2:6" ht="12.75" customHeight="1" x14ac:dyDescent="0.25">
      <c r="B127" s="99"/>
      <c r="E127" s="99"/>
      <c r="F127" s="99"/>
    </row>
    <row r="128" spans="2:6" ht="12.75" customHeight="1" x14ac:dyDescent="0.25">
      <c r="B128" s="99"/>
      <c r="E128" s="99"/>
      <c r="F128" s="99"/>
    </row>
    <row r="129" spans="2:6" ht="12.75" customHeight="1" x14ac:dyDescent="0.25">
      <c r="B129" s="99"/>
      <c r="E129" s="99"/>
      <c r="F129" s="99"/>
    </row>
    <row r="130" spans="2:6" ht="12.75" customHeight="1" x14ac:dyDescent="0.25">
      <c r="B130" s="99"/>
      <c r="E130" s="99"/>
      <c r="F130" s="99"/>
    </row>
    <row r="131" spans="2:6" ht="12.75" customHeight="1" x14ac:dyDescent="0.25">
      <c r="B131" s="99"/>
      <c r="E131" s="99"/>
      <c r="F131" s="99"/>
    </row>
    <row r="132" spans="2:6" ht="12.75" customHeight="1" x14ac:dyDescent="0.25">
      <c r="B132" s="99"/>
      <c r="E132" s="99"/>
      <c r="F132" s="99"/>
    </row>
    <row r="133" spans="2:6" ht="12.75" customHeight="1" x14ac:dyDescent="0.25">
      <c r="B133" s="99"/>
      <c r="E133" s="99"/>
      <c r="F133" s="99"/>
    </row>
    <row r="134" spans="2:6" ht="12.75" customHeight="1" x14ac:dyDescent="0.25">
      <c r="B134" s="99"/>
      <c r="E134" s="99"/>
      <c r="F134" s="99"/>
    </row>
    <row r="135" spans="2:6" ht="12.75" customHeight="1" x14ac:dyDescent="0.25">
      <c r="B135" s="99"/>
      <c r="E135" s="99"/>
      <c r="F135" s="99"/>
    </row>
    <row r="136" spans="2:6" ht="12.75" customHeight="1" x14ac:dyDescent="0.25">
      <c r="B136" s="99"/>
      <c r="E136" s="99"/>
      <c r="F136" s="99"/>
    </row>
    <row r="137" spans="2:6" ht="12.75" customHeight="1" x14ac:dyDescent="0.25">
      <c r="B137" s="99"/>
      <c r="E137" s="99"/>
      <c r="F137" s="99"/>
    </row>
    <row r="138" spans="2:6" ht="12.75" customHeight="1" x14ac:dyDescent="0.25">
      <c r="B138" s="99"/>
      <c r="E138" s="99"/>
      <c r="F138" s="99"/>
    </row>
    <row r="139" spans="2:6" ht="12.75" customHeight="1" x14ac:dyDescent="0.25">
      <c r="B139" s="99"/>
      <c r="E139" s="99"/>
      <c r="F139" s="99"/>
    </row>
    <row r="140" spans="2:6" ht="12.75" customHeight="1" x14ac:dyDescent="0.25">
      <c r="B140" s="99"/>
      <c r="E140" s="99"/>
      <c r="F140" s="99"/>
    </row>
    <row r="141" spans="2:6" ht="12.75" customHeight="1" x14ac:dyDescent="0.25">
      <c r="B141" s="99"/>
      <c r="E141" s="99"/>
      <c r="F141" s="99"/>
    </row>
    <row r="142" spans="2:6" ht="12.75" customHeight="1" x14ac:dyDescent="0.25">
      <c r="B142" s="99"/>
      <c r="E142" s="99"/>
      <c r="F142" s="99"/>
    </row>
    <row r="143" spans="2:6" ht="12.75" customHeight="1" x14ac:dyDescent="0.25">
      <c r="B143" s="99"/>
      <c r="E143" s="99"/>
      <c r="F143" s="99"/>
    </row>
    <row r="144" spans="2:6" ht="12.75" customHeight="1" x14ac:dyDescent="0.25">
      <c r="B144" s="99"/>
      <c r="E144" s="99"/>
      <c r="F144" s="99"/>
    </row>
    <row r="145" spans="2:6" ht="12.75" customHeight="1" x14ac:dyDescent="0.25">
      <c r="B145" s="99"/>
      <c r="E145" s="99"/>
      <c r="F145" s="99"/>
    </row>
    <row r="146" spans="2:6" ht="12.75" customHeight="1" x14ac:dyDescent="0.25">
      <c r="B146" s="99"/>
      <c r="E146" s="99"/>
      <c r="F146" s="99"/>
    </row>
    <row r="147" spans="2:6" ht="12.75" customHeight="1" x14ac:dyDescent="0.25">
      <c r="B147" s="99"/>
      <c r="E147" s="99"/>
      <c r="F147" s="99"/>
    </row>
    <row r="148" spans="2:6" ht="12.75" customHeight="1" x14ac:dyDescent="0.25">
      <c r="B148" s="99"/>
      <c r="E148" s="99"/>
      <c r="F148" s="99"/>
    </row>
    <row r="149" spans="2:6" ht="12.75" customHeight="1" x14ac:dyDescent="0.25">
      <c r="B149" s="99"/>
      <c r="E149" s="99"/>
      <c r="F149" s="99"/>
    </row>
    <row r="150" spans="2:6" ht="12.75" customHeight="1" x14ac:dyDescent="0.25">
      <c r="B150" s="99"/>
      <c r="E150" s="99"/>
      <c r="F150" s="99"/>
    </row>
    <row r="151" spans="2:6" ht="12.75" customHeight="1" x14ac:dyDescent="0.25">
      <c r="B151" s="99"/>
      <c r="E151" s="99"/>
      <c r="F151" s="99"/>
    </row>
    <row r="152" spans="2:6" ht="12.75" customHeight="1" x14ac:dyDescent="0.25">
      <c r="B152" s="99"/>
      <c r="E152" s="99"/>
      <c r="F152" s="99"/>
    </row>
    <row r="153" spans="2:6" ht="12.75" customHeight="1" x14ac:dyDescent="0.25">
      <c r="B153" s="99"/>
      <c r="E153" s="99"/>
      <c r="F153" s="99"/>
    </row>
    <row r="154" spans="2:6" ht="12.75" customHeight="1" x14ac:dyDescent="0.25">
      <c r="B154" s="99"/>
      <c r="E154" s="99"/>
      <c r="F154" s="99"/>
    </row>
    <row r="155" spans="2:6" ht="12.75" customHeight="1" x14ac:dyDescent="0.25">
      <c r="B155" s="99"/>
      <c r="E155" s="99"/>
      <c r="F155" s="99"/>
    </row>
    <row r="156" spans="2:6" ht="12.75" customHeight="1" x14ac:dyDescent="0.25">
      <c r="B156" s="99"/>
      <c r="E156" s="99"/>
      <c r="F156" s="99"/>
    </row>
    <row r="157" spans="2:6" ht="12.75" customHeight="1" x14ac:dyDescent="0.25">
      <c r="B157" s="99"/>
      <c r="E157" s="99"/>
      <c r="F157" s="99"/>
    </row>
    <row r="158" spans="2:6" ht="12.75" customHeight="1" x14ac:dyDescent="0.25">
      <c r="B158" s="99"/>
      <c r="E158" s="99"/>
      <c r="F158" s="99"/>
    </row>
    <row r="159" spans="2:6" ht="12.75" customHeight="1" x14ac:dyDescent="0.25">
      <c r="B159" s="99"/>
      <c r="E159" s="99"/>
      <c r="F159" s="99"/>
    </row>
    <row r="160" spans="2:6" ht="12.75" customHeight="1" x14ac:dyDescent="0.25">
      <c r="B160" s="99"/>
      <c r="E160" s="99"/>
      <c r="F160" s="99"/>
    </row>
    <row r="161" spans="2:6" ht="12.75" customHeight="1" x14ac:dyDescent="0.25">
      <c r="B161" s="99"/>
      <c r="E161" s="99"/>
      <c r="F161" s="99"/>
    </row>
    <row r="162" spans="2:6" ht="12.75" customHeight="1" x14ac:dyDescent="0.25">
      <c r="B162" s="99"/>
      <c r="E162" s="99"/>
      <c r="F162" s="99"/>
    </row>
    <row r="163" spans="2:6" ht="12.75" customHeight="1" x14ac:dyDescent="0.25">
      <c r="B163" s="99"/>
      <c r="E163" s="99"/>
      <c r="F163" s="99"/>
    </row>
    <row r="164" spans="2:6" ht="12.75" customHeight="1" x14ac:dyDescent="0.25">
      <c r="B164" s="99"/>
      <c r="E164" s="99"/>
      <c r="F164" s="99"/>
    </row>
    <row r="165" spans="2:6" ht="12.75" customHeight="1" x14ac:dyDescent="0.25">
      <c r="B165" s="99"/>
      <c r="E165" s="99"/>
      <c r="F165" s="99"/>
    </row>
    <row r="166" spans="2:6" ht="12.75" customHeight="1" x14ac:dyDescent="0.25">
      <c r="B166" s="99"/>
      <c r="E166" s="99"/>
      <c r="F166" s="99"/>
    </row>
    <row r="167" spans="2:6" ht="12.75" customHeight="1" x14ac:dyDescent="0.25">
      <c r="B167" s="99"/>
      <c r="E167" s="99"/>
      <c r="F167" s="99"/>
    </row>
    <row r="168" spans="2:6" ht="12.75" customHeight="1" x14ac:dyDescent="0.25">
      <c r="B168" s="99"/>
      <c r="E168" s="99"/>
      <c r="F168" s="99"/>
    </row>
    <row r="169" spans="2:6" ht="12.75" customHeight="1" x14ac:dyDescent="0.25">
      <c r="B169" s="99"/>
      <c r="E169" s="99"/>
      <c r="F169" s="99"/>
    </row>
    <row r="170" spans="2:6" ht="12.75" customHeight="1" x14ac:dyDescent="0.25">
      <c r="B170" s="99"/>
      <c r="E170" s="99"/>
      <c r="F170" s="99"/>
    </row>
    <row r="171" spans="2:6" ht="12.75" customHeight="1" x14ac:dyDescent="0.25">
      <c r="B171" s="99"/>
      <c r="E171" s="99"/>
      <c r="F171" s="99"/>
    </row>
    <row r="172" spans="2:6" ht="12.75" customHeight="1" x14ac:dyDescent="0.25">
      <c r="B172" s="99"/>
      <c r="E172" s="99"/>
      <c r="F172" s="99"/>
    </row>
    <row r="173" spans="2:6" ht="12.75" customHeight="1" x14ac:dyDescent="0.25">
      <c r="B173" s="99"/>
      <c r="E173" s="99"/>
      <c r="F173" s="99"/>
    </row>
    <row r="174" spans="2:6" ht="12.75" customHeight="1" x14ac:dyDescent="0.25">
      <c r="B174" s="99"/>
      <c r="E174" s="99"/>
      <c r="F174" s="99"/>
    </row>
    <row r="175" spans="2:6" ht="12.75" customHeight="1" x14ac:dyDescent="0.25">
      <c r="B175" s="99"/>
      <c r="E175" s="99"/>
      <c r="F175" s="99"/>
    </row>
    <row r="176" spans="2:6" ht="12.75" customHeight="1" x14ac:dyDescent="0.25">
      <c r="B176" s="99"/>
      <c r="E176" s="99"/>
      <c r="F176" s="99"/>
    </row>
    <row r="177" spans="2:6" ht="12.75" customHeight="1" x14ac:dyDescent="0.25">
      <c r="B177" s="99"/>
      <c r="E177" s="99"/>
      <c r="F177" s="99"/>
    </row>
    <row r="178" spans="2:6" ht="12.75" customHeight="1" x14ac:dyDescent="0.25">
      <c r="B178" s="99"/>
      <c r="E178" s="99"/>
      <c r="F178" s="99"/>
    </row>
    <row r="179" spans="2:6" ht="12.75" customHeight="1" x14ac:dyDescent="0.25">
      <c r="B179" s="99"/>
      <c r="E179" s="99"/>
      <c r="F179" s="99"/>
    </row>
    <row r="180" spans="2:6" ht="12.75" customHeight="1" x14ac:dyDescent="0.25">
      <c r="B180" s="99"/>
      <c r="E180" s="99"/>
      <c r="F180" s="99"/>
    </row>
    <row r="181" spans="2:6" ht="12.75" customHeight="1" x14ac:dyDescent="0.25">
      <c r="B181" s="99"/>
      <c r="E181" s="99"/>
      <c r="F181" s="99"/>
    </row>
    <row r="182" spans="2:6" ht="12.75" customHeight="1" x14ac:dyDescent="0.25">
      <c r="B182" s="99"/>
      <c r="E182" s="99"/>
      <c r="F182" s="99"/>
    </row>
    <row r="183" spans="2:6" ht="12.75" customHeight="1" x14ac:dyDescent="0.25">
      <c r="B183" s="99"/>
      <c r="E183" s="99"/>
      <c r="F183" s="99"/>
    </row>
    <row r="184" spans="2:6" ht="12.75" customHeight="1" x14ac:dyDescent="0.25">
      <c r="B184" s="99"/>
      <c r="E184" s="99"/>
      <c r="F184" s="99"/>
    </row>
    <row r="185" spans="2:6" ht="12.75" customHeight="1" x14ac:dyDescent="0.25">
      <c r="B185" s="99"/>
      <c r="E185" s="99"/>
      <c r="F185" s="99"/>
    </row>
    <row r="186" spans="2:6" ht="12.75" customHeight="1" x14ac:dyDescent="0.25">
      <c r="B186" s="99"/>
      <c r="E186" s="99"/>
      <c r="F186" s="99"/>
    </row>
    <row r="187" spans="2:6" ht="12.75" customHeight="1" x14ac:dyDescent="0.25">
      <c r="B187" s="99"/>
      <c r="E187" s="99"/>
      <c r="F187" s="99"/>
    </row>
    <row r="188" spans="2:6" ht="12.75" customHeight="1" x14ac:dyDescent="0.25">
      <c r="B188" s="99"/>
      <c r="E188" s="99"/>
      <c r="F188" s="99"/>
    </row>
    <row r="189" spans="2:6" ht="12.75" customHeight="1" x14ac:dyDescent="0.25">
      <c r="B189" s="99"/>
      <c r="E189" s="99"/>
      <c r="F189" s="99"/>
    </row>
    <row r="190" spans="2:6" ht="12.75" customHeight="1" x14ac:dyDescent="0.25">
      <c r="B190" s="99"/>
      <c r="E190" s="99"/>
      <c r="F190" s="99"/>
    </row>
    <row r="191" spans="2:6" ht="12.75" customHeight="1" x14ac:dyDescent="0.25">
      <c r="B191" s="99"/>
      <c r="E191" s="99"/>
      <c r="F191" s="99"/>
    </row>
    <row r="192" spans="2:6" ht="12.75" customHeight="1" x14ac:dyDescent="0.25">
      <c r="B192" s="99"/>
      <c r="E192" s="99"/>
      <c r="F192" s="99"/>
    </row>
    <row r="193" spans="2:6" ht="12.75" customHeight="1" x14ac:dyDescent="0.25">
      <c r="B193" s="99"/>
      <c r="E193" s="99"/>
      <c r="F193" s="99"/>
    </row>
    <row r="194" spans="2:6" ht="12.75" customHeight="1" x14ac:dyDescent="0.25">
      <c r="B194" s="99"/>
      <c r="E194" s="99"/>
      <c r="F194" s="99"/>
    </row>
    <row r="195" spans="2:6" ht="12.75" customHeight="1" x14ac:dyDescent="0.25">
      <c r="B195" s="99"/>
      <c r="E195" s="99"/>
      <c r="F195" s="99"/>
    </row>
    <row r="196" spans="2:6" ht="12.75" customHeight="1" x14ac:dyDescent="0.25">
      <c r="B196" s="99"/>
      <c r="E196" s="99"/>
      <c r="F196" s="99"/>
    </row>
    <row r="197" spans="2:6" ht="12.75" customHeight="1" x14ac:dyDescent="0.25">
      <c r="B197" s="99"/>
      <c r="E197" s="99"/>
      <c r="F197" s="99"/>
    </row>
    <row r="198" spans="2:6" ht="12.75" customHeight="1" x14ac:dyDescent="0.25">
      <c r="B198" s="99"/>
      <c r="E198" s="99"/>
      <c r="F198" s="99"/>
    </row>
    <row r="199" spans="2:6" ht="12.75" customHeight="1" x14ac:dyDescent="0.25">
      <c r="B199" s="99"/>
      <c r="E199" s="99"/>
      <c r="F199" s="99"/>
    </row>
    <row r="200" spans="2:6" ht="12.75" customHeight="1" x14ac:dyDescent="0.25">
      <c r="B200" s="99"/>
      <c r="E200" s="99"/>
      <c r="F200" s="99"/>
    </row>
    <row r="201" spans="2:6" ht="12.75" customHeight="1" x14ac:dyDescent="0.25">
      <c r="B201" s="99"/>
      <c r="E201" s="99"/>
      <c r="F201" s="99"/>
    </row>
    <row r="202" spans="2:6" ht="12.75" customHeight="1" x14ac:dyDescent="0.25">
      <c r="B202" s="99"/>
      <c r="E202" s="99"/>
      <c r="F202" s="99"/>
    </row>
    <row r="203" spans="2:6" ht="12.75" customHeight="1" x14ac:dyDescent="0.25">
      <c r="B203" s="99"/>
      <c r="E203" s="99"/>
      <c r="F203" s="99"/>
    </row>
    <row r="204" spans="2:6" ht="12.75" customHeight="1" x14ac:dyDescent="0.25">
      <c r="B204" s="99"/>
      <c r="E204" s="99"/>
      <c r="F204" s="99"/>
    </row>
    <row r="205" spans="2:6" ht="12.75" customHeight="1" x14ac:dyDescent="0.25">
      <c r="B205" s="99"/>
      <c r="E205" s="99"/>
      <c r="F205" s="99"/>
    </row>
    <row r="206" spans="2:6" ht="12.75" customHeight="1" x14ac:dyDescent="0.25">
      <c r="B206" s="99"/>
      <c r="E206" s="99"/>
      <c r="F206" s="99"/>
    </row>
    <row r="207" spans="2:6" ht="12.75" customHeight="1" x14ac:dyDescent="0.25">
      <c r="B207" s="99"/>
      <c r="E207" s="99"/>
      <c r="F207" s="99"/>
    </row>
    <row r="208" spans="2:6" ht="12.75" customHeight="1" x14ac:dyDescent="0.25">
      <c r="B208" s="99"/>
      <c r="E208" s="99"/>
      <c r="F208" s="99"/>
    </row>
    <row r="209" spans="2:6" ht="12.75" customHeight="1" x14ac:dyDescent="0.25">
      <c r="B209" s="99"/>
      <c r="E209" s="99"/>
      <c r="F209" s="99"/>
    </row>
    <row r="210" spans="2:6" ht="12.75" customHeight="1" x14ac:dyDescent="0.25">
      <c r="B210" s="99"/>
      <c r="E210" s="99"/>
      <c r="F210" s="99"/>
    </row>
    <row r="211" spans="2:6" ht="12.75" customHeight="1" x14ac:dyDescent="0.25">
      <c r="B211" s="99"/>
      <c r="E211" s="99"/>
      <c r="F211" s="99"/>
    </row>
    <row r="212" spans="2:6" ht="12.75" customHeight="1" x14ac:dyDescent="0.25">
      <c r="B212" s="99"/>
      <c r="E212" s="99"/>
      <c r="F212" s="99"/>
    </row>
    <row r="213" spans="2:6" ht="12.75" customHeight="1" x14ac:dyDescent="0.25">
      <c r="B213" s="99"/>
      <c r="E213" s="99"/>
      <c r="F213" s="99"/>
    </row>
    <row r="214" spans="2:6" ht="12.75" customHeight="1" x14ac:dyDescent="0.25">
      <c r="B214" s="99"/>
      <c r="E214" s="99"/>
      <c r="F214" s="99"/>
    </row>
    <row r="215" spans="2:6" ht="12.75" customHeight="1" x14ac:dyDescent="0.25">
      <c r="B215" s="99"/>
      <c r="E215" s="99"/>
      <c r="F215" s="99"/>
    </row>
    <row r="216" spans="2:6" ht="12.75" customHeight="1" x14ac:dyDescent="0.25">
      <c r="B216" s="99"/>
      <c r="E216" s="99"/>
      <c r="F216" s="99"/>
    </row>
    <row r="217" spans="2:6" ht="12.75" customHeight="1" x14ac:dyDescent="0.25">
      <c r="B217" s="99"/>
      <c r="E217" s="99"/>
      <c r="F217" s="99"/>
    </row>
    <row r="218" spans="2:6" ht="12.75" customHeight="1" x14ac:dyDescent="0.25">
      <c r="B218" s="99"/>
      <c r="E218" s="99"/>
      <c r="F218" s="99"/>
    </row>
    <row r="219" spans="2:6" ht="12.75" customHeight="1" x14ac:dyDescent="0.25">
      <c r="B219" s="99"/>
      <c r="E219" s="99"/>
      <c r="F219" s="99"/>
    </row>
    <row r="220" spans="2:6" ht="12.75" customHeight="1" x14ac:dyDescent="0.25">
      <c r="B220" s="99"/>
      <c r="E220" s="99"/>
      <c r="F220" s="99"/>
    </row>
    <row r="221" spans="2:6" ht="12.75" customHeight="1" x14ac:dyDescent="0.25">
      <c r="B221" s="99"/>
      <c r="E221" s="99"/>
      <c r="F221" s="99"/>
    </row>
    <row r="222" spans="2:6" ht="12.75" customHeight="1" x14ac:dyDescent="0.25">
      <c r="B222" s="99"/>
      <c r="E222" s="99"/>
      <c r="F222" s="99"/>
    </row>
    <row r="223" spans="2:6" ht="12.75" customHeight="1" x14ac:dyDescent="0.25">
      <c r="B223" s="99"/>
      <c r="E223" s="99"/>
      <c r="F223" s="99"/>
    </row>
    <row r="224" spans="2:6" ht="12.75" customHeight="1" x14ac:dyDescent="0.25">
      <c r="B224" s="99"/>
      <c r="E224" s="99"/>
      <c r="F224" s="99"/>
    </row>
    <row r="225" spans="2:6" ht="12.75" customHeight="1" x14ac:dyDescent="0.25">
      <c r="B225" s="99"/>
      <c r="E225" s="99"/>
      <c r="F225" s="99"/>
    </row>
    <row r="226" spans="2:6" ht="12.75" customHeight="1" x14ac:dyDescent="0.25">
      <c r="B226" s="99"/>
      <c r="E226" s="99"/>
      <c r="F226" s="99"/>
    </row>
    <row r="227" spans="2:6" ht="12.75" customHeight="1" x14ac:dyDescent="0.25">
      <c r="B227" s="99"/>
      <c r="E227" s="99"/>
      <c r="F227" s="99"/>
    </row>
    <row r="228" spans="2:6" ht="12.75" customHeight="1" x14ac:dyDescent="0.25">
      <c r="B228" s="99"/>
      <c r="E228" s="99"/>
      <c r="F228" s="99"/>
    </row>
    <row r="229" spans="2:6" ht="12.75" customHeight="1" x14ac:dyDescent="0.25">
      <c r="B229" s="99"/>
      <c r="E229" s="99"/>
      <c r="F229" s="99"/>
    </row>
    <row r="230" spans="2:6" ht="12.75" customHeight="1" x14ac:dyDescent="0.25">
      <c r="B230" s="99"/>
      <c r="E230" s="99"/>
      <c r="F230" s="99"/>
    </row>
    <row r="231" spans="2:6" ht="12.75" customHeight="1" x14ac:dyDescent="0.25">
      <c r="B231" s="99"/>
      <c r="E231" s="99"/>
      <c r="F231" s="99"/>
    </row>
    <row r="232" spans="2:6" ht="12.75" customHeight="1" x14ac:dyDescent="0.25">
      <c r="B232" s="99"/>
      <c r="E232" s="99"/>
      <c r="F232" s="99"/>
    </row>
    <row r="233" spans="2:6" ht="12.75" customHeight="1" x14ac:dyDescent="0.25">
      <c r="B233" s="99"/>
      <c r="E233" s="99"/>
      <c r="F233" s="99"/>
    </row>
    <row r="234" spans="2:6" ht="12.75" customHeight="1" x14ac:dyDescent="0.25">
      <c r="B234" s="99"/>
      <c r="E234" s="99"/>
      <c r="F234" s="99"/>
    </row>
    <row r="235" spans="2:6" ht="12.75" customHeight="1" x14ac:dyDescent="0.25">
      <c r="B235" s="99"/>
      <c r="E235" s="99"/>
      <c r="F235" s="99"/>
    </row>
    <row r="236" spans="2:6" ht="12.75" customHeight="1" x14ac:dyDescent="0.25">
      <c r="B236" s="99"/>
      <c r="E236" s="99"/>
      <c r="F236" s="99"/>
    </row>
    <row r="237" spans="2:6" ht="12.75" customHeight="1" x14ac:dyDescent="0.25">
      <c r="B237" s="99"/>
      <c r="E237" s="99"/>
      <c r="F237" s="99"/>
    </row>
    <row r="238" spans="2:6" ht="12.75" customHeight="1" x14ac:dyDescent="0.25">
      <c r="B238" s="99"/>
      <c r="E238" s="99"/>
      <c r="F238" s="99"/>
    </row>
    <row r="239" spans="2:6" ht="12.75" customHeight="1" x14ac:dyDescent="0.25">
      <c r="B239" s="99"/>
      <c r="E239" s="99"/>
      <c r="F239" s="99"/>
    </row>
    <row r="240" spans="2:6" ht="12.75" customHeight="1" x14ac:dyDescent="0.25">
      <c r="B240" s="99"/>
      <c r="E240" s="99"/>
      <c r="F240" s="99"/>
    </row>
    <row r="241" spans="2:6" ht="12.75" customHeight="1" x14ac:dyDescent="0.25">
      <c r="B241" s="99"/>
      <c r="E241" s="99"/>
      <c r="F241" s="99"/>
    </row>
    <row r="242" spans="2:6" ht="12.75" customHeight="1" x14ac:dyDescent="0.25">
      <c r="B242" s="99"/>
      <c r="E242" s="99"/>
      <c r="F242" s="99"/>
    </row>
    <row r="243" spans="2:6" ht="12.75" customHeight="1" x14ac:dyDescent="0.25">
      <c r="B243" s="99"/>
      <c r="E243" s="99"/>
      <c r="F243" s="99"/>
    </row>
    <row r="244" spans="2:6" ht="12.75" customHeight="1" x14ac:dyDescent="0.25">
      <c r="B244" s="99"/>
      <c r="E244" s="99"/>
      <c r="F244" s="99"/>
    </row>
    <row r="245" spans="2:6" ht="12.75" customHeight="1" x14ac:dyDescent="0.25">
      <c r="B245" s="99"/>
      <c r="E245" s="99"/>
      <c r="F245" s="99"/>
    </row>
    <row r="246" spans="2:6" ht="12.75" customHeight="1" x14ac:dyDescent="0.25">
      <c r="B246" s="99"/>
      <c r="E246" s="99"/>
      <c r="F246" s="99"/>
    </row>
    <row r="247" spans="2:6" ht="12.75" customHeight="1" x14ac:dyDescent="0.25">
      <c r="B247" s="99"/>
      <c r="E247" s="99"/>
      <c r="F247" s="99"/>
    </row>
    <row r="248" spans="2:6" ht="12.75" customHeight="1" x14ac:dyDescent="0.25">
      <c r="B248" s="99"/>
      <c r="E248" s="99"/>
      <c r="F248" s="99"/>
    </row>
    <row r="249" spans="2:6" ht="12.75" customHeight="1" x14ac:dyDescent="0.25">
      <c r="B249" s="99"/>
      <c r="E249" s="99"/>
      <c r="F249" s="99"/>
    </row>
    <row r="250" spans="2:6" ht="12.75" customHeight="1" x14ac:dyDescent="0.25">
      <c r="B250" s="99"/>
      <c r="E250" s="99"/>
      <c r="F250" s="99"/>
    </row>
    <row r="251" spans="2:6" ht="12.75" customHeight="1" x14ac:dyDescent="0.25">
      <c r="B251" s="99"/>
      <c r="E251" s="99"/>
      <c r="F251" s="99"/>
    </row>
    <row r="252" spans="2:6" ht="12.75" customHeight="1" x14ac:dyDescent="0.25">
      <c r="B252" s="99"/>
      <c r="E252" s="99"/>
      <c r="F252" s="99"/>
    </row>
    <row r="253" spans="2:6" ht="12.75" customHeight="1" x14ac:dyDescent="0.25">
      <c r="B253" s="99"/>
      <c r="E253" s="99"/>
      <c r="F253" s="99"/>
    </row>
    <row r="254" spans="2:6" ht="12.75" customHeight="1" x14ac:dyDescent="0.25">
      <c r="B254" s="99"/>
      <c r="E254" s="99"/>
      <c r="F254" s="99"/>
    </row>
    <row r="255" spans="2:6" ht="12.75" customHeight="1" x14ac:dyDescent="0.25">
      <c r="B255" s="99"/>
      <c r="E255" s="99"/>
      <c r="F255" s="99"/>
    </row>
    <row r="256" spans="2:6" ht="12.75" customHeight="1" x14ac:dyDescent="0.25">
      <c r="B256" s="99"/>
      <c r="E256" s="99"/>
      <c r="F256" s="99"/>
    </row>
    <row r="257" spans="2:6" ht="12.75" customHeight="1" x14ac:dyDescent="0.25">
      <c r="B257" s="99"/>
      <c r="E257" s="99"/>
      <c r="F257" s="99"/>
    </row>
    <row r="258" spans="2:6" ht="12.75" customHeight="1" x14ac:dyDescent="0.25">
      <c r="B258" s="99"/>
      <c r="E258" s="99"/>
      <c r="F258" s="99"/>
    </row>
    <row r="259" spans="2:6" ht="12.75" customHeight="1" x14ac:dyDescent="0.25">
      <c r="B259" s="99"/>
      <c r="E259" s="99"/>
      <c r="F259" s="99"/>
    </row>
    <row r="260" spans="2:6" ht="12.75" customHeight="1" x14ac:dyDescent="0.25">
      <c r="B260" s="99"/>
      <c r="E260" s="99"/>
      <c r="F260" s="99"/>
    </row>
    <row r="261" spans="2:6" ht="12.75" customHeight="1" x14ac:dyDescent="0.25">
      <c r="B261" s="99"/>
      <c r="E261" s="99"/>
      <c r="F261" s="99"/>
    </row>
    <row r="262" spans="2:6" ht="12.75" customHeight="1" x14ac:dyDescent="0.25">
      <c r="B262" s="99"/>
      <c r="E262" s="99"/>
      <c r="F262" s="99"/>
    </row>
    <row r="263" spans="2:6" ht="12.75" customHeight="1" x14ac:dyDescent="0.25">
      <c r="B263" s="99"/>
      <c r="E263" s="99"/>
      <c r="F263" s="99"/>
    </row>
    <row r="264" spans="2:6" ht="12.75" customHeight="1" x14ac:dyDescent="0.25">
      <c r="B264" s="99"/>
      <c r="E264" s="99"/>
      <c r="F264" s="99"/>
    </row>
    <row r="265" spans="2:6" ht="12.75" customHeight="1" x14ac:dyDescent="0.25">
      <c r="B265" s="99"/>
      <c r="E265" s="99"/>
      <c r="F265" s="99"/>
    </row>
    <row r="266" spans="2:6" ht="12.75" customHeight="1" x14ac:dyDescent="0.25">
      <c r="B266" s="99"/>
      <c r="E266" s="99"/>
      <c r="F266" s="99"/>
    </row>
    <row r="267" spans="2:6" ht="12.75" customHeight="1" x14ac:dyDescent="0.25">
      <c r="B267" s="99"/>
      <c r="E267" s="99"/>
      <c r="F267" s="99"/>
    </row>
    <row r="268" spans="2:6" ht="12.75" customHeight="1" x14ac:dyDescent="0.25">
      <c r="B268" s="99"/>
      <c r="E268" s="99"/>
      <c r="F268" s="99"/>
    </row>
    <row r="269" spans="2:6" ht="12.75" customHeight="1" x14ac:dyDescent="0.25">
      <c r="B269" s="99"/>
      <c r="E269" s="99"/>
      <c r="F269" s="99"/>
    </row>
    <row r="270" spans="2:6" ht="12.75" customHeight="1" x14ac:dyDescent="0.25">
      <c r="B270" s="99"/>
      <c r="E270" s="99"/>
      <c r="F270" s="99"/>
    </row>
    <row r="271" spans="2:6" ht="12.75" customHeight="1" x14ac:dyDescent="0.25">
      <c r="B271" s="99"/>
      <c r="E271" s="99"/>
      <c r="F271" s="99"/>
    </row>
    <row r="272" spans="2:6" ht="12.75" customHeight="1" x14ac:dyDescent="0.25">
      <c r="B272" s="99"/>
      <c r="E272" s="99"/>
      <c r="F272" s="99"/>
    </row>
    <row r="273" spans="2:6" ht="12.75" customHeight="1" x14ac:dyDescent="0.25">
      <c r="B273" s="99"/>
      <c r="E273" s="99"/>
      <c r="F273" s="99"/>
    </row>
    <row r="274" spans="2:6" ht="12.75" customHeight="1" x14ac:dyDescent="0.25">
      <c r="B274" s="99"/>
      <c r="E274" s="99"/>
      <c r="F274" s="99"/>
    </row>
    <row r="275" spans="2:6" ht="12.75" customHeight="1" x14ac:dyDescent="0.25">
      <c r="B275" s="99"/>
      <c r="E275" s="99"/>
      <c r="F275" s="99"/>
    </row>
    <row r="276" spans="2:6" ht="12.75" customHeight="1" x14ac:dyDescent="0.25">
      <c r="B276" s="99"/>
      <c r="E276" s="99"/>
      <c r="F276" s="99"/>
    </row>
    <row r="277" spans="2:6" ht="12.75" customHeight="1" x14ac:dyDescent="0.25">
      <c r="B277" s="99"/>
      <c r="E277" s="99"/>
      <c r="F277" s="99"/>
    </row>
    <row r="278" spans="2:6" ht="12.75" customHeight="1" x14ac:dyDescent="0.25">
      <c r="B278" s="99"/>
      <c r="E278" s="99"/>
      <c r="F278" s="99"/>
    </row>
    <row r="279" spans="2:6" ht="12.75" customHeight="1" x14ac:dyDescent="0.25">
      <c r="B279" s="99"/>
      <c r="E279" s="99"/>
      <c r="F279" s="99"/>
    </row>
    <row r="280" spans="2:6" ht="12.75" customHeight="1" x14ac:dyDescent="0.25">
      <c r="B280" s="99"/>
      <c r="E280" s="99"/>
      <c r="F280" s="99"/>
    </row>
    <row r="281" spans="2:6" ht="12.75" customHeight="1" x14ac:dyDescent="0.25">
      <c r="B281" s="99"/>
      <c r="E281" s="99"/>
      <c r="F281" s="99"/>
    </row>
    <row r="282" spans="2:6" ht="12.75" customHeight="1" x14ac:dyDescent="0.25">
      <c r="B282" s="99"/>
      <c r="E282" s="99"/>
      <c r="F282" s="99"/>
    </row>
    <row r="283" spans="2:6" ht="12.75" customHeight="1" x14ac:dyDescent="0.25">
      <c r="B283" s="99"/>
      <c r="E283" s="99"/>
      <c r="F283" s="99"/>
    </row>
    <row r="284" spans="2:6" ht="12.75" customHeight="1" x14ac:dyDescent="0.25">
      <c r="B284" s="99"/>
      <c r="E284" s="99"/>
      <c r="F284" s="99"/>
    </row>
    <row r="285" spans="2:6" ht="12.75" customHeight="1" x14ac:dyDescent="0.25">
      <c r="B285" s="99"/>
      <c r="E285" s="99"/>
      <c r="F285" s="99"/>
    </row>
    <row r="286" spans="2:6" ht="12.75" customHeight="1" x14ac:dyDescent="0.25">
      <c r="B286" s="99"/>
      <c r="E286" s="99"/>
      <c r="F286" s="99"/>
    </row>
    <row r="287" spans="2:6" ht="12.75" customHeight="1" x14ac:dyDescent="0.25">
      <c r="B287" s="99"/>
      <c r="E287" s="99"/>
      <c r="F287" s="99"/>
    </row>
    <row r="288" spans="2:6" ht="12.75" customHeight="1" x14ac:dyDescent="0.25">
      <c r="B288" s="99"/>
      <c r="E288" s="99"/>
      <c r="F288" s="99"/>
    </row>
    <row r="289" spans="2:6" ht="12.75" customHeight="1" x14ac:dyDescent="0.25">
      <c r="B289" s="99"/>
      <c r="E289" s="99"/>
      <c r="F289" s="99"/>
    </row>
    <row r="290" spans="2:6" ht="12.75" customHeight="1" x14ac:dyDescent="0.25">
      <c r="B290" s="99"/>
      <c r="E290" s="99"/>
      <c r="F290" s="99"/>
    </row>
    <row r="291" spans="2:6" ht="12.75" customHeight="1" x14ac:dyDescent="0.25">
      <c r="B291" s="99"/>
      <c r="E291" s="99"/>
      <c r="F291" s="99"/>
    </row>
    <row r="292" spans="2:6" ht="12.75" customHeight="1" x14ac:dyDescent="0.25">
      <c r="B292" s="99"/>
      <c r="E292" s="99"/>
      <c r="F292" s="99"/>
    </row>
    <row r="293" spans="2:6" ht="12.75" customHeight="1" x14ac:dyDescent="0.25">
      <c r="B293" s="99"/>
      <c r="E293" s="99"/>
      <c r="F293" s="99"/>
    </row>
    <row r="294" spans="2:6" ht="12.75" customHeight="1" x14ac:dyDescent="0.25">
      <c r="B294" s="99"/>
      <c r="E294" s="99"/>
      <c r="F294" s="99"/>
    </row>
    <row r="295" spans="2:6" ht="12.75" customHeight="1" x14ac:dyDescent="0.25">
      <c r="B295" s="99"/>
      <c r="E295" s="99"/>
      <c r="F295" s="99"/>
    </row>
    <row r="296" spans="2:6" ht="12.75" customHeight="1" x14ac:dyDescent="0.25">
      <c r="B296" s="99"/>
      <c r="E296" s="99"/>
      <c r="F296" s="99"/>
    </row>
    <row r="297" spans="2:6" ht="12.75" customHeight="1" x14ac:dyDescent="0.25">
      <c r="B297" s="99"/>
      <c r="E297" s="99"/>
      <c r="F297" s="99"/>
    </row>
    <row r="298" spans="2:6" ht="12.75" customHeight="1" x14ac:dyDescent="0.25">
      <c r="B298" s="99"/>
      <c r="E298" s="99"/>
      <c r="F298" s="99"/>
    </row>
    <row r="299" spans="2:6" ht="12.75" customHeight="1" x14ac:dyDescent="0.25">
      <c r="B299" s="99"/>
      <c r="E299" s="99"/>
      <c r="F299" s="99"/>
    </row>
    <row r="300" spans="2:6" ht="12.75" customHeight="1" x14ac:dyDescent="0.25">
      <c r="B300" s="99"/>
      <c r="E300" s="99"/>
      <c r="F300" s="99"/>
    </row>
    <row r="301" spans="2:6" ht="12.75" customHeight="1" x14ac:dyDescent="0.25">
      <c r="B301" s="99"/>
      <c r="E301" s="99"/>
      <c r="F301" s="99"/>
    </row>
    <row r="302" spans="2:6" ht="12.75" customHeight="1" x14ac:dyDescent="0.25">
      <c r="B302" s="99"/>
      <c r="E302" s="99"/>
      <c r="F302" s="99"/>
    </row>
    <row r="303" spans="2:6" ht="12.75" customHeight="1" x14ac:dyDescent="0.25">
      <c r="B303" s="99"/>
      <c r="E303" s="99"/>
      <c r="F303" s="99"/>
    </row>
    <row r="304" spans="2:6" ht="12.75" customHeight="1" x14ac:dyDescent="0.25">
      <c r="B304" s="99"/>
      <c r="E304" s="99"/>
      <c r="F304" s="99"/>
    </row>
    <row r="305" spans="2:6" ht="12.75" customHeight="1" x14ac:dyDescent="0.25">
      <c r="B305" s="99"/>
      <c r="E305" s="99"/>
      <c r="F305" s="99"/>
    </row>
    <row r="306" spans="2:6" ht="12.75" customHeight="1" x14ac:dyDescent="0.25">
      <c r="B306" s="99"/>
      <c r="E306" s="99"/>
      <c r="F306" s="99"/>
    </row>
    <row r="307" spans="2:6" ht="12.75" customHeight="1" x14ac:dyDescent="0.25">
      <c r="B307" s="99"/>
      <c r="E307" s="99"/>
      <c r="F307" s="99"/>
    </row>
    <row r="308" spans="2:6" ht="12.75" customHeight="1" x14ac:dyDescent="0.25">
      <c r="B308" s="99"/>
      <c r="E308" s="99"/>
      <c r="F308" s="99"/>
    </row>
    <row r="309" spans="2:6" ht="12.75" customHeight="1" x14ac:dyDescent="0.25">
      <c r="B309" s="99"/>
      <c r="E309" s="99"/>
      <c r="F309" s="99"/>
    </row>
    <row r="310" spans="2:6" ht="12.75" customHeight="1" x14ac:dyDescent="0.25">
      <c r="B310" s="99"/>
      <c r="E310" s="99"/>
      <c r="F310" s="99"/>
    </row>
    <row r="311" spans="2:6" ht="12.75" customHeight="1" x14ac:dyDescent="0.25">
      <c r="B311" s="99"/>
      <c r="E311" s="99"/>
      <c r="F311" s="99"/>
    </row>
    <row r="312" spans="2:6" ht="12.75" customHeight="1" x14ac:dyDescent="0.25">
      <c r="B312" s="99"/>
      <c r="E312" s="99"/>
      <c r="F312" s="99"/>
    </row>
    <row r="313" spans="2:6" ht="12.75" customHeight="1" x14ac:dyDescent="0.25">
      <c r="B313" s="99"/>
      <c r="E313" s="99"/>
      <c r="F313" s="99"/>
    </row>
    <row r="314" spans="2:6" ht="12.75" customHeight="1" x14ac:dyDescent="0.25">
      <c r="B314" s="99"/>
      <c r="E314" s="99"/>
      <c r="F314" s="99"/>
    </row>
    <row r="315" spans="2:6" ht="12.75" customHeight="1" x14ac:dyDescent="0.25">
      <c r="B315" s="99"/>
      <c r="E315" s="99"/>
      <c r="F315" s="99"/>
    </row>
    <row r="316" spans="2:6" ht="12.75" customHeight="1" x14ac:dyDescent="0.25">
      <c r="B316" s="99"/>
      <c r="E316" s="99"/>
      <c r="F316" s="99"/>
    </row>
    <row r="317" spans="2:6" ht="12.75" customHeight="1" x14ac:dyDescent="0.25">
      <c r="B317" s="99"/>
      <c r="E317" s="99"/>
      <c r="F317" s="99"/>
    </row>
    <row r="318" spans="2:6" ht="12.75" customHeight="1" x14ac:dyDescent="0.25">
      <c r="B318" s="99"/>
      <c r="E318" s="99"/>
      <c r="F318" s="99"/>
    </row>
    <row r="319" spans="2:6" ht="12.75" customHeight="1" x14ac:dyDescent="0.25">
      <c r="B319" s="99"/>
      <c r="E319" s="99"/>
      <c r="F319" s="99"/>
    </row>
    <row r="320" spans="2:6" ht="12.75" customHeight="1" x14ac:dyDescent="0.25">
      <c r="B320" s="99"/>
      <c r="E320" s="99"/>
      <c r="F320" s="99"/>
    </row>
    <row r="321" spans="2:6" ht="12.75" customHeight="1" x14ac:dyDescent="0.25">
      <c r="B321" s="99"/>
      <c r="E321" s="99"/>
      <c r="F321" s="99"/>
    </row>
    <row r="322" spans="2:6" ht="12.75" customHeight="1" x14ac:dyDescent="0.25">
      <c r="B322" s="99"/>
      <c r="E322" s="99"/>
      <c r="F322" s="99"/>
    </row>
    <row r="323" spans="2:6" ht="12.75" customHeight="1" x14ac:dyDescent="0.25">
      <c r="B323" s="99"/>
      <c r="E323" s="99"/>
      <c r="F323" s="99"/>
    </row>
    <row r="324" spans="2:6" ht="12.75" customHeight="1" x14ac:dyDescent="0.25">
      <c r="B324" s="99"/>
      <c r="E324" s="99"/>
      <c r="F324" s="99"/>
    </row>
    <row r="325" spans="2:6" ht="12.75" customHeight="1" x14ac:dyDescent="0.25">
      <c r="B325" s="99"/>
      <c r="E325" s="99"/>
      <c r="F325" s="99"/>
    </row>
    <row r="326" spans="2:6" ht="12.75" customHeight="1" x14ac:dyDescent="0.25">
      <c r="B326" s="99"/>
      <c r="E326" s="99"/>
      <c r="F326" s="99"/>
    </row>
    <row r="327" spans="2:6" ht="12.75" customHeight="1" x14ac:dyDescent="0.25">
      <c r="B327" s="99"/>
      <c r="E327" s="99"/>
      <c r="F327" s="99"/>
    </row>
    <row r="328" spans="2:6" ht="12.75" customHeight="1" x14ac:dyDescent="0.25">
      <c r="B328" s="99"/>
      <c r="E328" s="99"/>
      <c r="F328" s="99"/>
    </row>
    <row r="329" spans="2:6" ht="12.75" customHeight="1" x14ac:dyDescent="0.25">
      <c r="B329" s="99"/>
      <c r="E329" s="99"/>
      <c r="F329" s="99"/>
    </row>
    <row r="330" spans="2:6" ht="12.75" customHeight="1" x14ac:dyDescent="0.25">
      <c r="B330" s="99"/>
      <c r="E330" s="99"/>
      <c r="F330" s="99"/>
    </row>
    <row r="331" spans="2:6" ht="12.75" customHeight="1" x14ac:dyDescent="0.25">
      <c r="B331" s="99"/>
      <c r="E331" s="99"/>
      <c r="F331" s="99"/>
    </row>
    <row r="332" spans="2:6" ht="12.75" customHeight="1" x14ac:dyDescent="0.25">
      <c r="B332" s="99"/>
      <c r="E332" s="99"/>
      <c r="F332" s="99"/>
    </row>
    <row r="333" spans="2:6" ht="12.75" customHeight="1" x14ac:dyDescent="0.25">
      <c r="B333" s="99"/>
      <c r="E333" s="99"/>
      <c r="F333" s="99"/>
    </row>
    <row r="334" spans="2:6" ht="12.75" customHeight="1" x14ac:dyDescent="0.25">
      <c r="B334" s="99"/>
      <c r="E334" s="99"/>
      <c r="F334" s="99"/>
    </row>
    <row r="335" spans="2:6" ht="12.75" customHeight="1" x14ac:dyDescent="0.25">
      <c r="B335" s="99"/>
      <c r="E335" s="99"/>
      <c r="F335" s="99"/>
    </row>
    <row r="336" spans="2:6" ht="12.75" customHeight="1" x14ac:dyDescent="0.25">
      <c r="B336" s="99"/>
      <c r="E336" s="99"/>
      <c r="F336" s="99"/>
    </row>
    <row r="337" spans="2:6" ht="12.75" customHeight="1" x14ac:dyDescent="0.25">
      <c r="B337" s="99"/>
      <c r="E337" s="99"/>
      <c r="F337" s="99"/>
    </row>
    <row r="338" spans="2:6" ht="12.75" customHeight="1" x14ac:dyDescent="0.25">
      <c r="B338" s="99"/>
      <c r="E338" s="99"/>
      <c r="F338" s="99"/>
    </row>
    <row r="339" spans="2:6" ht="12.75" customHeight="1" x14ac:dyDescent="0.25">
      <c r="B339" s="99"/>
      <c r="E339" s="99"/>
      <c r="F339" s="99"/>
    </row>
    <row r="340" spans="2:6" ht="12.75" customHeight="1" x14ac:dyDescent="0.25">
      <c r="B340" s="99"/>
      <c r="E340" s="99"/>
      <c r="F340" s="99"/>
    </row>
    <row r="341" spans="2:6" ht="12.75" customHeight="1" x14ac:dyDescent="0.25">
      <c r="B341" s="99"/>
      <c r="E341" s="99"/>
      <c r="F341" s="99"/>
    </row>
    <row r="342" spans="2:6" ht="12.75" customHeight="1" x14ac:dyDescent="0.25">
      <c r="B342" s="99"/>
      <c r="E342" s="99"/>
      <c r="F342" s="99"/>
    </row>
    <row r="343" spans="2:6" ht="12.75" customHeight="1" x14ac:dyDescent="0.25">
      <c r="B343" s="99"/>
      <c r="E343" s="99"/>
      <c r="F343" s="99"/>
    </row>
    <row r="344" spans="2:6" ht="12.75" customHeight="1" x14ac:dyDescent="0.25">
      <c r="B344" s="99"/>
      <c r="E344" s="99"/>
      <c r="F344" s="99"/>
    </row>
    <row r="345" spans="2:6" ht="12.75" customHeight="1" x14ac:dyDescent="0.25">
      <c r="B345" s="99"/>
      <c r="E345" s="99"/>
      <c r="F345" s="99"/>
    </row>
    <row r="346" spans="2:6" ht="12.75" customHeight="1" x14ac:dyDescent="0.25">
      <c r="B346" s="99"/>
      <c r="E346" s="99"/>
      <c r="F346" s="99"/>
    </row>
    <row r="347" spans="2:6" ht="12.75" customHeight="1" x14ac:dyDescent="0.25">
      <c r="B347" s="99"/>
      <c r="E347" s="99"/>
      <c r="F347" s="99"/>
    </row>
    <row r="348" spans="2:6" ht="12.75" customHeight="1" x14ac:dyDescent="0.25">
      <c r="B348" s="99"/>
      <c r="E348" s="99"/>
      <c r="F348" s="99"/>
    </row>
    <row r="349" spans="2:6" ht="12.75" customHeight="1" x14ac:dyDescent="0.25">
      <c r="B349" s="99"/>
      <c r="E349" s="99"/>
      <c r="F349" s="99"/>
    </row>
    <row r="350" spans="2:6" ht="12.75" customHeight="1" x14ac:dyDescent="0.25">
      <c r="B350" s="99"/>
      <c r="E350" s="99"/>
      <c r="F350" s="99"/>
    </row>
    <row r="351" spans="2:6" ht="12.75" customHeight="1" x14ac:dyDescent="0.25">
      <c r="B351" s="99"/>
      <c r="E351" s="99"/>
      <c r="F351" s="99"/>
    </row>
    <row r="352" spans="2:6" ht="12.75" customHeight="1" x14ac:dyDescent="0.25">
      <c r="B352" s="99"/>
      <c r="E352" s="99"/>
      <c r="F352" s="99"/>
    </row>
    <row r="353" spans="2:6" ht="12.75" customHeight="1" x14ac:dyDescent="0.25">
      <c r="B353" s="99"/>
      <c r="E353" s="99"/>
      <c r="F353" s="99"/>
    </row>
    <row r="354" spans="2:6" ht="12.75" customHeight="1" x14ac:dyDescent="0.25">
      <c r="B354" s="99"/>
      <c r="E354" s="99"/>
      <c r="F354" s="99"/>
    </row>
    <row r="355" spans="2:6" ht="12.75" customHeight="1" x14ac:dyDescent="0.25">
      <c r="B355" s="99"/>
      <c r="E355" s="99"/>
      <c r="F355" s="99"/>
    </row>
    <row r="356" spans="2:6" ht="12.75" customHeight="1" x14ac:dyDescent="0.25">
      <c r="B356" s="99"/>
      <c r="E356" s="99"/>
      <c r="F356" s="99"/>
    </row>
    <row r="357" spans="2:6" ht="12.75" customHeight="1" x14ac:dyDescent="0.25">
      <c r="B357" s="99"/>
      <c r="E357" s="99"/>
      <c r="F357" s="99"/>
    </row>
    <row r="358" spans="2:6" ht="12.75" customHeight="1" x14ac:dyDescent="0.25">
      <c r="B358" s="99"/>
      <c r="E358" s="99"/>
      <c r="F358" s="99"/>
    </row>
    <row r="359" spans="2:6" ht="12.75" customHeight="1" x14ac:dyDescent="0.25">
      <c r="B359" s="99"/>
      <c r="E359" s="99"/>
      <c r="F359" s="99"/>
    </row>
    <row r="360" spans="2:6" ht="12.75" customHeight="1" x14ac:dyDescent="0.25">
      <c r="B360" s="99"/>
      <c r="E360" s="99"/>
      <c r="F360" s="99"/>
    </row>
    <row r="361" spans="2:6" ht="12.75" customHeight="1" x14ac:dyDescent="0.25">
      <c r="B361" s="99"/>
      <c r="E361" s="99"/>
      <c r="F361" s="99"/>
    </row>
    <row r="362" spans="2:6" ht="12.75" customHeight="1" x14ac:dyDescent="0.25">
      <c r="B362" s="99"/>
      <c r="E362" s="99"/>
      <c r="F362" s="99"/>
    </row>
    <row r="363" spans="2:6" ht="12.75" customHeight="1" x14ac:dyDescent="0.25">
      <c r="B363" s="99"/>
      <c r="E363" s="99"/>
      <c r="F363" s="99"/>
    </row>
    <row r="364" spans="2:6" ht="12.75" customHeight="1" x14ac:dyDescent="0.25">
      <c r="B364" s="99"/>
      <c r="E364" s="99"/>
      <c r="F364" s="99"/>
    </row>
    <row r="365" spans="2:6" ht="12.75" customHeight="1" x14ac:dyDescent="0.25">
      <c r="B365" s="99"/>
      <c r="E365" s="99"/>
      <c r="F365" s="99"/>
    </row>
    <row r="366" spans="2:6" ht="12.75" customHeight="1" x14ac:dyDescent="0.25">
      <c r="B366" s="99"/>
      <c r="E366" s="99"/>
      <c r="F366" s="99"/>
    </row>
    <row r="367" spans="2:6" ht="12.75" customHeight="1" x14ac:dyDescent="0.25">
      <c r="B367" s="99"/>
      <c r="E367" s="99"/>
      <c r="F367" s="99"/>
    </row>
    <row r="368" spans="2:6" ht="12.75" customHeight="1" x14ac:dyDescent="0.25">
      <c r="B368" s="99"/>
      <c r="E368" s="99"/>
      <c r="F368" s="99"/>
    </row>
    <row r="369" spans="2:6" ht="12.75" customHeight="1" x14ac:dyDescent="0.25">
      <c r="B369" s="99"/>
      <c r="E369" s="99"/>
      <c r="F369" s="99"/>
    </row>
    <row r="370" spans="2:6" ht="12.75" customHeight="1" x14ac:dyDescent="0.25">
      <c r="B370" s="99"/>
      <c r="E370" s="99"/>
      <c r="F370" s="99"/>
    </row>
    <row r="371" spans="2:6" ht="12.75" customHeight="1" x14ac:dyDescent="0.25">
      <c r="B371" s="99"/>
      <c r="E371" s="99"/>
      <c r="F371" s="99"/>
    </row>
    <row r="372" spans="2:6" ht="12.75" customHeight="1" x14ac:dyDescent="0.25">
      <c r="B372" s="99"/>
      <c r="E372" s="99"/>
      <c r="F372" s="99"/>
    </row>
    <row r="373" spans="2:6" ht="12.75" customHeight="1" x14ac:dyDescent="0.25">
      <c r="B373" s="99"/>
      <c r="E373" s="99"/>
      <c r="F373" s="99"/>
    </row>
    <row r="374" spans="2:6" ht="12.75" customHeight="1" x14ac:dyDescent="0.25">
      <c r="B374" s="99"/>
      <c r="E374" s="99"/>
      <c r="F374" s="99"/>
    </row>
    <row r="375" spans="2:6" ht="12.75" customHeight="1" x14ac:dyDescent="0.25">
      <c r="B375" s="99"/>
      <c r="E375" s="99"/>
      <c r="F375" s="99"/>
    </row>
    <row r="376" spans="2:6" ht="12.75" customHeight="1" x14ac:dyDescent="0.25">
      <c r="B376" s="99"/>
      <c r="E376" s="99"/>
      <c r="F376" s="99"/>
    </row>
    <row r="377" spans="2:6" ht="12.75" customHeight="1" x14ac:dyDescent="0.25">
      <c r="B377" s="99"/>
      <c r="E377" s="99"/>
      <c r="F377" s="99"/>
    </row>
    <row r="378" spans="2:6" ht="12.75" customHeight="1" x14ac:dyDescent="0.25">
      <c r="B378" s="99"/>
      <c r="E378" s="99"/>
      <c r="F378" s="99"/>
    </row>
    <row r="379" spans="2:6" ht="12.75" customHeight="1" x14ac:dyDescent="0.25">
      <c r="B379" s="99"/>
      <c r="E379" s="99"/>
      <c r="F379" s="99"/>
    </row>
    <row r="380" spans="2:6" ht="12.75" customHeight="1" x14ac:dyDescent="0.25">
      <c r="B380" s="99"/>
      <c r="E380" s="99"/>
      <c r="F380" s="99"/>
    </row>
    <row r="381" spans="2:6" ht="12.75" customHeight="1" x14ac:dyDescent="0.25">
      <c r="B381" s="99"/>
      <c r="E381" s="99"/>
      <c r="F381" s="99"/>
    </row>
    <row r="382" spans="2:6" ht="12.75" customHeight="1" x14ac:dyDescent="0.25">
      <c r="B382" s="99"/>
      <c r="E382" s="99"/>
      <c r="F382" s="99"/>
    </row>
    <row r="383" spans="2:6" ht="12.75" customHeight="1" x14ac:dyDescent="0.25">
      <c r="B383" s="99"/>
      <c r="E383" s="99"/>
      <c r="F383" s="99"/>
    </row>
    <row r="384" spans="2:6" ht="12.75" customHeight="1" x14ac:dyDescent="0.25">
      <c r="B384" s="99"/>
      <c r="E384" s="99"/>
      <c r="F384" s="99"/>
    </row>
    <row r="385" spans="2:6" ht="12.75" customHeight="1" x14ac:dyDescent="0.25">
      <c r="B385" s="99"/>
      <c r="E385" s="99"/>
      <c r="F385" s="99"/>
    </row>
    <row r="386" spans="2:6" ht="12.75" customHeight="1" x14ac:dyDescent="0.25">
      <c r="B386" s="99"/>
      <c r="E386" s="99"/>
      <c r="F386" s="99"/>
    </row>
    <row r="387" spans="2:6" ht="12.75" customHeight="1" x14ac:dyDescent="0.25">
      <c r="B387" s="99"/>
      <c r="E387" s="99"/>
      <c r="F387" s="99"/>
    </row>
    <row r="388" spans="2:6" ht="12.75" customHeight="1" x14ac:dyDescent="0.25">
      <c r="B388" s="99"/>
      <c r="E388" s="99"/>
      <c r="F388" s="99"/>
    </row>
    <row r="389" spans="2:6" ht="12.75" customHeight="1" x14ac:dyDescent="0.25">
      <c r="B389" s="99"/>
      <c r="E389" s="99"/>
      <c r="F389" s="99"/>
    </row>
    <row r="390" spans="2:6" ht="12.75" customHeight="1" x14ac:dyDescent="0.25">
      <c r="B390" s="99"/>
      <c r="E390" s="99"/>
      <c r="F390" s="99"/>
    </row>
    <row r="391" spans="2:6" ht="12.75" customHeight="1" x14ac:dyDescent="0.25">
      <c r="B391" s="99"/>
      <c r="E391" s="99"/>
      <c r="F391" s="99"/>
    </row>
    <row r="392" spans="2:6" ht="12.75" customHeight="1" x14ac:dyDescent="0.25">
      <c r="B392" s="99"/>
      <c r="E392" s="99"/>
      <c r="F392" s="99"/>
    </row>
    <row r="393" spans="2:6" ht="12.75" customHeight="1" x14ac:dyDescent="0.25">
      <c r="B393" s="99"/>
      <c r="E393" s="99"/>
      <c r="F393" s="99"/>
    </row>
    <row r="394" spans="2:6" ht="12.75" customHeight="1" x14ac:dyDescent="0.25">
      <c r="B394" s="99"/>
      <c r="E394" s="99"/>
      <c r="F394" s="99"/>
    </row>
    <row r="395" spans="2:6" ht="12.75" customHeight="1" x14ac:dyDescent="0.25">
      <c r="B395" s="99"/>
      <c r="E395" s="99"/>
      <c r="F395" s="99"/>
    </row>
    <row r="396" spans="2:6" ht="12.75" customHeight="1" x14ac:dyDescent="0.25">
      <c r="B396" s="99"/>
      <c r="E396" s="99"/>
      <c r="F396" s="99"/>
    </row>
    <row r="397" spans="2:6" ht="12.75" customHeight="1" x14ac:dyDescent="0.25">
      <c r="B397" s="99"/>
      <c r="E397" s="99"/>
      <c r="F397" s="99"/>
    </row>
    <row r="398" spans="2:6" ht="12.75" customHeight="1" x14ac:dyDescent="0.25">
      <c r="B398" s="99"/>
      <c r="E398" s="99"/>
      <c r="F398" s="99"/>
    </row>
    <row r="399" spans="2:6" ht="12.75" customHeight="1" x14ac:dyDescent="0.25">
      <c r="B399" s="99"/>
      <c r="E399" s="99"/>
      <c r="F399" s="99"/>
    </row>
    <row r="400" spans="2:6" ht="12.75" customHeight="1" x14ac:dyDescent="0.25">
      <c r="B400" s="99"/>
      <c r="E400" s="99"/>
      <c r="F400" s="99"/>
    </row>
    <row r="401" spans="2:6" ht="12.75" customHeight="1" x14ac:dyDescent="0.25">
      <c r="B401" s="99"/>
      <c r="E401" s="99"/>
      <c r="F401" s="99"/>
    </row>
    <row r="402" spans="2:6" ht="12.75" customHeight="1" x14ac:dyDescent="0.25">
      <c r="B402" s="99"/>
      <c r="E402" s="99"/>
      <c r="F402" s="99"/>
    </row>
    <row r="403" spans="2:6" ht="12.75" customHeight="1" x14ac:dyDescent="0.25">
      <c r="B403" s="99"/>
      <c r="E403" s="99"/>
      <c r="F403" s="99"/>
    </row>
    <row r="404" spans="2:6" ht="12.75" customHeight="1" x14ac:dyDescent="0.25">
      <c r="B404" s="99"/>
      <c r="E404" s="99"/>
      <c r="F404" s="99"/>
    </row>
    <row r="405" spans="2:6" ht="12.75" customHeight="1" x14ac:dyDescent="0.25">
      <c r="B405" s="99"/>
      <c r="E405" s="99"/>
      <c r="F405" s="99"/>
    </row>
    <row r="406" spans="2:6" ht="12.75" customHeight="1" x14ac:dyDescent="0.25">
      <c r="B406" s="99"/>
      <c r="E406" s="99"/>
      <c r="F406" s="99"/>
    </row>
    <row r="407" spans="2:6" ht="12.75" customHeight="1" x14ac:dyDescent="0.25">
      <c r="B407" s="99"/>
      <c r="E407" s="99"/>
      <c r="F407" s="99"/>
    </row>
    <row r="408" spans="2:6" ht="12.75" customHeight="1" x14ac:dyDescent="0.25">
      <c r="B408" s="99"/>
      <c r="E408" s="99"/>
      <c r="F408" s="99"/>
    </row>
    <row r="409" spans="2:6" ht="12.75" customHeight="1" x14ac:dyDescent="0.25">
      <c r="B409" s="99"/>
      <c r="E409" s="99"/>
      <c r="F409" s="99"/>
    </row>
    <row r="410" spans="2:6" ht="12.75" customHeight="1" x14ac:dyDescent="0.25">
      <c r="B410" s="99"/>
      <c r="E410" s="99"/>
      <c r="F410" s="99"/>
    </row>
    <row r="411" spans="2:6" ht="12.75" customHeight="1" x14ac:dyDescent="0.25">
      <c r="B411" s="99"/>
      <c r="E411" s="99"/>
      <c r="F411" s="99"/>
    </row>
    <row r="412" spans="2:6" ht="12.75" customHeight="1" x14ac:dyDescent="0.25">
      <c r="B412" s="99"/>
      <c r="E412" s="99"/>
      <c r="F412" s="99"/>
    </row>
    <row r="413" spans="2:6" ht="12.75" customHeight="1" x14ac:dyDescent="0.25">
      <c r="B413" s="99"/>
      <c r="E413" s="99"/>
      <c r="F413" s="99"/>
    </row>
    <row r="414" spans="2:6" ht="12.75" customHeight="1" x14ac:dyDescent="0.25">
      <c r="B414" s="99"/>
      <c r="E414" s="99"/>
      <c r="F414" s="99"/>
    </row>
    <row r="415" spans="2:6" ht="12.75" customHeight="1" x14ac:dyDescent="0.25">
      <c r="B415" s="99"/>
      <c r="E415" s="99"/>
      <c r="F415" s="99"/>
    </row>
    <row r="416" spans="2:6" ht="12.75" customHeight="1" x14ac:dyDescent="0.25">
      <c r="B416" s="99"/>
      <c r="E416" s="99"/>
      <c r="F416" s="99"/>
    </row>
    <row r="417" spans="2:6" ht="12.75" customHeight="1" x14ac:dyDescent="0.25">
      <c r="B417" s="99"/>
      <c r="E417" s="99"/>
      <c r="F417" s="99"/>
    </row>
    <row r="418" spans="2:6" ht="12.75" customHeight="1" x14ac:dyDescent="0.25">
      <c r="B418" s="99"/>
      <c r="E418" s="99"/>
      <c r="F418" s="99"/>
    </row>
    <row r="419" spans="2:6" ht="12.75" customHeight="1" x14ac:dyDescent="0.25">
      <c r="B419" s="99"/>
      <c r="E419" s="99"/>
      <c r="F419" s="99"/>
    </row>
    <row r="420" spans="2:6" ht="12.75" customHeight="1" x14ac:dyDescent="0.25">
      <c r="B420" s="99"/>
      <c r="E420" s="99"/>
      <c r="F420" s="99"/>
    </row>
    <row r="421" spans="2:6" ht="12.75" customHeight="1" x14ac:dyDescent="0.25">
      <c r="B421" s="99"/>
      <c r="E421" s="99"/>
      <c r="F421" s="99"/>
    </row>
    <row r="422" spans="2:6" ht="12.75" customHeight="1" x14ac:dyDescent="0.25">
      <c r="B422" s="99"/>
      <c r="E422" s="99"/>
      <c r="F422" s="99"/>
    </row>
    <row r="423" spans="2:6" ht="12.75" customHeight="1" x14ac:dyDescent="0.25">
      <c r="B423" s="99"/>
      <c r="E423" s="99"/>
      <c r="F423" s="99"/>
    </row>
    <row r="424" spans="2:6" ht="12.75" customHeight="1" x14ac:dyDescent="0.25">
      <c r="B424" s="99"/>
      <c r="E424" s="99"/>
      <c r="F424" s="99"/>
    </row>
    <row r="425" spans="2:6" ht="12.75" customHeight="1" x14ac:dyDescent="0.25">
      <c r="B425" s="99"/>
      <c r="E425" s="99"/>
      <c r="F425" s="99"/>
    </row>
    <row r="426" spans="2:6" ht="12.75" customHeight="1" x14ac:dyDescent="0.25">
      <c r="B426" s="99"/>
      <c r="E426" s="99"/>
      <c r="F426" s="99"/>
    </row>
    <row r="427" spans="2:6" ht="12.75" customHeight="1" x14ac:dyDescent="0.25">
      <c r="B427" s="99"/>
      <c r="E427" s="99"/>
      <c r="F427" s="99"/>
    </row>
    <row r="428" spans="2:6" ht="12.75" customHeight="1" x14ac:dyDescent="0.25">
      <c r="B428" s="99"/>
      <c r="E428" s="99"/>
      <c r="F428" s="99"/>
    </row>
    <row r="429" spans="2:6" ht="12.75" customHeight="1" x14ac:dyDescent="0.25">
      <c r="B429" s="99"/>
      <c r="E429" s="99"/>
      <c r="F429" s="99"/>
    </row>
    <row r="430" spans="2:6" ht="12.75" customHeight="1" x14ac:dyDescent="0.25">
      <c r="B430" s="99"/>
      <c r="E430" s="99"/>
      <c r="F430" s="99"/>
    </row>
    <row r="431" spans="2:6" ht="12.75" customHeight="1" x14ac:dyDescent="0.25">
      <c r="B431" s="99"/>
      <c r="E431" s="99"/>
      <c r="F431" s="99"/>
    </row>
    <row r="432" spans="2:6" ht="12.75" customHeight="1" x14ac:dyDescent="0.25">
      <c r="B432" s="99"/>
      <c r="E432" s="99"/>
      <c r="F432" s="99"/>
    </row>
    <row r="433" spans="2:6" ht="12.75" customHeight="1" x14ac:dyDescent="0.25">
      <c r="B433" s="99"/>
      <c r="E433" s="99"/>
      <c r="F433" s="99"/>
    </row>
    <row r="434" spans="2:6" ht="12.75" customHeight="1" x14ac:dyDescent="0.25">
      <c r="B434" s="99"/>
      <c r="E434" s="99"/>
      <c r="F434" s="99"/>
    </row>
    <row r="435" spans="2:6" ht="12.75" customHeight="1" x14ac:dyDescent="0.25">
      <c r="B435" s="99"/>
      <c r="E435" s="99"/>
      <c r="F435" s="99"/>
    </row>
    <row r="436" spans="2:6" ht="12.75" customHeight="1" x14ac:dyDescent="0.25">
      <c r="B436" s="99"/>
      <c r="E436" s="99"/>
      <c r="F436" s="99"/>
    </row>
    <row r="437" spans="2:6" ht="12.75" customHeight="1" x14ac:dyDescent="0.25">
      <c r="B437" s="99"/>
      <c r="E437" s="99"/>
      <c r="F437" s="99"/>
    </row>
    <row r="438" spans="2:6" ht="12.75" customHeight="1" x14ac:dyDescent="0.25">
      <c r="B438" s="99"/>
      <c r="E438" s="99"/>
      <c r="F438" s="99"/>
    </row>
    <row r="439" spans="2:6" ht="12.75" customHeight="1" x14ac:dyDescent="0.25">
      <c r="B439" s="99"/>
      <c r="E439" s="99"/>
      <c r="F439" s="99"/>
    </row>
    <row r="440" spans="2:6" ht="12.75" customHeight="1" x14ac:dyDescent="0.25">
      <c r="B440" s="99"/>
      <c r="E440" s="99"/>
      <c r="F440" s="99"/>
    </row>
    <row r="441" spans="2:6" ht="12.75" customHeight="1" x14ac:dyDescent="0.25">
      <c r="B441" s="99"/>
      <c r="E441" s="99"/>
      <c r="F441" s="99"/>
    </row>
    <row r="442" spans="2:6" ht="12.75" customHeight="1" x14ac:dyDescent="0.25">
      <c r="B442" s="99"/>
      <c r="E442" s="99"/>
      <c r="F442" s="99"/>
    </row>
    <row r="443" spans="2:6" ht="12.75" customHeight="1" x14ac:dyDescent="0.25">
      <c r="B443" s="99"/>
      <c r="E443" s="99"/>
      <c r="F443" s="99"/>
    </row>
    <row r="444" spans="2:6" ht="12.75" customHeight="1" x14ac:dyDescent="0.25">
      <c r="B444" s="99"/>
      <c r="E444" s="99"/>
      <c r="F444" s="99"/>
    </row>
    <row r="445" spans="2:6" ht="12.75" customHeight="1" x14ac:dyDescent="0.25">
      <c r="B445" s="99"/>
      <c r="E445" s="99"/>
      <c r="F445" s="99"/>
    </row>
    <row r="446" spans="2:6" ht="12.75" customHeight="1" x14ac:dyDescent="0.25">
      <c r="B446" s="99"/>
      <c r="E446" s="99"/>
      <c r="F446" s="99"/>
    </row>
    <row r="447" spans="2:6" ht="12.75" customHeight="1" x14ac:dyDescent="0.25">
      <c r="B447" s="99"/>
      <c r="E447" s="99"/>
      <c r="F447" s="99"/>
    </row>
    <row r="448" spans="2:6" ht="12.75" customHeight="1" x14ac:dyDescent="0.25">
      <c r="B448" s="99"/>
      <c r="E448" s="99"/>
      <c r="F448" s="99"/>
    </row>
    <row r="449" spans="2:6" ht="12.75" customHeight="1" x14ac:dyDescent="0.25">
      <c r="B449" s="99"/>
      <c r="E449" s="99"/>
      <c r="F449" s="99"/>
    </row>
    <row r="450" spans="2:6" ht="12.75" customHeight="1" x14ac:dyDescent="0.25">
      <c r="B450" s="99"/>
      <c r="E450" s="99"/>
      <c r="F450" s="99"/>
    </row>
    <row r="451" spans="2:6" ht="12.75" customHeight="1" x14ac:dyDescent="0.25">
      <c r="B451" s="99"/>
      <c r="E451" s="99"/>
      <c r="F451" s="99"/>
    </row>
    <row r="452" spans="2:6" ht="12.75" customHeight="1" x14ac:dyDescent="0.25">
      <c r="B452" s="99"/>
      <c r="E452" s="99"/>
      <c r="F452" s="99"/>
    </row>
    <row r="453" spans="2:6" ht="12.75" customHeight="1" x14ac:dyDescent="0.25">
      <c r="B453" s="99"/>
      <c r="E453" s="99"/>
      <c r="F453" s="99"/>
    </row>
    <row r="454" spans="2:6" ht="12.75" customHeight="1" x14ac:dyDescent="0.25">
      <c r="B454" s="99"/>
      <c r="E454" s="99"/>
      <c r="F454" s="99"/>
    </row>
    <row r="455" spans="2:6" ht="12.75" customHeight="1" x14ac:dyDescent="0.25">
      <c r="B455" s="99"/>
      <c r="E455" s="99"/>
      <c r="F455" s="99"/>
    </row>
    <row r="456" spans="2:6" ht="12.75" customHeight="1" x14ac:dyDescent="0.25">
      <c r="B456" s="99"/>
      <c r="E456" s="99"/>
      <c r="F456" s="99"/>
    </row>
    <row r="457" spans="2:6" ht="12.75" customHeight="1" x14ac:dyDescent="0.25">
      <c r="B457" s="99"/>
      <c r="E457" s="99"/>
      <c r="F457" s="99"/>
    </row>
    <row r="458" spans="2:6" ht="12.75" customHeight="1" x14ac:dyDescent="0.25">
      <c r="B458" s="99"/>
      <c r="E458" s="99"/>
      <c r="F458" s="99"/>
    </row>
    <row r="459" spans="2:6" ht="12.75" customHeight="1" x14ac:dyDescent="0.25">
      <c r="B459" s="99"/>
      <c r="E459" s="99"/>
      <c r="F459" s="99"/>
    </row>
    <row r="460" spans="2:6" ht="12.75" customHeight="1" x14ac:dyDescent="0.25">
      <c r="B460" s="99"/>
      <c r="E460" s="99"/>
      <c r="F460" s="99"/>
    </row>
    <row r="461" spans="2:6" ht="12.75" customHeight="1" x14ac:dyDescent="0.25">
      <c r="B461" s="99"/>
      <c r="E461" s="99"/>
      <c r="F461" s="99"/>
    </row>
    <row r="462" spans="2:6" ht="12.75" customHeight="1" x14ac:dyDescent="0.25">
      <c r="B462" s="99"/>
      <c r="E462" s="99"/>
      <c r="F462" s="99"/>
    </row>
    <row r="463" spans="2:6" ht="12.75" customHeight="1" x14ac:dyDescent="0.25">
      <c r="B463" s="99"/>
      <c r="E463" s="99"/>
      <c r="F463" s="99"/>
    </row>
    <row r="464" spans="2:6" ht="12.75" customHeight="1" x14ac:dyDescent="0.25">
      <c r="B464" s="99"/>
      <c r="E464" s="99"/>
      <c r="F464" s="99"/>
    </row>
    <row r="465" spans="2:6" ht="12.75" customHeight="1" x14ac:dyDescent="0.25">
      <c r="B465" s="99"/>
      <c r="E465" s="99"/>
      <c r="F465" s="99"/>
    </row>
    <row r="466" spans="2:6" ht="12.75" customHeight="1" x14ac:dyDescent="0.25">
      <c r="B466" s="99"/>
      <c r="E466" s="99"/>
      <c r="F466" s="99"/>
    </row>
    <row r="467" spans="2:6" ht="12.75" customHeight="1" x14ac:dyDescent="0.25">
      <c r="B467" s="99"/>
      <c r="E467" s="99"/>
      <c r="F467" s="99"/>
    </row>
    <row r="468" spans="2:6" ht="12.75" customHeight="1" x14ac:dyDescent="0.25">
      <c r="B468" s="99"/>
      <c r="E468" s="99"/>
      <c r="F468" s="99"/>
    </row>
    <row r="469" spans="2:6" ht="12.75" customHeight="1" x14ac:dyDescent="0.25">
      <c r="B469" s="99"/>
      <c r="E469" s="99"/>
      <c r="F469" s="99"/>
    </row>
    <row r="470" spans="2:6" ht="12.75" customHeight="1" x14ac:dyDescent="0.25">
      <c r="B470" s="99"/>
      <c r="E470" s="99"/>
      <c r="F470" s="99"/>
    </row>
    <row r="471" spans="2:6" ht="12.75" customHeight="1" x14ac:dyDescent="0.25">
      <c r="B471" s="99"/>
      <c r="E471" s="99"/>
      <c r="F471" s="99"/>
    </row>
    <row r="472" spans="2:6" ht="12.75" customHeight="1" x14ac:dyDescent="0.25">
      <c r="B472" s="99"/>
      <c r="E472" s="99"/>
      <c r="F472" s="99"/>
    </row>
    <row r="473" spans="2:6" ht="12.75" customHeight="1" x14ac:dyDescent="0.25">
      <c r="B473" s="99"/>
      <c r="E473" s="99"/>
      <c r="F473" s="99"/>
    </row>
    <row r="474" spans="2:6" ht="12.75" customHeight="1" x14ac:dyDescent="0.25">
      <c r="B474" s="99"/>
      <c r="E474" s="99"/>
      <c r="F474" s="99"/>
    </row>
    <row r="475" spans="2:6" ht="12.75" customHeight="1" x14ac:dyDescent="0.25">
      <c r="B475" s="99"/>
      <c r="E475" s="99"/>
      <c r="F475" s="99"/>
    </row>
    <row r="476" spans="2:6" ht="12.75" customHeight="1" x14ac:dyDescent="0.25">
      <c r="B476" s="99"/>
      <c r="E476" s="99"/>
      <c r="F476" s="99"/>
    </row>
    <row r="477" spans="2:6" ht="12.75" customHeight="1" x14ac:dyDescent="0.25">
      <c r="B477" s="99"/>
      <c r="E477" s="99"/>
      <c r="F477" s="99"/>
    </row>
    <row r="478" spans="2:6" ht="12.75" customHeight="1" x14ac:dyDescent="0.25">
      <c r="B478" s="99"/>
      <c r="E478" s="99"/>
      <c r="F478" s="99"/>
    </row>
    <row r="479" spans="2:6" ht="12.75" customHeight="1" x14ac:dyDescent="0.25">
      <c r="B479" s="99"/>
      <c r="E479" s="99"/>
      <c r="F479" s="99"/>
    </row>
    <row r="480" spans="2:6" ht="12.75" customHeight="1" x14ac:dyDescent="0.25">
      <c r="B480" s="99"/>
      <c r="E480" s="99"/>
      <c r="F480" s="99"/>
    </row>
    <row r="481" spans="2:6" ht="12.75" customHeight="1" x14ac:dyDescent="0.25">
      <c r="B481" s="99"/>
      <c r="E481" s="99"/>
      <c r="F481" s="99"/>
    </row>
    <row r="482" spans="2:6" ht="12.75" customHeight="1" x14ac:dyDescent="0.25">
      <c r="B482" s="99"/>
      <c r="E482" s="99"/>
      <c r="F482" s="99"/>
    </row>
    <row r="483" spans="2:6" ht="12.75" customHeight="1" x14ac:dyDescent="0.25">
      <c r="B483" s="99"/>
      <c r="E483" s="99"/>
      <c r="F483" s="99"/>
    </row>
    <row r="484" spans="2:6" ht="12.75" customHeight="1" x14ac:dyDescent="0.25">
      <c r="B484" s="99"/>
      <c r="E484" s="99"/>
      <c r="F484" s="99"/>
    </row>
    <row r="485" spans="2:6" ht="12.75" customHeight="1" x14ac:dyDescent="0.25">
      <c r="B485" s="99"/>
      <c r="E485" s="99"/>
      <c r="F485" s="99"/>
    </row>
    <row r="486" spans="2:6" ht="12.75" customHeight="1" x14ac:dyDescent="0.25">
      <c r="B486" s="99"/>
      <c r="E486" s="99"/>
      <c r="F486" s="99"/>
    </row>
    <row r="487" spans="2:6" ht="12.75" customHeight="1" x14ac:dyDescent="0.25">
      <c r="B487" s="99"/>
      <c r="E487" s="99"/>
      <c r="F487" s="99"/>
    </row>
    <row r="488" spans="2:6" ht="12.75" customHeight="1" x14ac:dyDescent="0.25">
      <c r="B488" s="99"/>
      <c r="E488" s="99"/>
      <c r="F488" s="99"/>
    </row>
    <row r="489" spans="2:6" ht="12.75" customHeight="1" x14ac:dyDescent="0.25">
      <c r="B489" s="99"/>
      <c r="E489" s="99"/>
      <c r="F489" s="99"/>
    </row>
    <row r="490" spans="2:6" ht="12.75" customHeight="1" x14ac:dyDescent="0.25">
      <c r="B490" s="99"/>
      <c r="E490" s="99"/>
      <c r="F490" s="99"/>
    </row>
    <row r="491" spans="2:6" ht="12.75" customHeight="1" x14ac:dyDescent="0.25">
      <c r="B491" s="99"/>
      <c r="E491" s="99"/>
      <c r="F491" s="99"/>
    </row>
    <row r="492" spans="2:6" ht="12.75" customHeight="1" x14ac:dyDescent="0.25">
      <c r="B492" s="99"/>
      <c r="E492" s="99"/>
      <c r="F492" s="99"/>
    </row>
    <row r="493" spans="2:6" ht="12.75" customHeight="1" x14ac:dyDescent="0.25">
      <c r="B493" s="99"/>
      <c r="E493" s="99"/>
      <c r="F493" s="99"/>
    </row>
    <row r="494" spans="2:6" ht="12.75" customHeight="1" x14ac:dyDescent="0.25">
      <c r="B494" s="99"/>
      <c r="E494" s="99"/>
      <c r="F494" s="99"/>
    </row>
    <row r="495" spans="2:6" ht="12.75" customHeight="1" x14ac:dyDescent="0.25">
      <c r="B495" s="99"/>
      <c r="E495" s="99"/>
      <c r="F495" s="99"/>
    </row>
    <row r="496" spans="2:6" ht="12.75" customHeight="1" x14ac:dyDescent="0.25">
      <c r="B496" s="99"/>
      <c r="E496" s="99"/>
      <c r="F496" s="99"/>
    </row>
    <row r="497" spans="2:6" ht="12.75" customHeight="1" x14ac:dyDescent="0.25">
      <c r="B497" s="99"/>
      <c r="E497" s="99"/>
      <c r="F497" s="99"/>
    </row>
    <row r="498" spans="2:6" ht="12.75" customHeight="1" x14ac:dyDescent="0.25">
      <c r="B498" s="99"/>
      <c r="E498" s="99"/>
      <c r="F498" s="99"/>
    </row>
    <row r="499" spans="2:6" ht="12.75" customHeight="1" x14ac:dyDescent="0.25">
      <c r="B499" s="99"/>
      <c r="E499" s="99"/>
      <c r="F499" s="99"/>
    </row>
    <row r="500" spans="2:6" ht="12.75" customHeight="1" x14ac:dyDescent="0.25">
      <c r="B500" s="99"/>
      <c r="E500" s="99"/>
      <c r="F500" s="99"/>
    </row>
    <row r="501" spans="2:6" ht="12.75" customHeight="1" x14ac:dyDescent="0.25">
      <c r="B501" s="99"/>
      <c r="E501" s="99"/>
      <c r="F501" s="99"/>
    </row>
    <row r="502" spans="2:6" ht="12.75" customHeight="1" x14ac:dyDescent="0.25">
      <c r="B502" s="99"/>
      <c r="E502" s="99"/>
      <c r="F502" s="99"/>
    </row>
    <row r="503" spans="2:6" ht="12.75" customHeight="1" x14ac:dyDescent="0.25">
      <c r="B503" s="99"/>
      <c r="E503" s="99"/>
      <c r="F503" s="99"/>
    </row>
    <row r="504" spans="2:6" ht="12.75" customHeight="1" x14ac:dyDescent="0.25">
      <c r="B504" s="99"/>
      <c r="E504" s="99"/>
      <c r="F504" s="99"/>
    </row>
    <row r="505" spans="2:6" ht="12.75" customHeight="1" x14ac:dyDescent="0.25">
      <c r="B505" s="99"/>
      <c r="E505" s="99"/>
      <c r="F505" s="99"/>
    </row>
    <row r="506" spans="2:6" ht="12.75" customHeight="1" x14ac:dyDescent="0.25">
      <c r="B506" s="99"/>
      <c r="E506" s="99"/>
      <c r="F506" s="99"/>
    </row>
    <row r="507" spans="2:6" ht="12.75" customHeight="1" x14ac:dyDescent="0.25">
      <c r="B507" s="99"/>
      <c r="E507" s="99"/>
      <c r="F507" s="99"/>
    </row>
    <row r="508" spans="2:6" ht="12.75" customHeight="1" x14ac:dyDescent="0.25">
      <c r="B508" s="99"/>
      <c r="E508" s="99"/>
      <c r="F508" s="99"/>
    </row>
    <row r="509" spans="2:6" ht="12.75" customHeight="1" x14ac:dyDescent="0.25">
      <c r="B509" s="99"/>
      <c r="E509" s="99"/>
      <c r="F509" s="99"/>
    </row>
    <row r="510" spans="2:6" ht="12.75" customHeight="1" x14ac:dyDescent="0.25">
      <c r="B510" s="99"/>
      <c r="E510" s="99"/>
      <c r="F510" s="99"/>
    </row>
    <row r="511" spans="2:6" ht="12.75" customHeight="1" x14ac:dyDescent="0.25">
      <c r="B511" s="99"/>
      <c r="E511" s="99"/>
      <c r="F511" s="99"/>
    </row>
    <row r="512" spans="2:6" ht="12.75" customHeight="1" x14ac:dyDescent="0.25">
      <c r="B512" s="99"/>
      <c r="E512" s="99"/>
      <c r="F512" s="99"/>
    </row>
    <row r="513" spans="2:6" ht="12.75" customHeight="1" x14ac:dyDescent="0.25">
      <c r="B513" s="99"/>
      <c r="E513" s="99"/>
      <c r="F513" s="99"/>
    </row>
    <row r="514" spans="2:6" ht="12.75" customHeight="1" x14ac:dyDescent="0.25">
      <c r="B514" s="99"/>
      <c r="E514" s="99"/>
      <c r="F514" s="99"/>
    </row>
    <row r="515" spans="2:6" ht="12.75" customHeight="1" x14ac:dyDescent="0.25">
      <c r="B515" s="99"/>
      <c r="E515" s="99"/>
      <c r="F515" s="99"/>
    </row>
    <row r="516" spans="2:6" ht="12.75" customHeight="1" x14ac:dyDescent="0.25">
      <c r="B516" s="99"/>
      <c r="E516" s="99"/>
      <c r="F516" s="99"/>
    </row>
    <row r="517" spans="2:6" ht="12.75" customHeight="1" x14ac:dyDescent="0.25">
      <c r="B517" s="99"/>
      <c r="E517" s="99"/>
      <c r="F517" s="99"/>
    </row>
    <row r="518" spans="2:6" ht="12.75" customHeight="1" x14ac:dyDescent="0.25">
      <c r="B518" s="99"/>
      <c r="E518" s="99"/>
      <c r="F518" s="99"/>
    </row>
    <row r="519" spans="2:6" ht="12.75" customHeight="1" x14ac:dyDescent="0.25">
      <c r="B519" s="99"/>
      <c r="E519" s="99"/>
      <c r="F519" s="99"/>
    </row>
    <row r="520" spans="2:6" ht="12.75" customHeight="1" x14ac:dyDescent="0.25">
      <c r="B520" s="99"/>
      <c r="E520" s="99"/>
      <c r="F520" s="99"/>
    </row>
    <row r="521" spans="2:6" ht="12.75" customHeight="1" x14ac:dyDescent="0.25">
      <c r="B521" s="99"/>
      <c r="E521" s="99"/>
      <c r="F521" s="99"/>
    </row>
    <row r="522" spans="2:6" ht="12.75" customHeight="1" x14ac:dyDescent="0.25">
      <c r="B522" s="99"/>
      <c r="E522" s="99"/>
      <c r="F522" s="99"/>
    </row>
    <row r="523" spans="2:6" ht="12.75" customHeight="1" x14ac:dyDescent="0.25">
      <c r="B523" s="99"/>
      <c r="E523" s="99"/>
      <c r="F523" s="99"/>
    </row>
    <row r="524" spans="2:6" ht="12.75" customHeight="1" x14ac:dyDescent="0.25">
      <c r="B524" s="99"/>
      <c r="E524" s="99"/>
      <c r="F524" s="99"/>
    </row>
    <row r="525" spans="2:6" ht="12.75" customHeight="1" x14ac:dyDescent="0.25">
      <c r="B525" s="99"/>
      <c r="E525" s="99"/>
      <c r="F525" s="99"/>
    </row>
    <row r="526" spans="2:6" ht="12.75" customHeight="1" x14ac:dyDescent="0.25">
      <c r="B526" s="99"/>
      <c r="E526" s="99"/>
      <c r="F526" s="99"/>
    </row>
    <row r="527" spans="2:6" ht="12.75" customHeight="1" x14ac:dyDescent="0.25">
      <c r="B527" s="99"/>
      <c r="E527" s="99"/>
      <c r="F527" s="99"/>
    </row>
    <row r="528" spans="2:6" ht="12.75" customHeight="1" x14ac:dyDescent="0.25">
      <c r="B528" s="99"/>
      <c r="E528" s="99"/>
      <c r="F528" s="99"/>
    </row>
    <row r="529" spans="2:6" ht="12.75" customHeight="1" x14ac:dyDescent="0.25">
      <c r="B529" s="99"/>
      <c r="E529" s="99"/>
      <c r="F529" s="99"/>
    </row>
    <row r="530" spans="2:6" ht="12.75" customHeight="1" x14ac:dyDescent="0.25">
      <c r="B530" s="99"/>
      <c r="E530" s="99"/>
      <c r="F530" s="99"/>
    </row>
    <row r="531" spans="2:6" ht="12.75" customHeight="1" x14ac:dyDescent="0.25">
      <c r="B531" s="99"/>
      <c r="E531" s="99"/>
      <c r="F531" s="99"/>
    </row>
    <row r="532" spans="2:6" ht="12.75" customHeight="1" x14ac:dyDescent="0.25">
      <c r="B532" s="99"/>
      <c r="E532" s="99"/>
      <c r="F532" s="99"/>
    </row>
    <row r="533" spans="2:6" ht="12.75" customHeight="1" x14ac:dyDescent="0.25">
      <c r="B533" s="99"/>
      <c r="E533" s="99"/>
      <c r="F533" s="99"/>
    </row>
    <row r="534" spans="2:6" ht="12.75" customHeight="1" x14ac:dyDescent="0.25">
      <c r="B534" s="99"/>
      <c r="E534" s="99"/>
      <c r="F534" s="99"/>
    </row>
    <row r="535" spans="2:6" ht="12.75" customHeight="1" x14ac:dyDescent="0.25">
      <c r="B535" s="99"/>
      <c r="E535" s="99"/>
      <c r="F535" s="99"/>
    </row>
    <row r="536" spans="2:6" ht="12.75" customHeight="1" x14ac:dyDescent="0.25">
      <c r="B536" s="99"/>
      <c r="E536" s="99"/>
      <c r="F536" s="99"/>
    </row>
    <row r="537" spans="2:6" ht="12.75" customHeight="1" x14ac:dyDescent="0.25">
      <c r="B537" s="99"/>
      <c r="E537" s="99"/>
      <c r="F537" s="99"/>
    </row>
    <row r="538" spans="2:6" ht="12.75" customHeight="1" x14ac:dyDescent="0.25">
      <c r="B538" s="99"/>
      <c r="E538" s="99"/>
      <c r="F538" s="99"/>
    </row>
    <row r="539" spans="2:6" ht="12.75" customHeight="1" x14ac:dyDescent="0.25">
      <c r="B539" s="99"/>
      <c r="E539" s="99"/>
      <c r="F539" s="99"/>
    </row>
    <row r="540" spans="2:6" ht="12.75" customHeight="1" x14ac:dyDescent="0.25">
      <c r="B540" s="99"/>
      <c r="E540" s="99"/>
      <c r="F540" s="99"/>
    </row>
    <row r="541" spans="2:6" ht="12.75" customHeight="1" x14ac:dyDescent="0.25">
      <c r="B541" s="99"/>
      <c r="E541" s="99"/>
      <c r="F541" s="99"/>
    </row>
    <row r="542" spans="2:6" ht="12.75" customHeight="1" x14ac:dyDescent="0.25">
      <c r="B542" s="99"/>
      <c r="E542" s="99"/>
      <c r="F542" s="99"/>
    </row>
    <row r="543" spans="2:6" ht="12.75" customHeight="1" x14ac:dyDescent="0.25">
      <c r="B543" s="99"/>
      <c r="E543" s="99"/>
      <c r="F543" s="99"/>
    </row>
    <row r="544" spans="2:6" ht="12.75" customHeight="1" x14ac:dyDescent="0.25">
      <c r="B544" s="99"/>
      <c r="E544" s="99"/>
      <c r="F544" s="99"/>
    </row>
    <row r="545" spans="2:6" ht="12.75" customHeight="1" x14ac:dyDescent="0.25">
      <c r="B545" s="99"/>
      <c r="E545" s="99"/>
      <c r="F545" s="99"/>
    </row>
    <row r="546" spans="2:6" ht="12.75" customHeight="1" x14ac:dyDescent="0.25">
      <c r="B546" s="99"/>
      <c r="E546" s="99"/>
      <c r="F546" s="99"/>
    </row>
    <row r="547" spans="2:6" ht="12.75" customHeight="1" x14ac:dyDescent="0.25">
      <c r="B547" s="99"/>
      <c r="E547" s="99"/>
      <c r="F547" s="99"/>
    </row>
    <row r="548" spans="2:6" ht="12.75" customHeight="1" x14ac:dyDescent="0.25">
      <c r="B548" s="99"/>
      <c r="E548" s="99"/>
      <c r="F548" s="99"/>
    </row>
    <row r="549" spans="2:6" ht="12.75" customHeight="1" x14ac:dyDescent="0.25">
      <c r="B549" s="99"/>
      <c r="E549" s="99"/>
      <c r="F549" s="99"/>
    </row>
    <row r="550" spans="2:6" ht="12.75" customHeight="1" x14ac:dyDescent="0.25">
      <c r="B550" s="99"/>
      <c r="E550" s="99"/>
      <c r="F550" s="99"/>
    </row>
    <row r="551" spans="2:6" ht="12.75" customHeight="1" x14ac:dyDescent="0.25">
      <c r="B551" s="99"/>
      <c r="E551" s="99"/>
      <c r="F551" s="99"/>
    </row>
    <row r="552" spans="2:6" ht="12.75" customHeight="1" x14ac:dyDescent="0.25">
      <c r="B552" s="99"/>
      <c r="E552" s="99"/>
      <c r="F552" s="99"/>
    </row>
    <row r="553" spans="2:6" ht="12.75" customHeight="1" x14ac:dyDescent="0.25">
      <c r="B553" s="99"/>
      <c r="E553" s="99"/>
      <c r="F553" s="99"/>
    </row>
    <row r="554" spans="2:6" ht="12.75" customHeight="1" x14ac:dyDescent="0.25">
      <c r="B554" s="99"/>
      <c r="E554" s="99"/>
      <c r="F554" s="99"/>
    </row>
    <row r="555" spans="2:6" ht="12.75" customHeight="1" x14ac:dyDescent="0.25">
      <c r="B555" s="99"/>
      <c r="E555" s="99"/>
      <c r="F555" s="99"/>
    </row>
    <row r="556" spans="2:6" ht="12.75" customHeight="1" x14ac:dyDescent="0.25">
      <c r="B556" s="99"/>
      <c r="E556" s="99"/>
      <c r="F556" s="99"/>
    </row>
    <row r="557" spans="2:6" ht="12.75" customHeight="1" x14ac:dyDescent="0.25">
      <c r="B557" s="99"/>
      <c r="E557" s="99"/>
      <c r="F557" s="99"/>
    </row>
    <row r="558" spans="2:6" ht="12.75" customHeight="1" x14ac:dyDescent="0.25">
      <c r="B558" s="99"/>
      <c r="E558" s="99"/>
      <c r="F558" s="99"/>
    </row>
    <row r="559" spans="2:6" ht="12.75" customHeight="1" x14ac:dyDescent="0.25">
      <c r="B559" s="99"/>
      <c r="E559" s="99"/>
      <c r="F559" s="99"/>
    </row>
    <row r="560" spans="2:6" ht="12.75" customHeight="1" x14ac:dyDescent="0.25">
      <c r="B560" s="99"/>
      <c r="E560" s="99"/>
      <c r="F560" s="99"/>
    </row>
    <row r="561" spans="2:6" ht="12.75" customHeight="1" x14ac:dyDescent="0.25">
      <c r="B561" s="99"/>
      <c r="E561" s="99"/>
      <c r="F561" s="99"/>
    </row>
    <row r="562" spans="2:6" ht="12.75" customHeight="1" x14ac:dyDescent="0.25">
      <c r="B562" s="99"/>
      <c r="E562" s="99"/>
      <c r="F562" s="99"/>
    </row>
    <row r="563" spans="2:6" ht="12.75" customHeight="1" x14ac:dyDescent="0.25">
      <c r="B563" s="99"/>
      <c r="E563" s="99"/>
      <c r="F563" s="99"/>
    </row>
    <row r="564" spans="2:6" ht="12.75" customHeight="1" x14ac:dyDescent="0.25">
      <c r="B564" s="99"/>
      <c r="E564" s="99"/>
      <c r="F564" s="99"/>
    </row>
    <row r="565" spans="2:6" ht="12.75" customHeight="1" x14ac:dyDescent="0.25">
      <c r="B565" s="99"/>
      <c r="E565" s="99"/>
      <c r="F565" s="99"/>
    </row>
    <row r="566" spans="2:6" ht="12.75" customHeight="1" x14ac:dyDescent="0.25">
      <c r="B566" s="99"/>
      <c r="E566" s="99"/>
      <c r="F566" s="99"/>
    </row>
    <row r="567" spans="2:6" ht="12.75" customHeight="1" x14ac:dyDescent="0.25">
      <c r="B567" s="99"/>
      <c r="E567" s="99"/>
      <c r="F567" s="99"/>
    </row>
    <row r="568" spans="2:6" ht="12.75" customHeight="1" x14ac:dyDescent="0.25">
      <c r="B568" s="99"/>
      <c r="E568" s="99"/>
      <c r="F568" s="99"/>
    </row>
    <row r="569" spans="2:6" ht="12.75" customHeight="1" x14ac:dyDescent="0.25">
      <c r="B569" s="99"/>
      <c r="E569" s="99"/>
      <c r="F569" s="99"/>
    </row>
    <row r="570" spans="2:6" ht="12.75" customHeight="1" x14ac:dyDescent="0.25">
      <c r="B570" s="99"/>
      <c r="E570" s="99"/>
      <c r="F570" s="99"/>
    </row>
    <row r="571" spans="2:6" ht="12.75" customHeight="1" x14ac:dyDescent="0.25">
      <c r="B571" s="99"/>
      <c r="E571" s="99"/>
      <c r="F571" s="99"/>
    </row>
    <row r="572" spans="2:6" ht="12.75" customHeight="1" x14ac:dyDescent="0.25">
      <c r="B572" s="99"/>
      <c r="E572" s="99"/>
      <c r="F572" s="99"/>
    </row>
    <row r="573" spans="2:6" ht="12.75" customHeight="1" x14ac:dyDescent="0.25">
      <c r="B573" s="99"/>
      <c r="E573" s="99"/>
      <c r="F573" s="99"/>
    </row>
    <row r="574" spans="2:6" ht="12.75" customHeight="1" x14ac:dyDescent="0.25">
      <c r="B574" s="99"/>
      <c r="E574" s="99"/>
      <c r="F574" s="99"/>
    </row>
    <row r="575" spans="2:6" ht="12.75" customHeight="1" x14ac:dyDescent="0.25">
      <c r="B575" s="99"/>
      <c r="E575" s="99"/>
      <c r="F575" s="99"/>
    </row>
    <row r="576" spans="2:6" ht="12.75" customHeight="1" x14ac:dyDescent="0.25">
      <c r="B576" s="99"/>
      <c r="E576" s="99"/>
      <c r="F576" s="99"/>
    </row>
    <row r="577" spans="2:6" ht="12.75" customHeight="1" x14ac:dyDescent="0.25">
      <c r="B577" s="99"/>
      <c r="E577" s="99"/>
      <c r="F577" s="99"/>
    </row>
    <row r="578" spans="2:6" ht="12.75" customHeight="1" x14ac:dyDescent="0.25">
      <c r="B578" s="99"/>
      <c r="E578" s="99"/>
      <c r="F578" s="99"/>
    </row>
    <row r="579" spans="2:6" ht="12.75" customHeight="1" x14ac:dyDescent="0.25">
      <c r="B579" s="99"/>
      <c r="E579" s="99"/>
      <c r="F579" s="99"/>
    </row>
    <row r="580" spans="2:6" ht="12.75" customHeight="1" x14ac:dyDescent="0.25">
      <c r="B580" s="99"/>
      <c r="E580" s="99"/>
      <c r="F580" s="99"/>
    </row>
    <row r="581" spans="2:6" ht="12.75" customHeight="1" x14ac:dyDescent="0.25">
      <c r="B581" s="99"/>
      <c r="E581" s="99"/>
      <c r="F581" s="99"/>
    </row>
    <row r="582" spans="2:6" ht="12.75" customHeight="1" x14ac:dyDescent="0.25">
      <c r="B582" s="99"/>
      <c r="E582" s="99"/>
      <c r="F582" s="99"/>
    </row>
    <row r="583" spans="2:6" ht="12.75" customHeight="1" x14ac:dyDescent="0.25">
      <c r="B583" s="99"/>
      <c r="E583" s="99"/>
      <c r="F583" s="99"/>
    </row>
    <row r="584" spans="2:6" ht="12.75" customHeight="1" x14ac:dyDescent="0.25">
      <c r="B584" s="99"/>
      <c r="E584" s="99"/>
      <c r="F584" s="99"/>
    </row>
    <row r="585" spans="2:6" ht="12.75" customHeight="1" x14ac:dyDescent="0.25">
      <c r="B585" s="99"/>
      <c r="E585" s="99"/>
      <c r="F585" s="99"/>
    </row>
    <row r="586" spans="2:6" ht="12.75" customHeight="1" x14ac:dyDescent="0.25">
      <c r="B586" s="99"/>
      <c r="E586" s="99"/>
      <c r="F586" s="99"/>
    </row>
    <row r="587" spans="2:6" ht="12.75" customHeight="1" x14ac:dyDescent="0.25">
      <c r="B587" s="99"/>
      <c r="E587" s="99"/>
      <c r="F587" s="99"/>
    </row>
    <row r="588" spans="2:6" ht="12.75" customHeight="1" x14ac:dyDescent="0.25">
      <c r="B588" s="99"/>
      <c r="E588" s="99"/>
      <c r="F588" s="99"/>
    </row>
    <row r="589" spans="2:6" ht="12.75" customHeight="1" x14ac:dyDescent="0.25">
      <c r="B589" s="99"/>
      <c r="E589" s="99"/>
      <c r="F589" s="99"/>
    </row>
    <row r="590" spans="2:6" ht="12.75" customHeight="1" x14ac:dyDescent="0.25">
      <c r="B590" s="99"/>
      <c r="E590" s="99"/>
      <c r="F590" s="99"/>
    </row>
    <row r="591" spans="2:6" ht="12.75" customHeight="1" x14ac:dyDescent="0.25">
      <c r="B591" s="99"/>
      <c r="E591" s="99"/>
      <c r="F591" s="99"/>
    </row>
    <row r="592" spans="2:6" ht="12.75" customHeight="1" x14ac:dyDescent="0.25">
      <c r="B592" s="99"/>
      <c r="E592" s="99"/>
      <c r="F592" s="99"/>
    </row>
    <row r="593" spans="2:6" ht="12.75" customHeight="1" x14ac:dyDescent="0.25">
      <c r="B593" s="99"/>
      <c r="E593" s="99"/>
      <c r="F593" s="99"/>
    </row>
    <row r="594" spans="2:6" ht="12.75" customHeight="1" x14ac:dyDescent="0.25">
      <c r="B594" s="99"/>
      <c r="E594" s="99"/>
      <c r="F594" s="99"/>
    </row>
    <row r="595" spans="2:6" ht="12.75" customHeight="1" x14ac:dyDescent="0.25">
      <c r="B595" s="99"/>
      <c r="E595" s="99"/>
      <c r="F595" s="99"/>
    </row>
    <row r="596" spans="2:6" ht="12.75" customHeight="1" x14ac:dyDescent="0.25">
      <c r="B596" s="99"/>
      <c r="E596" s="99"/>
      <c r="F596" s="99"/>
    </row>
    <row r="597" spans="2:6" ht="12.75" customHeight="1" x14ac:dyDescent="0.25">
      <c r="B597" s="99"/>
      <c r="E597" s="99"/>
      <c r="F597" s="99"/>
    </row>
    <row r="598" spans="2:6" ht="12.75" customHeight="1" x14ac:dyDescent="0.25">
      <c r="B598" s="99"/>
      <c r="E598" s="99"/>
      <c r="F598" s="99"/>
    </row>
    <row r="599" spans="2:6" ht="12.75" customHeight="1" x14ac:dyDescent="0.25">
      <c r="B599" s="99"/>
      <c r="E599" s="99"/>
      <c r="F599" s="99"/>
    </row>
    <row r="600" spans="2:6" ht="12.75" customHeight="1" x14ac:dyDescent="0.25">
      <c r="B600" s="99"/>
      <c r="E600" s="99"/>
      <c r="F600" s="99"/>
    </row>
    <row r="601" spans="2:6" ht="12.75" customHeight="1" x14ac:dyDescent="0.25">
      <c r="B601" s="99"/>
      <c r="E601" s="99"/>
      <c r="F601" s="99"/>
    </row>
    <row r="602" spans="2:6" ht="12.75" customHeight="1" x14ac:dyDescent="0.25">
      <c r="B602" s="99"/>
      <c r="E602" s="99"/>
      <c r="F602" s="99"/>
    </row>
    <row r="603" spans="2:6" ht="12.75" customHeight="1" x14ac:dyDescent="0.25">
      <c r="B603" s="99"/>
      <c r="E603" s="99"/>
      <c r="F603" s="99"/>
    </row>
    <row r="604" spans="2:6" ht="12.75" customHeight="1" x14ac:dyDescent="0.25">
      <c r="B604" s="99"/>
      <c r="E604" s="99"/>
      <c r="F604" s="99"/>
    </row>
    <row r="605" spans="2:6" ht="12.75" customHeight="1" x14ac:dyDescent="0.25">
      <c r="B605" s="99"/>
      <c r="E605" s="99"/>
      <c r="F605" s="99"/>
    </row>
    <row r="606" spans="2:6" ht="12.75" customHeight="1" x14ac:dyDescent="0.25">
      <c r="B606" s="99"/>
      <c r="E606" s="99"/>
      <c r="F606" s="99"/>
    </row>
    <row r="607" spans="2:6" ht="12.75" customHeight="1" x14ac:dyDescent="0.25">
      <c r="B607" s="99"/>
      <c r="E607" s="99"/>
      <c r="F607" s="99"/>
    </row>
    <row r="608" spans="2:6" ht="12.75" customHeight="1" x14ac:dyDescent="0.25">
      <c r="B608" s="99"/>
      <c r="E608" s="99"/>
      <c r="F608" s="99"/>
    </row>
    <row r="609" spans="2:6" ht="12.75" customHeight="1" x14ac:dyDescent="0.25">
      <c r="B609" s="99"/>
      <c r="E609" s="99"/>
      <c r="F609" s="99"/>
    </row>
    <row r="610" spans="2:6" ht="12.75" customHeight="1" x14ac:dyDescent="0.25">
      <c r="B610" s="99"/>
      <c r="E610" s="99"/>
      <c r="F610" s="99"/>
    </row>
    <row r="611" spans="2:6" ht="12.75" customHeight="1" x14ac:dyDescent="0.25">
      <c r="B611" s="99"/>
      <c r="E611" s="99"/>
      <c r="F611" s="99"/>
    </row>
    <row r="612" spans="2:6" ht="12.75" customHeight="1" x14ac:dyDescent="0.25">
      <c r="B612" s="99"/>
      <c r="E612" s="99"/>
      <c r="F612" s="99"/>
    </row>
    <row r="613" spans="2:6" ht="12.75" customHeight="1" x14ac:dyDescent="0.25">
      <c r="B613" s="99"/>
      <c r="E613" s="99"/>
      <c r="F613" s="99"/>
    </row>
    <row r="614" spans="2:6" ht="12.75" customHeight="1" x14ac:dyDescent="0.25">
      <c r="B614" s="99"/>
      <c r="E614" s="99"/>
      <c r="F614" s="99"/>
    </row>
    <row r="615" spans="2:6" ht="12.75" customHeight="1" x14ac:dyDescent="0.25">
      <c r="B615" s="99"/>
      <c r="E615" s="99"/>
      <c r="F615" s="99"/>
    </row>
    <row r="616" spans="2:6" ht="12.75" customHeight="1" x14ac:dyDescent="0.25">
      <c r="B616" s="99"/>
      <c r="E616" s="99"/>
      <c r="F616" s="99"/>
    </row>
    <row r="617" spans="2:6" ht="12.75" customHeight="1" x14ac:dyDescent="0.25">
      <c r="B617" s="99"/>
      <c r="E617" s="99"/>
      <c r="F617" s="99"/>
    </row>
    <row r="618" spans="2:6" ht="12.75" customHeight="1" x14ac:dyDescent="0.25">
      <c r="B618" s="99"/>
      <c r="E618" s="99"/>
      <c r="F618" s="99"/>
    </row>
    <row r="619" spans="2:6" ht="12.75" customHeight="1" x14ac:dyDescent="0.25">
      <c r="B619" s="99"/>
      <c r="E619" s="99"/>
      <c r="F619" s="99"/>
    </row>
    <row r="620" spans="2:6" ht="12.75" customHeight="1" x14ac:dyDescent="0.25">
      <c r="B620" s="99"/>
      <c r="E620" s="99"/>
      <c r="F620" s="99"/>
    </row>
    <row r="621" spans="2:6" ht="12.75" customHeight="1" x14ac:dyDescent="0.25">
      <c r="B621" s="99"/>
      <c r="E621" s="99"/>
      <c r="F621" s="99"/>
    </row>
    <row r="622" spans="2:6" ht="12.75" customHeight="1" x14ac:dyDescent="0.25">
      <c r="B622" s="99"/>
      <c r="E622" s="99"/>
      <c r="F622" s="99"/>
    </row>
    <row r="623" spans="2:6" ht="12.75" customHeight="1" x14ac:dyDescent="0.25">
      <c r="B623" s="99"/>
      <c r="E623" s="99"/>
      <c r="F623" s="99"/>
    </row>
    <row r="624" spans="2:6" ht="12.75" customHeight="1" x14ac:dyDescent="0.25">
      <c r="B624" s="99"/>
      <c r="E624" s="99"/>
      <c r="F624" s="99"/>
    </row>
    <row r="625" spans="2:6" ht="12.75" customHeight="1" x14ac:dyDescent="0.25">
      <c r="B625" s="99"/>
      <c r="E625" s="99"/>
      <c r="F625" s="99"/>
    </row>
    <row r="626" spans="2:6" ht="12.75" customHeight="1" x14ac:dyDescent="0.25">
      <c r="B626" s="99"/>
      <c r="E626" s="99"/>
      <c r="F626" s="99"/>
    </row>
    <row r="627" spans="2:6" ht="12.75" customHeight="1" x14ac:dyDescent="0.25">
      <c r="B627" s="99"/>
      <c r="E627" s="99"/>
      <c r="F627" s="99"/>
    </row>
    <row r="628" spans="2:6" ht="12.75" customHeight="1" x14ac:dyDescent="0.25">
      <c r="B628" s="99"/>
      <c r="E628" s="99"/>
      <c r="F628" s="99"/>
    </row>
    <row r="629" spans="2:6" ht="12.75" customHeight="1" x14ac:dyDescent="0.25">
      <c r="B629" s="99"/>
      <c r="E629" s="99"/>
      <c r="F629" s="99"/>
    </row>
    <row r="630" spans="2:6" ht="12.75" customHeight="1" x14ac:dyDescent="0.25">
      <c r="B630" s="99"/>
      <c r="E630" s="99"/>
      <c r="F630" s="99"/>
    </row>
    <row r="631" spans="2:6" ht="12.75" customHeight="1" x14ac:dyDescent="0.25">
      <c r="B631" s="99"/>
      <c r="E631" s="99"/>
      <c r="F631" s="99"/>
    </row>
    <row r="632" spans="2:6" ht="12.75" customHeight="1" x14ac:dyDescent="0.25">
      <c r="B632" s="99"/>
      <c r="E632" s="99"/>
      <c r="F632" s="99"/>
    </row>
    <row r="633" spans="2:6" ht="12.75" customHeight="1" x14ac:dyDescent="0.25">
      <c r="B633" s="99"/>
      <c r="E633" s="99"/>
      <c r="F633" s="99"/>
    </row>
    <row r="634" spans="2:6" ht="12.75" customHeight="1" x14ac:dyDescent="0.25">
      <c r="B634" s="99"/>
      <c r="E634" s="99"/>
      <c r="F634" s="99"/>
    </row>
    <row r="635" spans="2:6" ht="12.75" customHeight="1" x14ac:dyDescent="0.25">
      <c r="B635" s="99"/>
      <c r="E635" s="99"/>
      <c r="F635" s="99"/>
    </row>
    <row r="636" spans="2:6" ht="12.75" customHeight="1" x14ac:dyDescent="0.25">
      <c r="B636" s="99"/>
      <c r="E636" s="99"/>
      <c r="F636" s="99"/>
    </row>
    <row r="637" spans="2:6" ht="12.75" customHeight="1" x14ac:dyDescent="0.25">
      <c r="B637" s="99"/>
      <c r="E637" s="99"/>
      <c r="F637" s="99"/>
    </row>
    <row r="638" spans="2:6" ht="12.75" customHeight="1" x14ac:dyDescent="0.25">
      <c r="B638" s="99"/>
      <c r="E638" s="99"/>
      <c r="F638" s="99"/>
    </row>
    <row r="639" spans="2:6" ht="12.75" customHeight="1" x14ac:dyDescent="0.25">
      <c r="B639" s="99"/>
      <c r="E639" s="99"/>
      <c r="F639" s="99"/>
    </row>
    <row r="640" spans="2:6" ht="12.75" customHeight="1" x14ac:dyDescent="0.25">
      <c r="B640" s="99"/>
      <c r="E640" s="99"/>
      <c r="F640" s="99"/>
    </row>
    <row r="641" spans="2:6" ht="12.75" customHeight="1" x14ac:dyDescent="0.25">
      <c r="B641" s="99"/>
      <c r="E641" s="99"/>
      <c r="F641" s="99"/>
    </row>
    <row r="642" spans="2:6" ht="12.75" customHeight="1" x14ac:dyDescent="0.25">
      <c r="B642" s="99"/>
      <c r="E642" s="99"/>
      <c r="F642" s="99"/>
    </row>
    <row r="643" spans="2:6" ht="12.75" customHeight="1" x14ac:dyDescent="0.25">
      <c r="B643" s="99"/>
      <c r="E643" s="99"/>
      <c r="F643" s="99"/>
    </row>
    <row r="644" spans="2:6" ht="12.75" customHeight="1" x14ac:dyDescent="0.25">
      <c r="B644" s="99"/>
      <c r="E644" s="99"/>
      <c r="F644" s="99"/>
    </row>
    <row r="645" spans="2:6" ht="12.75" customHeight="1" x14ac:dyDescent="0.25">
      <c r="B645" s="99"/>
      <c r="E645" s="99"/>
      <c r="F645" s="99"/>
    </row>
    <row r="646" spans="2:6" ht="12.75" customHeight="1" x14ac:dyDescent="0.25">
      <c r="B646" s="99"/>
      <c r="E646" s="99"/>
      <c r="F646" s="99"/>
    </row>
    <row r="647" spans="2:6" ht="12.75" customHeight="1" x14ac:dyDescent="0.25">
      <c r="B647" s="99"/>
      <c r="E647" s="99"/>
      <c r="F647" s="99"/>
    </row>
    <row r="648" spans="2:6" ht="12.75" customHeight="1" x14ac:dyDescent="0.25">
      <c r="B648" s="99"/>
      <c r="E648" s="99"/>
      <c r="F648" s="99"/>
    </row>
    <row r="649" spans="2:6" ht="12.75" customHeight="1" x14ac:dyDescent="0.25">
      <c r="B649" s="99"/>
      <c r="E649" s="99"/>
      <c r="F649" s="99"/>
    </row>
    <row r="650" spans="2:6" ht="12.75" customHeight="1" x14ac:dyDescent="0.25">
      <c r="B650" s="99"/>
      <c r="E650" s="99"/>
      <c r="F650" s="99"/>
    </row>
    <row r="651" spans="2:6" ht="12.75" customHeight="1" x14ac:dyDescent="0.25">
      <c r="B651" s="99"/>
      <c r="E651" s="99"/>
      <c r="F651" s="99"/>
    </row>
    <row r="652" spans="2:6" ht="12.75" customHeight="1" x14ac:dyDescent="0.25">
      <c r="B652" s="99"/>
      <c r="E652" s="99"/>
      <c r="F652" s="99"/>
    </row>
    <row r="653" spans="2:6" ht="12.75" customHeight="1" x14ac:dyDescent="0.25">
      <c r="B653" s="99"/>
      <c r="E653" s="99"/>
      <c r="F653" s="99"/>
    </row>
    <row r="654" spans="2:6" ht="12.75" customHeight="1" x14ac:dyDescent="0.25">
      <c r="B654" s="99"/>
      <c r="E654" s="99"/>
      <c r="F654" s="99"/>
    </row>
    <row r="655" spans="2:6" ht="12.75" customHeight="1" x14ac:dyDescent="0.25">
      <c r="B655" s="99"/>
      <c r="E655" s="99"/>
      <c r="F655" s="99"/>
    </row>
    <row r="656" spans="2:6" ht="12.75" customHeight="1" x14ac:dyDescent="0.25">
      <c r="B656" s="99"/>
      <c r="E656" s="99"/>
      <c r="F656" s="99"/>
    </row>
    <row r="657" spans="2:6" ht="12.75" customHeight="1" x14ac:dyDescent="0.25">
      <c r="B657" s="99"/>
      <c r="E657" s="99"/>
      <c r="F657" s="99"/>
    </row>
    <row r="658" spans="2:6" ht="12.75" customHeight="1" x14ac:dyDescent="0.25">
      <c r="B658" s="99"/>
      <c r="E658" s="99"/>
      <c r="F658" s="99"/>
    </row>
    <row r="659" spans="2:6" ht="12.75" customHeight="1" x14ac:dyDescent="0.25">
      <c r="B659" s="99"/>
      <c r="E659" s="99"/>
      <c r="F659" s="99"/>
    </row>
    <row r="660" spans="2:6" ht="12.75" customHeight="1" x14ac:dyDescent="0.25">
      <c r="B660" s="99"/>
      <c r="E660" s="99"/>
      <c r="F660" s="99"/>
    </row>
    <row r="661" spans="2:6" ht="12.75" customHeight="1" x14ac:dyDescent="0.25">
      <c r="B661" s="99"/>
      <c r="E661" s="99"/>
      <c r="F661" s="99"/>
    </row>
    <row r="662" spans="2:6" ht="12.75" customHeight="1" x14ac:dyDescent="0.25">
      <c r="B662" s="99"/>
      <c r="E662" s="99"/>
      <c r="F662" s="99"/>
    </row>
    <row r="663" spans="2:6" ht="12.75" customHeight="1" x14ac:dyDescent="0.25">
      <c r="B663" s="99"/>
      <c r="E663" s="99"/>
      <c r="F663" s="99"/>
    </row>
    <row r="664" spans="2:6" ht="12.75" customHeight="1" x14ac:dyDescent="0.25">
      <c r="B664" s="99"/>
      <c r="E664" s="99"/>
      <c r="F664" s="99"/>
    </row>
    <row r="665" spans="2:6" ht="12.75" customHeight="1" x14ac:dyDescent="0.25">
      <c r="B665" s="99"/>
      <c r="E665" s="99"/>
      <c r="F665" s="99"/>
    </row>
    <row r="666" spans="2:6" ht="12.75" customHeight="1" x14ac:dyDescent="0.25">
      <c r="B666" s="99"/>
      <c r="E666" s="99"/>
      <c r="F666" s="99"/>
    </row>
    <row r="667" spans="2:6" ht="12.75" customHeight="1" x14ac:dyDescent="0.25">
      <c r="B667" s="99"/>
      <c r="E667" s="99"/>
      <c r="F667" s="99"/>
    </row>
    <row r="668" spans="2:6" ht="12.75" customHeight="1" x14ac:dyDescent="0.25">
      <c r="B668" s="99"/>
      <c r="E668" s="99"/>
      <c r="F668" s="99"/>
    </row>
    <row r="669" spans="2:6" ht="12.75" customHeight="1" x14ac:dyDescent="0.25">
      <c r="B669" s="99"/>
      <c r="E669" s="99"/>
      <c r="F669" s="99"/>
    </row>
    <row r="670" spans="2:6" ht="12.75" customHeight="1" x14ac:dyDescent="0.25">
      <c r="B670" s="99"/>
      <c r="E670" s="99"/>
      <c r="F670" s="99"/>
    </row>
    <row r="671" spans="2:6" ht="12.75" customHeight="1" x14ac:dyDescent="0.25">
      <c r="B671" s="99"/>
      <c r="E671" s="99"/>
      <c r="F671" s="99"/>
    </row>
    <row r="672" spans="2:6" ht="12.75" customHeight="1" x14ac:dyDescent="0.25">
      <c r="B672" s="99"/>
      <c r="E672" s="99"/>
      <c r="F672" s="99"/>
    </row>
    <row r="673" spans="2:6" ht="12.75" customHeight="1" x14ac:dyDescent="0.25">
      <c r="B673" s="99"/>
      <c r="E673" s="99"/>
      <c r="F673" s="99"/>
    </row>
    <row r="674" spans="2:6" ht="12.75" customHeight="1" x14ac:dyDescent="0.25">
      <c r="B674" s="99"/>
      <c r="E674" s="99"/>
      <c r="F674" s="99"/>
    </row>
    <row r="675" spans="2:6" ht="12.75" customHeight="1" x14ac:dyDescent="0.25">
      <c r="B675" s="99"/>
      <c r="E675" s="99"/>
      <c r="F675" s="99"/>
    </row>
    <row r="676" spans="2:6" ht="12.75" customHeight="1" x14ac:dyDescent="0.25">
      <c r="B676" s="99"/>
      <c r="E676" s="99"/>
      <c r="F676" s="99"/>
    </row>
    <row r="677" spans="2:6" ht="12.75" customHeight="1" x14ac:dyDescent="0.25">
      <c r="B677" s="99"/>
      <c r="E677" s="99"/>
      <c r="F677" s="99"/>
    </row>
    <row r="678" spans="2:6" ht="12.75" customHeight="1" x14ac:dyDescent="0.25">
      <c r="B678" s="99"/>
      <c r="E678" s="99"/>
      <c r="F678" s="99"/>
    </row>
    <row r="679" spans="2:6" ht="12.75" customHeight="1" x14ac:dyDescent="0.25">
      <c r="B679" s="99"/>
      <c r="E679" s="99"/>
      <c r="F679" s="99"/>
    </row>
    <row r="680" spans="2:6" ht="12.75" customHeight="1" x14ac:dyDescent="0.25">
      <c r="B680" s="99"/>
      <c r="E680" s="99"/>
      <c r="F680" s="99"/>
    </row>
    <row r="681" spans="2:6" ht="12.75" customHeight="1" x14ac:dyDescent="0.25">
      <c r="B681" s="99"/>
      <c r="E681" s="99"/>
      <c r="F681" s="99"/>
    </row>
    <row r="682" spans="2:6" ht="12.75" customHeight="1" x14ac:dyDescent="0.25">
      <c r="B682" s="99"/>
      <c r="E682" s="99"/>
      <c r="F682" s="99"/>
    </row>
    <row r="683" spans="2:6" ht="12.75" customHeight="1" x14ac:dyDescent="0.25">
      <c r="B683" s="99"/>
      <c r="E683" s="99"/>
      <c r="F683" s="99"/>
    </row>
    <row r="684" spans="2:6" ht="12.75" customHeight="1" x14ac:dyDescent="0.25">
      <c r="B684" s="99"/>
      <c r="E684" s="99"/>
      <c r="F684" s="99"/>
    </row>
    <row r="685" spans="2:6" ht="12.75" customHeight="1" x14ac:dyDescent="0.25">
      <c r="B685" s="99"/>
      <c r="E685" s="99"/>
      <c r="F685" s="99"/>
    </row>
    <row r="686" spans="2:6" ht="12.75" customHeight="1" x14ac:dyDescent="0.25">
      <c r="B686" s="99"/>
      <c r="E686" s="99"/>
      <c r="F686" s="99"/>
    </row>
    <row r="687" spans="2:6" ht="12.75" customHeight="1" x14ac:dyDescent="0.25">
      <c r="B687" s="99"/>
      <c r="E687" s="99"/>
      <c r="F687" s="99"/>
    </row>
    <row r="688" spans="2:6" ht="12.75" customHeight="1" x14ac:dyDescent="0.25">
      <c r="B688" s="99"/>
      <c r="E688" s="99"/>
      <c r="F688" s="99"/>
    </row>
    <row r="689" spans="2:6" ht="12.75" customHeight="1" x14ac:dyDescent="0.25">
      <c r="B689" s="99"/>
      <c r="E689" s="99"/>
      <c r="F689" s="99"/>
    </row>
    <row r="690" spans="2:6" ht="12.75" customHeight="1" x14ac:dyDescent="0.25">
      <c r="B690" s="99"/>
      <c r="E690" s="99"/>
      <c r="F690" s="99"/>
    </row>
    <row r="691" spans="2:6" ht="12.75" customHeight="1" x14ac:dyDescent="0.25">
      <c r="B691" s="99"/>
      <c r="E691" s="99"/>
      <c r="F691" s="99"/>
    </row>
    <row r="692" spans="2:6" ht="12.75" customHeight="1" x14ac:dyDescent="0.25">
      <c r="B692" s="99"/>
      <c r="E692" s="99"/>
      <c r="F692" s="99"/>
    </row>
    <row r="693" spans="2:6" ht="12.75" customHeight="1" x14ac:dyDescent="0.25">
      <c r="B693" s="99"/>
      <c r="E693" s="99"/>
      <c r="F693" s="99"/>
    </row>
    <row r="694" spans="2:6" ht="12.75" customHeight="1" x14ac:dyDescent="0.25">
      <c r="B694" s="99"/>
      <c r="E694" s="99"/>
      <c r="F694" s="99"/>
    </row>
    <row r="695" spans="2:6" ht="12.75" customHeight="1" x14ac:dyDescent="0.25">
      <c r="B695" s="99"/>
      <c r="E695" s="99"/>
      <c r="F695" s="99"/>
    </row>
    <row r="696" spans="2:6" ht="12.75" customHeight="1" x14ac:dyDescent="0.25">
      <c r="B696" s="99"/>
      <c r="E696" s="99"/>
      <c r="F696" s="99"/>
    </row>
    <row r="697" spans="2:6" ht="12.75" customHeight="1" x14ac:dyDescent="0.25">
      <c r="B697" s="99"/>
      <c r="E697" s="99"/>
      <c r="F697" s="99"/>
    </row>
    <row r="698" spans="2:6" ht="12.75" customHeight="1" x14ac:dyDescent="0.25">
      <c r="B698" s="99"/>
      <c r="E698" s="99"/>
      <c r="F698" s="99"/>
    </row>
    <row r="699" spans="2:6" ht="12.75" customHeight="1" x14ac:dyDescent="0.25">
      <c r="B699" s="99"/>
      <c r="E699" s="99"/>
      <c r="F699" s="99"/>
    </row>
    <row r="700" spans="2:6" ht="12.75" customHeight="1" x14ac:dyDescent="0.25">
      <c r="B700" s="99"/>
      <c r="E700" s="99"/>
      <c r="F700" s="99"/>
    </row>
    <row r="701" spans="2:6" ht="12.75" customHeight="1" x14ac:dyDescent="0.25">
      <c r="B701" s="99"/>
      <c r="E701" s="99"/>
      <c r="F701" s="99"/>
    </row>
    <row r="702" spans="2:6" ht="12.75" customHeight="1" x14ac:dyDescent="0.25">
      <c r="B702" s="99"/>
      <c r="E702" s="99"/>
      <c r="F702" s="99"/>
    </row>
    <row r="703" spans="2:6" ht="12.75" customHeight="1" x14ac:dyDescent="0.25">
      <c r="B703" s="99"/>
      <c r="E703" s="99"/>
      <c r="F703" s="99"/>
    </row>
    <row r="704" spans="2:6" ht="12.75" customHeight="1" x14ac:dyDescent="0.25">
      <c r="B704" s="99"/>
      <c r="E704" s="99"/>
      <c r="F704" s="99"/>
    </row>
    <row r="705" spans="2:6" ht="12.75" customHeight="1" x14ac:dyDescent="0.25">
      <c r="B705" s="99"/>
      <c r="E705" s="99"/>
      <c r="F705" s="99"/>
    </row>
    <row r="706" spans="2:6" ht="12.75" customHeight="1" x14ac:dyDescent="0.25">
      <c r="B706" s="99"/>
      <c r="E706" s="99"/>
      <c r="F706" s="99"/>
    </row>
    <row r="707" spans="2:6" ht="12.75" customHeight="1" x14ac:dyDescent="0.25">
      <c r="B707" s="99"/>
      <c r="E707" s="99"/>
      <c r="F707" s="99"/>
    </row>
    <row r="708" spans="2:6" ht="12.75" customHeight="1" x14ac:dyDescent="0.25">
      <c r="B708" s="99"/>
      <c r="E708" s="99"/>
      <c r="F708" s="99"/>
    </row>
    <row r="709" spans="2:6" ht="12.75" customHeight="1" x14ac:dyDescent="0.25">
      <c r="B709" s="99"/>
      <c r="E709" s="99"/>
      <c r="F709" s="99"/>
    </row>
    <row r="710" spans="2:6" ht="12.75" customHeight="1" x14ac:dyDescent="0.25">
      <c r="B710" s="99"/>
      <c r="E710" s="99"/>
      <c r="F710" s="99"/>
    </row>
    <row r="711" spans="2:6" ht="12.75" customHeight="1" x14ac:dyDescent="0.25">
      <c r="B711" s="99"/>
      <c r="E711" s="99"/>
      <c r="F711" s="99"/>
    </row>
    <row r="712" spans="2:6" ht="12.75" customHeight="1" x14ac:dyDescent="0.25">
      <c r="B712" s="99"/>
      <c r="E712" s="99"/>
      <c r="F712" s="99"/>
    </row>
    <row r="713" spans="2:6" ht="12.75" customHeight="1" x14ac:dyDescent="0.25">
      <c r="B713" s="99"/>
      <c r="E713" s="99"/>
      <c r="F713" s="99"/>
    </row>
    <row r="714" spans="2:6" ht="12.75" customHeight="1" x14ac:dyDescent="0.25">
      <c r="B714" s="99"/>
      <c r="E714" s="99"/>
      <c r="F714" s="99"/>
    </row>
    <row r="715" spans="2:6" ht="12.75" customHeight="1" x14ac:dyDescent="0.25">
      <c r="B715" s="99"/>
      <c r="E715" s="99"/>
      <c r="F715" s="99"/>
    </row>
    <row r="716" spans="2:6" ht="12.75" customHeight="1" x14ac:dyDescent="0.25">
      <c r="B716" s="99"/>
      <c r="E716" s="99"/>
      <c r="F716" s="99"/>
    </row>
    <row r="717" spans="2:6" ht="12.75" customHeight="1" x14ac:dyDescent="0.25">
      <c r="B717" s="99"/>
      <c r="E717" s="99"/>
      <c r="F717" s="99"/>
    </row>
    <row r="718" spans="2:6" ht="12.75" customHeight="1" x14ac:dyDescent="0.25">
      <c r="B718" s="99"/>
      <c r="E718" s="99"/>
      <c r="F718" s="99"/>
    </row>
    <row r="719" spans="2:6" ht="12.75" customHeight="1" x14ac:dyDescent="0.25">
      <c r="B719" s="99"/>
      <c r="E719" s="99"/>
      <c r="F719" s="99"/>
    </row>
    <row r="720" spans="2:6" ht="12.75" customHeight="1" x14ac:dyDescent="0.25">
      <c r="B720" s="99"/>
      <c r="E720" s="99"/>
      <c r="F720" s="99"/>
    </row>
    <row r="721" spans="2:6" ht="12.75" customHeight="1" x14ac:dyDescent="0.25">
      <c r="B721" s="99"/>
      <c r="E721" s="99"/>
      <c r="F721" s="99"/>
    </row>
    <row r="722" spans="2:6" ht="12.75" customHeight="1" x14ac:dyDescent="0.25">
      <c r="B722" s="99"/>
      <c r="E722" s="99"/>
      <c r="F722" s="99"/>
    </row>
    <row r="723" spans="2:6" ht="12.75" customHeight="1" x14ac:dyDescent="0.25">
      <c r="B723" s="99"/>
      <c r="E723" s="99"/>
      <c r="F723" s="99"/>
    </row>
    <row r="724" spans="2:6" ht="12.75" customHeight="1" x14ac:dyDescent="0.25">
      <c r="B724" s="99"/>
      <c r="E724" s="99"/>
      <c r="F724" s="99"/>
    </row>
    <row r="725" spans="2:6" ht="12.75" customHeight="1" x14ac:dyDescent="0.25">
      <c r="B725" s="99"/>
      <c r="E725" s="99"/>
      <c r="F725" s="99"/>
    </row>
    <row r="726" spans="2:6" ht="12.75" customHeight="1" x14ac:dyDescent="0.25">
      <c r="B726" s="99"/>
      <c r="E726" s="99"/>
      <c r="F726" s="99"/>
    </row>
    <row r="727" spans="2:6" ht="12.75" customHeight="1" x14ac:dyDescent="0.25">
      <c r="B727" s="99"/>
      <c r="E727" s="99"/>
      <c r="F727" s="99"/>
    </row>
    <row r="728" spans="2:6" ht="12.75" customHeight="1" x14ac:dyDescent="0.25">
      <c r="B728" s="99"/>
      <c r="E728" s="99"/>
      <c r="F728" s="99"/>
    </row>
    <row r="729" spans="2:6" ht="12.75" customHeight="1" x14ac:dyDescent="0.25">
      <c r="B729" s="99"/>
      <c r="E729" s="99"/>
      <c r="F729" s="99"/>
    </row>
    <row r="730" spans="2:6" ht="12.75" customHeight="1" x14ac:dyDescent="0.25">
      <c r="B730" s="99"/>
      <c r="E730" s="99"/>
      <c r="F730" s="99"/>
    </row>
    <row r="731" spans="2:6" ht="12.75" customHeight="1" x14ac:dyDescent="0.25">
      <c r="B731" s="99"/>
      <c r="E731" s="99"/>
      <c r="F731" s="99"/>
    </row>
    <row r="732" spans="2:6" ht="12.75" customHeight="1" x14ac:dyDescent="0.25">
      <c r="B732" s="99"/>
      <c r="E732" s="99"/>
      <c r="F732" s="99"/>
    </row>
    <row r="733" spans="2:6" ht="12.75" customHeight="1" x14ac:dyDescent="0.25">
      <c r="B733" s="99"/>
      <c r="E733" s="99"/>
      <c r="F733" s="99"/>
    </row>
    <row r="734" spans="2:6" ht="12.75" customHeight="1" x14ac:dyDescent="0.25">
      <c r="B734" s="99"/>
      <c r="E734" s="99"/>
      <c r="F734" s="99"/>
    </row>
    <row r="735" spans="2:6" ht="12.75" customHeight="1" x14ac:dyDescent="0.25">
      <c r="B735" s="99"/>
      <c r="E735" s="99"/>
      <c r="F735" s="99"/>
    </row>
    <row r="736" spans="2:6" ht="12.75" customHeight="1" x14ac:dyDescent="0.25">
      <c r="B736" s="99"/>
      <c r="E736" s="99"/>
      <c r="F736" s="99"/>
    </row>
    <row r="737" spans="2:6" ht="12.75" customHeight="1" x14ac:dyDescent="0.25">
      <c r="B737" s="99"/>
      <c r="E737" s="99"/>
      <c r="F737" s="99"/>
    </row>
    <row r="738" spans="2:6" ht="12.75" customHeight="1" x14ac:dyDescent="0.25">
      <c r="B738" s="99"/>
      <c r="E738" s="99"/>
      <c r="F738" s="99"/>
    </row>
    <row r="739" spans="2:6" ht="12.75" customHeight="1" x14ac:dyDescent="0.25">
      <c r="B739" s="99"/>
      <c r="E739" s="99"/>
      <c r="F739" s="99"/>
    </row>
    <row r="740" spans="2:6" ht="12.75" customHeight="1" x14ac:dyDescent="0.25">
      <c r="B740" s="99"/>
      <c r="E740" s="99"/>
      <c r="F740" s="99"/>
    </row>
    <row r="741" spans="2:6" ht="12.75" customHeight="1" x14ac:dyDescent="0.25">
      <c r="B741" s="99"/>
      <c r="E741" s="99"/>
      <c r="F741" s="99"/>
    </row>
    <row r="742" spans="2:6" ht="12.75" customHeight="1" x14ac:dyDescent="0.25">
      <c r="B742" s="99"/>
      <c r="E742" s="99"/>
      <c r="F742" s="99"/>
    </row>
    <row r="743" spans="2:6" ht="12.75" customHeight="1" x14ac:dyDescent="0.25">
      <c r="B743" s="99"/>
      <c r="E743" s="99"/>
      <c r="F743" s="99"/>
    </row>
    <row r="744" spans="2:6" ht="12.75" customHeight="1" x14ac:dyDescent="0.25">
      <c r="B744" s="99"/>
      <c r="E744" s="99"/>
      <c r="F744" s="99"/>
    </row>
    <row r="745" spans="2:6" ht="12.75" customHeight="1" x14ac:dyDescent="0.25">
      <c r="B745" s="99"/>
      <c r="E745" s="99"/>
      <c r="F745" s="99"/>
    </row>
    <row r="746" spans="2:6" ht="12.75" customHeight="1" x14ac:dyDescent="0.25">
      <c r="B746" s="99"/>
      <c r="E746" s="99"/>
      <c r="F746" s="99"/>
    </row>
    <row r="747" spans="2:6" ht="12.75" customHeight="1" x14ac:dyDescent="0.25">
      <c r="B747" s="99"/>
      <c r="E747" s="99"/>
      <c r="F747" s="99"/>
    </row>
    <row r="748" spans="2:6" ht="12.75" customHeight="1" x14ac:dyDescent="0.25">
      <c r="B748" s="99"/>
      <c r="E748" s="99"/>
      <c r="F748" s="99"/>
    </row>
    <row r="749" spans="2:6" ht="12.75" customHeight="1" x14ac:dyDescent="0.25">
      <c r="B749" s="99"/>
      <c r="E749" s="99"/>
      <c r="F749" s="99"/>
    </row>
    <row r="750" spans="2:6" ht="12.75" customHeight="1" x14ac:dyDescent="0.25">
      <c r="B750" s="99"/>
      <c r="E750" s="99"/>
      <c r="F750" s="99"/>
    </row>
    <row r="751" spans="2:6" ht="12.75" customHeight="1" x14ac:dyDescent="0.25">
      <c r="B751" s="99"/>
      <c r="E751" s="99"/>
      <c r="F751" s="99"/>
    </row>
    <row r="752" spans="2:6" ht="12.75" customHeight="1" x14ac:dyDescent="0.25">
      <c r="B752" s="99"/>
      <c r="E752" s="99"/>
      <c r="F752" s="99"/>
    </row>
    <row r="753" spans="2:6" ht="12.75" customHeight="1" x14ac:dyDescent="0.25">
      <c r="B753" s="99"/>
      <c r="E753" s="99"/>
      <c r="F753" s="99"/>
    </row>
    <row r="754" spans="2:6" ht="12.75" customHeight="1" x14ac:dyDescent="0.25">
      <c r="B754" s="99"/>
      <c r="E754" s="99"/>
      <c r="F754" s="99"/>
    </row>
    <row r="755" spans="2:6" ht="12.75" customHeight="1" x14ac:dyDescent="0.25">
      <c r="B755" s="99"/>
      <c r="E755" s="99"/>
      <c r="F755" s="99"/>
    </row>
    <row r="756" spans="2:6" ht="12.75" customHeight="1" x14ac:dyDescent="0.25">
      <c r="B756" s="99"/>
      <c r="E756" s="99"/>
      <c r="F756" s="99"/>
    </row>
    <row r="757" spans="2:6" ht="12.75" customHeight="1" x14ac:dyDescent="0.25">
      <c r="B757" s="99"/>
      <c r="E757" s="99"/>
      <c r="F757" s="99"/>
    </row>
    <row r="758" spans="2:6" ht="12.75" customHeight="1" x14ac:dyDescent="0.25">
      <c r="B758" s="99"/>
      <c r="E758" s="99"/>
      <c r="F758" s="99"/>
    </row>
    <row r="759" spans="2:6" ht="12.75" customHeight="1" x14ac:dyDescent="0.25">
      <c r="B759" s="99"/>
      <c r="E759" s="99"/>
      <c r="F759" s="99"/>
    </row>
    <row r="760" spans="2:6" ht="12.75" customHeight="1" x14ac:dyDescent="0.25">
      <c r="B760" s="99"/>
      <c r="E760" s="99"/>
      <c r="F760" s="99"/>
    </row>
    <row r="761" spans="2:6" ht="12.75" customHeight="1" x14ac:dyDescent="0.25">
      <c r="B761" s="99"/>
      <c r="E761" s="99"/>
      <c r="F761" s="99"/>
    </row>
    <row r="762" spans="2:6" ht="12.75" customHeight="1" x14ac:dyDescent="0.25">
      <c r="B762" s="99"/>
      <c r="E762" s="99"/>
      <c r="F762" s="99"/>
    </row>
    <row r="763" spans="2:6" ht="12.75" customHeight="1" x14ac:dyDescent="0.25">
      <c r="B763" s="99"/>
      <c r="E763" s="99"/>
      <c r="F763" s="99"/>
    </row>
    <row r="764" spans="2:6" ht="12.75" customHeight="1" x14ac:dyDescent="0.25">
      <c r="B764" s="99"/>
      <c r="E764" s="99"/>
      <c r="F764" s="99"/>
    </row>
    <row r="765" spans="2:6" ht="12.75" customHeight="1" x14ac:dyDescent="0.25">
      <c r="B765" s="99"/>
      <c r="E765" s="99"/>
      <c r="F765" s="99"/>
    </row>
    <row r="766" spans="2:6" ht="12.75" customHeight="1" x14ac:dyDescent="0.25">
      <c r="B766" s="99"/>
      <c r="E766" s="99"/>
      <c r="F766" s="99"/>
    </row>
    <row r="767" spans="2:6" ht="12.75" customHeight="1" x14ac:dyDescent="0.25">
      <c r="B767" s="99"/>
      <c r="E767" s="99"/>
      <c r="F767" s="99"/>
    </row>
    <row r="768" spans="2:6" ht="12.75" customHeight="1" x14ac:dyDescent="0.25">
      <c r="B768" s="99"/>
      <c r="E768" s="99"/>
      <c r="F768" s="99"/>
    </row>
    <row r="769" spans="2:6" ht="12.75" customHeight="1" x14ac:dyDescent="0.25">
      <c r="B769" s="99"/>
      <c r="E769" s="99"/>
      <c r="F769" s="99"/>
    </row>
    <row r="770" spans="2:6" ht="12.75" customHeight="1" x14ac:dyDescent="0.25">
      <c r="B770" s="99"/>
      <c r="E770" s="99"/>
      <c r="F770" s="99"/>
    </row>
    <row r="771" spans="2:6" ht="12.75" customHeight="1" x14ac:dyDescent="0.25">
      <c r="B771" s="99"/>
      <c r="E771" s="99"/>
      <c r="F771" s="99"/>
    </row>
    <row r="772" spans="2:6" ht="12.75" customHeight="1" x14ac:dyDescent="0.25">
      <c r="B772" s="99"/>
      <c r="E772" s="99"/>
      <c r="F772" s="99"/>
    </row>
    <row r="773" spans="2:6" ht="12.75" customHeight="1" x14ac:dyDescent="0.25">
      <c r="B773" s="99"/>
      <c r="E773" s="99"/>
      <c r="F773" s="99"/>
    </row>
    <row r="774" spans="2:6" ht="12.75" customHeight="1" x14ac:dyDescent="0.25">
      <c r="B774" s="99"/>
      <c r="E774" s="99"/>
      <c r="F774" s="99"/>
    </row>
    <row r="775" spans="2:6" ht="12.75" customHeight="1" x14ac:dyDescent="0.25">
      <c r="B775" s="99"/>
      <c r="E775" s="99"/>
      <c r="F775" s="99"/>
    </row>
    <row r="776" spans="2:6" ht="12.75" customHeight="1" x14ac:dyDescent="0.25">
      <c r="B776" s="99"/>
      <c r="E776" s="99"/>
      <c r="F776" s="99"/>
    </row>
    <row r="777" spans="2:6" ht="12.75" customHeight="1" x14ac:dyDescent="0.25">
      <c r="B777" s="99"/>
      <c r="E777" s="99"/>
      <c r="F777" s="99"/>
    </row>
    <row r="778" spans="2:6" ht="12.75" customHeight="1" x14ac:dyDescent="0.25">
      <c r="B778" s="99"/>
      <c r="E778" s="99"/>
      <c r="F778" s="99"/>
    </row>
    <row r="779" spans="2:6" ht="12.75" customHeight="1" x14ac:dyDescent="0.25">
      <c r="B779" s="99"/>
      <c r="E779" s="99"/>
      <c r="F779" s="99"/>
    </row>
    <row r="780" spans="2:6" ht="12.75" customHeight="1" x14ac:dyDescent="0.25">
      <c r="B780" s="99"/>
      <c r="E780" s="99"/>
      <c r="F780" s="99"/>
    </row>
    <row r="781" spans="2:6" ht="12.75" customHeight="1" x14ac:dyDescent="0.25">
      <c r="B781" s="99"/>
      <c r="E781" s="99"/>
      <c r="F781" s="99"/>
    </row>
    <row r="782" spans="2:6" ht="12.75" customHeight="1" x14ac:dyDescent="0.25">
      <c r="B782" s="99"/>
      <c r="E782" s="99"/>
      <c r="F782" s="99"/>
    </row>
    <row r="783" spans="2:6" ht="12.75" customHeight="1" x14ac:dyDescent="0.25">
      <c r="B783" s="99"/>
      <c r="E783" s="99"/>
      <c r="F783" s="99"/>
    </row>
    <row r="784" spans="2:6" ht="12.75" customHeight="1" x14ac:dyDescent="0.25">
      <c r="B784" s="99"/>
      <c r="E784" s="99"/>
      <c r="F784" s="99"/>
    </row>
    <row r="785" spans="2:6" ht="12.75" customHeight="1" x14ac:dyDescent="0.25">
      <c r="B785" s="99"/>
      <c r="E785" s="99"/>
      <c r="F785" s="99"/>
    </row>
    <row r="786" spans="2:6" ht="12.75" customHeight="1" x14ac:dyDescent="0.25">
      <c r="B786" s="99"/>
      <c r="E786" s="99"/>
      <c r="F786" s="99"/>
    </row>
    <row r="787" spans="2:6" ht="12.75" customHeight="1" x14ac:dyDescent="0.25">
      <c r="B787" s="99"/>
      <c r="E787" s="99"/>
      <c r="F787" s="99"/>
    </row>
    <row r="788" spans="2:6" ht="12.75" customHeight="1" x14ac:dyDescent="0.25">
      <c r="B788" s="99"/>
      <c r="E788" s="99"/>
      <c r="F788" s="99"/>
    </row>
    <row r="789" spans="2:6" ht="12.75" customHeight="1" x14ac:dyDescent="0.25">
      <c r="B789" s="99"/>
      <c r="E789" s="99"/>
      <c r="F789" s="99"/>
    </row>
    <row r="790" spans="2:6" ht="12.75" customHeight="1" x14ac:dyDescent="0.25">
      <c r="B790" s="99"/>
      <c r="E790" s="99"/>
      <c r="F790" s="99"/>
    </row>
    <row r="791" spans="2:6" ht="12.75" customHeight="1" x14ac:dyDescent="0.25">
      <c r="B791" s="99"/>
      <c r="E791" s="99"/>
      <c r="F791" s="99"/>
    </row>
    <row r="792" spans="2:6" ht="12.75" customHeight="1" x14ac:dyDescent="0.25">
      <c r="B792" s="99"/>
      <c r="E792" s="99"/>
      <c r="F792" s="99"/>
    </row>
    <row r="793" spans="2:6" ht="12.75" customHeight="1" x14ac:dyDescent="0.25">
      <c r="B793" s="99"/>
      <c r="E793" s="99"/>
      <c r="F793" s="99"/>
    </row>
    <row r="794" spans="2:6" ht="12.75" customHeight="1" x14ac:dyDescent="0.25">
      <c r="B794" s="99"/>
      <c r="E794" s="99"/>
      <c r="F794" s="99"/>
    </row>
    <row r="795" spans="2:6" ht="12.75" customHeight="1" x14ac:dyDescent="0.25">
      <c r="B795" s="99"/>
      <c r="E795" s="99"/>
      <c r="F795" s="99"/>
    </row>
    <row r="796" spans="2:6" ht="12.75" customHeight="1" x14ac:dyDescent="0.25">
      <c r="B796" s="99"/>
      <c r="E796" s="99"/>
      <c r="F796" s="99"/>
    </row>
    <row r="797" spans="2:6" ht="12.75" customHeight="1" x14ac:dyDescent="0.25">
      <c r="B797" s="99"/>
      <c r="E797" s="99"/>
      <c r="F797" s="99"/>
    </row>
    <row r="798" spans="2:6" ht="12.75" customHeight="1" x14ac:dyDescent="0.25">
      <c r="B798" s="99"/>
      <c r="E798" s="99"/>
      <c r="F798" s="99"/>
    </row>
    <row r="799" spans="2:6" ht="12.75" customHeight="1" x14ac:dyDescent="0.25">
      <c r="B799" s="99"/>
      <c r="E799" s="99"/>
      <c r="F799" s="99"/>
    </row>
    <row r="800" spans="2:6" ht="12.75" customHeight="1" x14ac:dyDescent="0.25">
      <c r="B800" s="99"/>
      <c r="E800" s="99"/>
      <c r="F800" s="99"/>
    </row>
    <row r="801" spans="2:6" ht="12.75" customHeight="1" x14ac:dyDescent="0.25">
      <c r="B801" s="99"/>
      <c r="E801" s="99"/>
      <c r="F801" s="99"/>
    </row>
    <row r="802" spans="2:6" ht="12.75" customHeight="1" x14ac:dyDescent="0.25">
      <c r="B802" s="99"/>
      <c r="E802" s="99"/>
      <c r="F802" s="99"/>
    </row>
    <row r="803" spans="2:6" ht="12.75" customHeight="1" x14ac:dyDescent="0.25">
      <c r="B803" s="99"/>
      <c r="E803" s="99"/>
      <c r="F803" s="99"/>
    </row>
    <row r="804" spans="2:6" ht="12.75" customHeight="1" x14ac:dyDescent="0.25">
      <c r="B804" s="99"/>
      <c r="E804" s="99"/>
      <c r="F804" s="99"/>
    </row>
    <row r="805" spans="2:6" ht="12.75" customHeight="1" x14ac:dyDescent="0.25">
      <c r="B805" s="99"/>
      <c r="E805" s="99"/>
      <c r="F805" s="99"/>
    </row>
    <row r="806" spans="2:6" ht="12.75" customHeight="1" x14ac:dyDescent="0.25">
      <c r="B806" s="99"/>
      <c r="E806" s="99"/>
      <c r="F806" s="99"/>
    </row>
    <row r="807" spans="2:6" ht="12.75" customHeight="1" x14ac:dyDescent="0.25">
      <c r="B807" s="99"/>
      <c r="E807" s="99"/>
      <c r="F807" s="99"/>
    </row>
    <row r="808" spans="2:6" ht="12.75" customHeight="1" x14ac:dyDescent="0.25">
      <c r="B808" s="99"/>
      <c r="E808" s="99"/>
      <c r="F808" s="99"/>
    </row>
    <row r="809" spans="2:6" ht="12.75" customHeight="1" x14ac:dyDescent="0.25">
      <c r="B809" s="99"/>
      <c r="E809" s="99"/>
      <c r="F809" s="99"/>
    </row>
    <row r="810" spans="2:6" ht="12.75" customHeight="1" x14ac:dyDescent="0.25">
      <c r="B810" s="99"/>
      <c r="E810" s="99"/>
      <c r="F810" s="99"/>
    </row>
    <row r="811" spans="2:6" ht="12.75" customHeight="1" x14ac:dyDescent="0.25">
      <c r="B811" s="99"/>
      <c r="E811" s="99"/>
      <c r="F811" s="99"/>
    </row>
    <row r="812" spans="2:6" ht="12.75" customHeight="1" x14ac:dyDescent="0.25">
      <c r="B812" s="99"/>
      <c r="E812" s="99"/>
      <c r="F812" s="99"/>
    </row>
    <row r="813" spans="2:6" ht="12.75" customHeight="1" x14ac:dyDescent="0.25">
      <c r="B813" s="99"/>
      <c r="E813" s="99"/>
      <c r="F813" s="99"/>
    </row>
    <row r="814" spans="2:6" ht="12.75" customHeight="1" x14ac:dyDescent="0.25">
      <c r="B814" s="99"/>
      <c r="E814" s="99"/>
      <c r="F814" s="99"/>
    </row>
    <row r="815" spans="2:6" ht="12.75" customHeight="1" x14ac:dyDescent="0.25">
      <c r="B815" s="99"/>
      <c r="E815" s="99"/>
      <c r="F815" s="99"/>
    </row>
    <row r="816" spans="2:6" ht="12.75" customHeight="1" x14ac:dyDescent="0.25">
      <c r="B816" s="99"/>
      <c r="E816" s="99"/>
      <c r="F816" s="99"/>
    </row>
    <row r="817" spans="2:6" ht="12.75" customHeight="1" x14ac:dyDescent="0.25">
      <c r="B817" s="99"/>
      <c r="E817" s="99"/>
      <c r="F817" s="99"/>
    </row>
    <row r="818" spans="2:6" ht="12.75" customHeight="1" x14ac:dyDescent="0.25">
      <c r="B818" s="99"/>
      <c r="E818" s="99"/>
      <c r="F818" s="99"/>
    </row>
    <row r="819" spans="2:6" ht="12.75" customHeight="1" x14ac:dyDescent="0.25">
      <c r="B819" s="99"/>
      <c r="E819" s="99"/>
      <c r="F819" s="99"/>
    </row>
    <row r="820" spans="2:6" ht="12.75" customHeight="1" x14ac:dyDescent="0.25">
      <c r="B820" s="99"/>
      <c r="E820" s="99"/>
      <c r="F820" s="99"/>
    </row>
    <row r="821" spans="2:6" ht="12.75" customHeight="1" x14ac:dyDescent="0.25">
      <c r="B821" s="99"/>
      <c r="E821" s="99"/>
      <c r="F821" s="99"/>
    </row>
    <row r="822" spans="2:6" ht="12.75" customHeight="1" x14ac:dyDescent="0.25">
      <c r="B822" s="99"/>
      <c r="E822" s="99"/>
      <c r="F822" s="99"/>
    </row>
    <row r="823" spans="2:6" ht="12.75" customHeight="1" x14ac:dyDescent="0.25">
      <c r="B823" s="99"/>
      <c r="E823" s="99"/>
      <c r="F823" s="99"/>
    </row>
    <row r="824" spans="2:6" ht="12.75" customHeight="1" x14ac:dyDescent="0.25">
      <c r="B824" s="99"/>
      <c r="E824" s="99"/>
      <c r="F824" s="99"/>
    </row>
    <row r="825" spans="2:6" ht="12.75" customHeight="1" x14ac:dyDescent="0.25">
      <c r="B825" s="99"/>
      <c r="E825" s="99"/>
      <c r="F825" s="99"/>
    </row>
    <row r="826" spans="2:6" ht="12.75" customHeight="1" x14ac:dyDescent="0.25">
      <c r="B826" s="99"/>
      <c r="E826" s="99"/>
      <c r="F826" s="99"/>
    </row>
    <row r="827" spans="2:6" ht="12.75" customHeight="1" x14ac:dyDescent="0.25">
      <c r="B827" s="99"/>
      <c r="E827" s="99"/>
      <c r="F827" s="99"/>
    </row>
    <row r="828" spans="2:6" ht="12.75" customHeight="1" x14ac:dyDescent="0.25">
      <c r="B828" s="99"/>
      <c r="E828" s="99"/>
      <c r="F828" s="99"/>
    </row>
    <row r="829" spans="2:6" ht="12.75" customHeight="1" x14ac:dyDescent="0.25">
      <c r="B829" s="99"/>
      <c r="E829" s="99"/>
      <c r="F829" s="99"/>
    </row>
    <row r="830" spans="2:6" ht="12.75" customHeight="1" x14ac:dyDescent="0.25">
      <c r="B830" s="99"/>
      <c r="E830" s="99"/>
      <c r="F830" s="99"/>
    </row>
    <row r="831" spans="2:6" ht="12.75" customHeight="1" x14ac:dyDescent="0.25">
      <c r="B831" s="99"/>
      <c r="E831" s="99"/>
      <c r="F831" s="99"/>
    </row>
    <row r="832" spans="2:6" ht="12.75" customHeight="1" x14ac:dyDescent="0.25">
      <c r="B832" s="99"/>
      <c r="E832" s="99"/>
      <c r="F832" s="99"/>
    </row>
    <row r="833" spans="2:6" ht="12.75" customHeight="1" x14ac:dyDescent="0.25">
      <c r="B833" s="99"/>
      <c r="E833" s="99"/>
      <c r="F833" s="99"/>
    </row>
    <row r="834" spans="2:6" ht="12.75" customHeight="1" x14ac:dyDescent="0.25">
      <c r="B834" s="99"/>
      <c r="E834" s="99"/>
      <c r="F834" s="99"/>
    </row>
    <row r="835" spans="2:6" ht="12.75" customHeight="1" x14ac:dyDescent="0.25">
      <c r="B835" s="99"/>
      <c r="E835" s="99"/>
      <c r="F835" s="99"/>
    </row>
    <row r="836" spans="2:6" ht="12.75" customHeight="1" x14ac:dyDescent="0.25">
      <c r="B836" s="99"/>
      <c r="E836" s="99"/>
      <c r="F836" s="99"/>
    </row>
    <row r="837" spans="2:6" ht="12.75" customHeight="1" x14ac:dyDescent="0.25">
      <c r="B837" s="99"/>
      <c r="E837" s="99"/>
      <c r="F837" s="99"/>
    </row>
    <row r="838" spans="2:6" ht="12.75" customHeight="1" x14ac:dyDescent="0.25">
      <c r="B838" s="99"/>
      <c r="E838" s="99"/>
      <c r="F838" s="99"/>
    </row>
    <row r="839" spans="2:6" ht="12.75" customHeight="1" x14ac:dyDescent="0.25">
      <c r="B839" s="99"/>
      <c r="E839" s="99"/>
      <c r="F839" s="99"/>
    </row>
    <row r="840" spans="2:6" ht="12.75" customHeight="1" x14ac:dyDescent="0.25">
      <c r="B840" s="99"/>
      <c r="E840" s="99"/>
      <c r="F840" s="99"/>
    </row>
    <row r="841" spans="2:6" ht="12.75" customHeight="1" x14ac:dyDescent="0.25">
      <c r="B841" s="99"/>
      <c r="E841" s="99"/>
      <c r="F841" s="99"/>
    </row>
    <row r="842" spans="2:6" ht="12.75" customHeight="1" x14ac:dyDescent="0.25">
      <c r="B842" s="99"/>
      <c r="E842" s="99"/>
      <c r="F842" s="99"/>
    </row>
    <row r="843" spans="2:6" ht="12.75" customHeight="1" x14ac:dyDescent="0.25">
      <c r="B843" s="99"/>
      <c r="E843" s="99"/>
      <c r="F843" s="99"/>
    </row>
    <row r="844" spans="2:6" ht="12.75" customHeight="1" x14ac:dyDescent="0.25">
      <c r="B844" s="99"/>
      <c r="E844" s="99"/>
      <c r="F844" s="99"/>
    </row>
    <row r="845" spans="2:6" ht="12.75" customHeight="1" x14ac:dyDescent="0.25">
      <c r="B845" s="99"/>
      <c r="E845" s="99"/>
      <c r="F845" s="99"/>
    </row>
    <row r="846" spans="2:6" ht="12.75" customHeight="1" x14ac:dyDescent="0.25">
      <c r="B846" s="99"/>
      <c r="E846" s="99"/>
      <c r="F846" s="99"/>
    </row>
    <row r="847" spans="2:6" ht="12.75" customHeight="1" x14ac:dyDescent="0.25">
      <c r="B847" s="99"/>
      <c r="E847" s="99"/>
      <c r="F847" s="99"/>
    </row>
    <row r="848" spans="2:6" ht="12.75" customHeight="1" x14ac:dyDescent="0.25">
      <c r="B848" s="99"/>
      <c r="E848" s="99"/>
      <c r="F848" s="99"/>
    </row>
    <row r="849" spans="2:6" ht="12.75" customHeight="1" x14ac:dyDescent="0.25">
      <c r="B849" s="99"/>
      <c r="E849" s="99"/>
      <c r="F849" s="99"/>
    </row>
    <row r="850" spans="2:6" ht="12.75" customHeight="1" x14ac:dyDescent="0.25">
      <c r="B850" s="99"/>
      <c r="E850" s="99"/>
      <c r="F850" s="99"/>
    </row>
    <row r="851" spans="2:6" ht="12.75" customHeight="1" x14ac:dyDescent="0.25">
      <c r="B851" s="99"/>
      <c r="E851" s="99"/>
      <c r="F851" s="99"/>
    </row>
    <row r="852" spans="2:6" ht="12.75" customHeight="1" x14ac:dyDescent="0.25">
      <c r="B852" s="99"/>
      <c r="E852" s="99"/>
      <c r="F852" s="99"/>
    </row>
    <row r="853" spans="2:6" ht="12.75" customHeight="1" x14ac:dyDescent="0.25">
      <c r="B853" s="99"/>
      <c r="E853" s="99"/>
      <c r="F853" s="99"/>
    </row>
    <row r="854" spans="2:6" ht="12.75" customHeight="1" x14ac:dyDescent="0.25">
      <c r="B854" s="99"/>
      <c r="E854" s="99"/>
      <c r="F854" s="99"/>
    </row>
    <row r="855" spans="2:6" ht="12.75" customHeight="1" x14ac:dyDescent="0.25">
      <c r="B855" s="99"/>
      <c r="E855" s="99"/>
      <c r="F855" s="99"/>
    </row>
    <row r="856" spans="2:6" ht="12.75" customHeight="1" x14ac:dyDescent="0.25">
      <c r="B856" s="99"/>
      <c r="E856" s="99"/>
      <c r="F856" s="99"/>
    </row>
    <row r="857" spans="2:6" ht="12.75" customHeight="1" x14ac:dyDescent="0.25">
      <c r="B857" s="99"/>
      <c r="E857" s="99"/>
      <c r="F857" s="99"/>
    </row>
    <row r="858" spans="2:6" ht="12.75" customHeight="1" x14ac:dyDescent="0.25">
      <c r="B858" s="99"/>
      <c r="E858" s="99"/>
      <c r="F858" s="99"/>
    </row>
    <row r="859" spans="2:6" ht="12.75" customHeight="1" x14ac:dyDescent="0.25">
      <c r="B859" s="99"/>
      <c r="E859" s="99"/>
      <c r="F859" s="99"/>
    </row>
    <row r="860" spans="2:6" ht="12.75" customHeight="1" x14ac:dyDescent="0.25">
      <c r="B860" s="99"/>
      <c r="E860" s="99"/>
      <c r="F860" s="99"/>
    </row>
    <row r="861" spans="2:6" ht="12.75" customHeight="1" x14ac:dyDescent="0.25">
      <c r="B861" s="99"/>
      <c r="E861" s="99"/>
      <c r="F861" s="99"/>
    </row>
    <row r="862" spans="2:6" ht="12.75" customHeight="1" x14ac:dyDescent="0.25">
      <c r="B862" s="99"/>
      <c r="E862" s="99"/>
      <c r="F862" s="99"/>
    </row>
    <row r="863" spans="2:6" ht="12.75" customHeight="1" x14ac:dyDescent="0.25">
      <c r="B863" s="99"/>
      <c r="E863" s="99"/>
      <c r="F863" s="99"/>
    </row>
    <row r="864" spans="2:6" ht="12.75" customHeight="1" x14ac:dyDescent="0.25">
      <c r="B864" s="99"/>
      <c r="E864" s="99"/>
      <c r="F864" s="99"/>
    </row>
    <row r="865" spans="2:6" ht="12.75" customHeight="1" x14ac:dyDescent="0.25">
      <c r="B865" s="99"/>
      <c r="E865" s="99"/>
      <c r="F865" s="99"/>
    </row>
    <row r="866" spans="2:6" ht="12.75" customHeight="1" x14ac:dyDescent="0.25">
      <c r="B866" s="99"/>
      <c r="E866" s="99"/>
      <c r="F866" s="99"/>
    </row>
    <row r="867" spans="2:6" ht="12.75" customHeight="1" x14ac:dyDescent="0.25">
      <c r="B867" s="99"/>
      <c r="E867" s="99"/>
      <c r="F867" s="99"/>
    </row>
    <row r="868" spans="2:6" ht="12.75" customHeight="1" x14ac:dyDescent="0.25">
      <c r="B868" s="99"/>
      <c r="E868" s="99"/>
      <c r="F868" s="99"/>
    </row>
    <row r="869" spans="2:6" ht="12.75" customHeight="1" x14ac:dyDescent="0.25">
      <c r="B869" s="99"/>
      <c r="E869" s="99"/>
      <c r="F869" s="99"/>
    </row>
    <row r="870" spans="2:6" ht="12.75" customHeight="1" x14ac:dyDescent="0.25">
      <c r="B870" s="99"/>
      <c r="E870" s="99"/>
      <c r="F870" s="99"/>
    </row>
    <row r="871" spans="2:6" ht="12.75" customHeight="1" x14ac:dyDescent="0.25">
      <c r="B871" s="99"/>
      <c r="E871" s="99"/>
      <c r="F871" s="99"/>
    </row>
    <row r="872" spans="2:6" ht="12.75" customHeight="1" x14ac:dyDescent="0.25">
      <c r="B872" s="99"/>
      <c r="E872" s="99"/>
      <c r="F872" s="99"/>
    </row>
    <row r="873" spans="2:6" ht="12.75" customHeight="1" x14ac:dyDescent="0.25">
      <c r="B873" s="99"/>
      <c r="E873" s="99"/>
      <c r="F873" s="99"/>
    </row>
    <row r="874" spans="2:6" ht="12.75" customHeight="1" x14ac:dyDescent="0.25">
      <c r="B874" s="99"/>
      <c r="E874" s="99"/>
      <c r="F874" s="99"/>
    </row>
    <row r="875" spans="2:6" ht="12.75" customHeight="1" x14ac:dyDescent="0.25">
      <c r="B875" s="99"/>
      <c r="E875" s="99"/>
      <c r="F875" s="99"/>
    </row>
    <row r="876" spans="2:6" ht="12.75" customHeight="1" x14ac:dyDescent="0.25">
      <c r="B876" s="99"/>
      <c r="E876" s="99"/>
      <c r="F876" s="99"/>
    </row>
    <row r="877" spans="2:6" ht="12.75" customHeight="1" x14ac:dyDescent="0.25">
      <c r="B877" s="99"/>
      <c r="E877" s="99"/>
      <c r="F877" s="99"/>
    </row>
    <row r="878" spans="2:6" ht="12.75" customHeight="1" x14ac:dyDescent="0.25">
      <c r="B878" s="99"/>
      <c r="E878" s="99"/>
      <c r="F878" s="99"/>
    </row>
    <row r="879" spans="2:6" ht="12.75" customHeight="1" x14ac:dyDescent="0.25">
      <c r="B879" s="99"/>
      <c r="E879" s="99"/>
      <c r="F879" s="99"/>
    </row>
    <row r="880" spans="2:6" ht="12.75" customHeight="1" x14ac:dyDescent="0.25">
      <c r="B880" s="99"/>
      <c r="E880" s="99"/>
      <c r="F880" s="99"/>
    </row>
    <row r="881" spans="2:6" ht="12.75" customHeight="1" x14ac:dyDescent="0.25">
      <c r="B881" s="99"/>
      <c r="E881" s="99"/>
      <c r="F881" s="99"/>
    </row>
    <row r="882" spans="2:6" ht="12.75" customHeight="1" x14ac:dyDescent="0.25">
      <c r="B882" s="99"/>
      <c r="E882" s="99"/>
      <c r="F882" s="99"/>
    </row>
    <row r="883" spans="2:6" ht="12.75" customHeight="1" x14ac:dyDescent="0.25">
      <c r="B883" s="99"/>
      <c r="E883" s="99"/>
      <c r="F883" s="99"/>
    </row>
    <row r="884" spans="2:6" ht="12.75" customHeight="1" x14ac:dyDescent="0.25">
      <c r="B884" s="99"/>
      <c r="E884" s="99"/>
      <c r="F884" s="99"/>
    </row>
    <row r="885" spans="2:6" ht="12.75" customHeight="1" x14ac:dyDescent="0.25">
      <c r="B885" s="99"/>
      <c r="E885" s="99"/>
      <c r="F885" s="99"/>
    </row>
    <row r="886" spans="2:6" ht="12.75" customHeight="1" x14ac:dyDescent="0.25">
      <c r="B886" s="99"/>
      <c r="E886" s="99"/>
      <c r="F886" s="99"/>
    </row>
    <row r="887" spans="2:6" ht="12.75" customHeight="1" x14ac:dyDescent="0.25">
      <c r="B887" s="99"/>
      <c r="E887" s="99"/>
      <c r="F887" s="99"/>
    </row>
    <row r="888" spans="2:6" ht="12.75" customHeight="1" x14ac:dyDescent="0.25">
      <c r="B888" s="99"/>
      <c r="E888" s="99"/>
      <c r="F888" s="99"/>
    </row>
    <row r="889" spans="2:6" ht="12.75" customHeight="1" x14ac:dyDescent="0.25">
      <c r="B889" s="99"/>
      <c r="E889" s="99"/>
      <c r="F889" s="99"/>
    </row>
    <row r="890" spans="2:6" ht="12.75" customHeight="1" x14ac:dyDescent="0.25">
      <c r="B890" s="99"/>
      <c r="E890" s="99"/>
      <c r="F890" s="99"/>
    </row>
    <row r="891" spans="2:6" ht="12.75" customHeight="1" x14ac:dyDescent="0.25">
      <c r="B891" s="99"/>
      <c r="E891" s="99"/>
      <c r="F891" s="99"/>
    </row>
    <row r="892" spans="2:6" ht="12.75" customHeight="1" x14ac:dyDescent="0.25">
      <c r="B892" s="99"/>
      <c r="E892" s="99"/>
      <c r="F892" s="99"/>
    </row>
    <row r="893" spans="2:6" ht="12.75" customHeight="1" x14ac:dyDescent="0.25">
      <c r="B893" s="99"/>
      <c r="E893" s="99"/>
      <c r="F893" s="99"/>
    </row>
    <row r="894" spans="2:6" ht="12.75" customHeight="1" x14ac:dyDescent="0.25">
      <c r="B894" s="99"/>
      <c r="E894" s="99"/>
      <c r="F894" s="99"/>
    </row>
    <row r="895" spans="2:6" ht="12.75" customHeight="1" x14ac:dyDescent="0.25">
      <c r="B895" s="99"/>
      <c r="E895" s="99"/>
      <c r="F895" s="99"/>
    </row>
    <row r="896" spans="2:6" ht="12.75" customHeight="1" x14ac:dyDescent="0.25">
      <c r="B896" s="99"/>
      <c r="E896" s="99"/>
      <c r="F896" s="99"/>
    </row>
    <row r="897" spans="2:6" ht="12.75" customHeight="1" x14ac:dyDescent="0.25">
      <c r="B897" s="99"/>
      <c r="E897" s="99"/>
      <c r="F897" s="99"/>
    </row>
    <row r="898" spans="2:6" ht="12.75" customHeight="1" x14ac:dyDescent="0.25">
      <c r="B898" s="99"/>
      <c r="E898" s="99"/>
      <c r="F898" s="99"/>
    </row>
    <row r="899" spans="2:6" ht="12.75" customHeight="1" x14ac:dyDescent="0.25">
      <c r="B899" s="99"/>
      <c r="E899" s="99"/>
      <c r="F899" s="99"/>
    </row>
    <row r="900" spans="2:6" ht="12.75" customHeight="1" x14ac:dyDescent="0.25">
      <c r="B900" s="99"/>
      <c r="E900" s="99"/>
      <c r="F900" s="99"/>
    </row>
    <row r="901" spans="2:6" ht="12.75" customHeight="1" x14ac:dyDescent="0.25">
      <c r="B901" s="99"/>
      <c r="E901" s="99"/>
      <c r="F901" s="99"/>
    </row>
    <row r="902" spans="2:6" ht="12.75" customHeight="1" x14ac:dyDescent="0.25">
      <c r="B902" s="99"/>
      <c r="E902" s="99"/>
      <c r="F902" s="99"/>
    </row>
    <row r="903" spans="2:6" ht="12.75" customHeight="1" x14ac:dyDescent="0.25">
      <c r="B903" s="99"/>
      <c r="E903" s="99"/>
      <c r="F903" s="99"/>
    </row>
    <row r="904" spans="2:6" ht="12.75" customHeight="1" x14ac:dyDescent="0.25">
      <c r="B904" s="99"/>
      <c r="E904" s="99"/>
      <c r="F904" s="99"/>
    </row>
    <row r="905" spans="2:6" ht="12.75" customHeight="1" x14ac:dyDescent="0.25">
      <c r="B905" s="99"/>
      <c r="E905" s="99"/>
      <c r="F905" s="99"/>
    </row>
    <row r="906" spans="2:6" ht="12.75" customHeight="1" x14ac:dyDescent="0.25">
      <c r="B906" s="99"/>
      <c r="E906" s="99"/>
      <c r="F906" s="99"/>
    </row>
    <row r="907" spans="2:6" ht="12.75" customHeight="1" x14ac:dyDescent="0.25">
      <c r="B907" s="99"/>
      <c r="E907" s="99"/>
      <c r="F907" s="99"/>
    </row>
    <row r="908" spans="2:6" ht="12.75" customHeight="1" x14ac:dyDescent="0.25">
      <c r="B908" s="99"/>
      <c r="E908" s="99"/>
      <c r="F908" s="99"/>
    </row>
    <row r="909" spans="2:6" ht="12.75" customHeight="1" x14ac:dyDescent="0.25">
      <c r="B909" s="99"/>
      <c r="E909" s="99"/>
      <c r="F909" s="99"/>
    </row>
    <row r="910" spans="2:6" ht="12.75" customHeight="1" x14ac:dyDescent="0.25">
      <c r="B910" s="99"/>
      <c r="E910" s="99"/>
      <c r="F910" s="99"/>
    </row>
    <row r="911" spans="2:6" ht="12.75" customHeight="1" x14ac:dyDescent="0.25">
      <c r="B911" s="99"/>
      <c r="E911" s="99"/>
      <c r="F911" s="99"/>
    </row>
    <row r="912" spans="2:6" ht="12.75" customHeight="1" x14ac:dyDescent="0.25">
      <c r="B912" s="99"/>
      <c r="E912" s="99"/>
      <c r="F912" s="99"/>
    </row>
    <row r="913" spans="2:6" ht="12.75" customHeight="1" x14ac:dyDescent="0.25">
      <c r="B913" s="99"/>
      <c r="E913" s="99"/>
      <c r="F913" s="99"/>
    </row>
    <row r="914" spans="2:6" ht="12.75" customHeight="1" x14ac:dyDescent="0.25">
      <c r="B914" s="99"/>
      <c r="E914" s="99"/>
      <c r="F914" s="99"/>
    </row>
    <row r="915" spans="2:6" ht="12.75" customHeight="1" x14ac:dyDescent="0.25">
      <c r="B915" s="99"/>
      <c r="E915" s="99"/>
      <c r="F915" s="99"/>
    </row>
    <row r="916" spans="2:6" ht="12.75" customHeight="1" x14ac:dyDescent="0.25">
      <c r="B916" s="99"/>
      <c r="E916" s="99"/>
      <c r="F916" s="99"/>
    </row>
    <row r="917" spans="2:6" ht="12.75" customHeight="1" x14ac:dyDescent="0.25">
      <c r="B917" s="99"/>
      <c r="E917" s="99"/>
      <c r="F917" s="99"/>
    </row>
    <row r="918" spans="2:6" ht="12.75" customHeight="1" x14ac:dyDescent="0.25">
      <c r="B918" s="99"/>
      <c r="E918" s="99"/>
      <c r="F918" s="99"/>
    </row>
    <row r="919" spans="2:6" ht="12.75" customHeight="1" x14ac:dyDescent="0.25">
      <c r="B919" s="99"/>
      <c r="E919" s="99"/>
      <c r="F919" s="99"/>
    </row>
    <row r="920" spans="2:6" ht="12.75" customHeight="1" x14ac:dyDescent="0.25">
      <c r="B920" s="99"/>
      <c r="E920" s="99"/>
      <c r="F920" s="99"/>
    </row>
    <row r="921" spans="2:6" ht="12.75" customHeight="1" x14ac:dyDescent="0.25">
      <c r="B921" s="99"/>
      <c r="E921" s="99"/>
      <c r="F921" s="99"/>
    </row>
    <row r="922" spans="2:6" ht="12.75" customHeight="1" x14ac:dyDescent="0.25">
      <c r="B922" s="99"/>
      <c r="E922" s="99"/>
      <c r="F922" s="99"/>
    </row>
    <row r="923" spans="2:6" ht="12.75" customHeight="1" x14ac:dyDescent="0.25">
      <c r="B923" s="99"/>
      <c r="E923" s="99"/>
      <c r="F923" s="99"/>
    </row>
    <row r="924" spans="2:6" ht="12.75" customHeight="1" x14ac:dyDescent="0.25">
      <c r="B924" s="99"/>
      <c r="E924" s="99"/>
      <c r="F924" s="99"/>
    </row>
    <row r="925" spans="2:6" ht="12.75" customHeight="1" x14ac:dyDescent="0.25">
      <c r="B925" s="99"/>
      <c r="E925" s="99"/>
      <c r="F925" s="99"/>
    </row>
    <row r="926" spans="2:6" ht="12.75" customHeight="1" x14ac:dyDescent="0.25">
      <c r="B926" s="99"/>
      <c r="E926" s="99"/>
      <c r="F926" s="99"/>
    </row>
    <row r="927" spans="2:6" ht="12.75" customHeight="1" x14ac:dyDescent="0.25">
      <c r="B927" s="99"/>
      <c r="E927" s="99"/>
      <c r="F927" s="99"/>
    </row>
    <row r="928" spans="2:6" ht="12.75" customHeight="1" x14ac:dyDescent="0.25">
      <c r="B928" s="99"/>
      <c r="E928" s="99"/>
      <c r="F928" s="99"/>
    </row>
    <row r="929" spans="2:6" ht="12.75" customHeight="1" x14ac:dyDescent="0.25">
      <c r="B929" s="99"/>
      <c r="E929" s="99"/>
      <c r="F929" s="99"/>
    </row>
    <row r="930" spans="2:6" ht="12.75" customHeight="1" x14ac:dyDescent="0.25">
      <c r="B930" s="99"/>
      <c r="E930" s="99"/>
      <c r="F930" s="99"/>
    </row>
    <row r="931" spans="2:6" ht="12.75" customHeight="1" x14ac:dyDescent="0.25">
      <c r="B931" s="99"/>
      <c r="E931" s="99"/>
      <c r="F931" s="99"/>
    </row>
    <row r="932" spans="2:6" ht="12.75" customHeight="1" x14ac:dyDescent="0.25">
      <c r="B932" s="99"/>
      <c r="E932" s="99"/>
      <c r="F932" s="99"/>
    </row>
    <row r="933" spans="2:6" ht="12.75" customHeight="1" x14ac:dyDescent="0.25">
      <c r="B933" s="99"/>
      <c r="E933" s="99"/>
      <c r="F933" s="99"/>
    </row>
    <row r="934" spans="2:6" ht="12.75" customHeight="1" x14ac:dyDescent="0.25">
      <c r="B934" s="99"/>
      <c r="E934" s="99"/>
      <c r="F934" s="99"/>
    </row>
    <row r="935" spans="2:6" ht="12.75" customHeight="1" x14ac:dyDescent="0.25">
      <c r="B935" s="99"/>
      <c r="E935" s="99"/>
      <c r="F935" s="99"/>
    </row>
    <row r="936" spans="2:6" ht="12.75" customHeight="1" x14ac:dyDescent="0.25">
      <c r="B936" s="99"/>
      <c r="E936" s="99"/>
      <c r="F936" s="99"/>
    </row>
    <row r="937" spans="2:6" ht="12.75" customHeight="1" x14ac:dyDescent="0.25">
      <c r="B937" s="99"/>
      <c r="E937" s="99"/>
      <c r="F937" s="99"/>
    </row>
    <row r="938" spans="2:6" ht="12.75" customHeight="1" x14ac:dyDescent="0.25">
      <c r="B938" s="99"/>
      <c r="E938" s="99"/>
      <c r="F938" s="99"/>
    </row>
    <row r="939" spans="2:6" ht="12.75" customHeight="1" x14ac:dyDescent="0.25">
      <c r="B939" s="99"/>
      <c r="E939" s="99"/>
      <c r="F939" s="99"/>
    </row>
    <row r="940" spans="2:6" ht="12.75" customHeight="1" x14ac:dyDescent="0.25">
      <c r="B940" s="99"/>
      <c r="E940" s="99"/>
      <c r="F940" s="99"/>
    </row>
    <row r="941" spans="2:6" ht="12.75" customHeight="1" x14ac:dyDescent="0.25">
      <c r="B941" s="99"/>
      <c r="E941" s="99"/>
      <c r="F941" s="99"/>
    </row>
    <row r="942" spans="2:6" ht="12.75" customHeight="1" x14ac:dyDescent="0.25">
      <c r="B942" s="99"/>
      <c r="E942" s="99"/>
      <c r="F942" s="99"/>
    </row>
    <row r="943" spans="2:6" ht="12.75" customHeight="1" x14ac:dyDescent="0.25">
      <c r="B943" s="99"/>
      <c r="E943" s="99"/>
      <c r="F943" s="99"/>
    </row>
    <row r="944" spans="2:6" ht="12.75" customHeight="1" x14ac:dyDescent="0.25">
      <c r="B944" s="99"/>
      <c r="E944" s="99"/>
      <c r="F944" s="99"/>
    </row>
    <row r="945" spans="2:6" ht="12.75" customHeight="1" x14ac:dyDescent="0.25">
      <c r="B945" s="99"/>
      <c r="E945" s="99"/>
      <c r="F945" s="99"/>
    </row>
    <row r="946" spans="2:6" ht="12.75" customHeight="1" x14ac:dyDescent="0.25">
      <c r="B946" s="99"/>
      <c r="E946" s="99"/>
      <c r="F946" s="99"/>
    </row>
    <row r="947" spans="2:6" ht="12.75" customHeight="1" x14ac:dyDescent="0.25">
      <c r="B947" s="99"/>
      <c r="E947" s="99"/>
      <c r="F947" s="99"/>
    </row>
    <row r="948" spans="2:6" ht="12.75" customHeight="1" x14ac:dyDescent="0.25">
      <c r="B948" s="99"/>
      <c r="E948" s="99"/>
      <c r="F948" s="99"/>
    </row>
    <row r="949" spans="2:6" ht="12.75" customHeight="1" x14ac:dyDescent="0.25">
      <c r="B949" s="99"/>
      <c r="E949" s="99"/>
      <c r="F949" s="99"/>
    </row>
    <row r="950" spans="2:6" ht="12.75" customHeight="1" x14ac:dyDescent="0.25">
      <c r="B950" s="99"/>
      <c r="E950" s="99"/>
      <c r="F950" s="99"/>
    </row>
    <row r="951" spans="2:6" ht="12.75" customHeight="1" x14ac:dyDescent="0.25">
      <c r="B951" s="99"/>
      <c r="E951" s="99"/>
      <c r="F951" s="99"/>
    </row>
    <row r="952" spans="2:6" ht="12.75" customHeight="1" x14ac:dyDescent="0.25">
      <c r="B952" s="99"/>
      <c r="E952" s="99"/>
      <c r="F952" s="99"/>
    </row>
    <row r="953" spans="2:6" ht="12.75" customHeight="1" x14ac:dyDescent="0.25">
      <c r="B953" s="99"/>
      <c r="E953" s="99"/>
      <c r="F953" s="99"/>
    </row>
    <row r="954" spans="2:6" ht="12.75" customHeight="1" x14ac:dyDescent="0.25">
      <c r="B954" s="99"/>
      <c r="E954" s="99"/>
      <c r="F954" s="99"/>
    </row>
    <row r="955" spans="2:6" ht="12.75" customHeight="1" x14ac:dyDescent="0.25">
      <c r="B955" s="99"/>
      <c r="E955" s="99"/>
      <c r="F955" s="99"/>
    </row>
    <row r="956" spans="2:6" ht="12.75" customHeight="1" x14ac:dyDescent="0.25">
      <c r="B956" s="99"/>
      <c r="E956" s="99"/>
      <c r="F956" s="99"/>
    </row>
    <row r="957" spans="2:6" ht="12.75" customHeight="1" x14ac:dyDescent="0.25">
      <c r="B957" s="99"/>
      <c r="E957" s="99"/>
      <c r="F957" s="99"/>
    </row>
    <row r="958" spans="2:6" ht="12.75" customHeight="1" x14ac:dyDescent="0.25">
      <c r="B958" s="99"/>
      <c r="E958" s="99"/>
      <c r="F958" s="99"/>
    </row>
    <row r="959" spans="2:6" ht="12.75" customHeight="1" x14ac:dyDescent="0.25">
      <c r="B959" s="99"/>
      <c r="E959" s="99"/>
      <c r="F959" s="99"/>
    </row>
    <row r="960" spans="2:6" ht="12.75" customHeight="1" x14ac:dyDescent="0.25">
      <c r="B960" s="99"/>
      <c r="E960" s="99"/>
      <c r="F960" s="99"/>
    </row>
    <row r="961" spans="2:6" ht="12.75" customHeight="1" x14ac:dyDescent="0.25">
      <c r="B961" s="99"/>
      <c r="E961" s="99"/>
      <c r="F961" s="99"/>
    </row>
    <row r="962" spans="2:6" ht="12.75" customHeight="1" x14ac:dyDescent="0.25">
      <c r="B962" s="99"/>
      <c r="E962" s="99"/>
      <c r="F962" s="99"/>
    </row>
    <row r="963" spans="2:6" ht="12.75" customHeight="1" x14ac:dyDescent="0.25">
      <c r="B963" s="99"/>
      <c r="E963" s="99"/>
      <c r="F963" s="99"/>
    </row>
    <row r="964" spans="2:6" ht="12.75" customHeight="1" x14ac:dyDescent="0.25">
      <c r="B964" s="99"/>
      <c r="E964" s="99"/>
      <c r="F964" s="99"/>
    </row>
    <row r="965" spans="2:6" ht="12.75" customHeight="1" x14ac:dyDescent="0.25">
      <c r="B965" s="99"/>
      <c r="E965" s="99"/>
      <c r="F965" s="99"/>
    </row>
    <row r="966" spans="2:6" ht="12.75" customHeight="1" x14ac:dyDescent="0.25">
      <c r="B966" s="99"/>
      <c r="E966" s="99"/>
      <c r="F966" s="99"/>
    </row>
    <row r="967" spans="2:6" ht="12.75" customHeight="1" x14ac:dyDescent="0.25">
      <c r="B967" s="99"/>
      <c r="E967" s="99"/>
      <c r="F967" s="99"/>
    </row>
    <row r="968" spans="2:6" ht="12.75" customHeight="1" x14ac:dyDescent="0.25">
      <c r="B968" s="99"/>
      <c r="E968" s="99"/>
      <c r="F968" s="99"/>
    </row>
    <row r="969" spans="2:6" ht="12.75" customHeight="1" x14ac:dyDescent="0.25">
      <c r="B969" s="99"/>
      <c r="E969" s="99"/>
      <c r="F969" s="99"/>
    </row>
    <row r="970" spans="2:6" ht="12.75" customHeight="1" x14ac:dyDescent="0.25">
      <c r="B970" s="99"/>
      <c r="E970" s="99"/>
      <c r="F970" s="99"/>
    </row>
    <row r="971" spans="2:6" ht="12.75" customHeight="1" x14ac:dyDescent="0.25">
      <c r="B971" s="99"/>
      <c r="E971" s="99"/>
      <c r="F971" s="99"/>
    </row>
    <row r="972" spans="2:6" ht="12.75" customHeight="1" x14ac:dyDescent="0.25">
      <c r="B972" s="99"/>
      <c r="E972" s="99"/>
      <c r="F972" s="99"/>
    </row>
    <row r="973" spans="2:6" ht="12.75" customHeight="1" x14ac:dyDescent="0.25">
      <c r="B973" s="99"/>
      <c r="E973" s="99"/>
      <c r="F973" s="99"/>
    </row>
    <row r="974" spans="2:6" x14ac:dyDescent="0.25">
      <c r="B974" s="99"/>
      <c r="E974" s="99"/>
      <c r="F974" s="99"/>
    </row>
  </sheetData>
  <mergeCells count="11">
    <mergeCell ref="B82:H82"/>
    <mergeCell ref="B64:H64"/>
    <mergeCell ref="R25:S25"/>
    <mergeCell ref="B65:H65"/>
    <mergeCell ref="B2:H3"/>
    <mergeCell ref="B81:H81"/>
    <mergeCell ref="B58:J58"/>
    <mergeCell ref="B43:J43"/>
    <mergeCell ref="B42:J42"/>
    <mergeCell ref="C10:E10"/>
    <mergeCell ref="B35:F35"/>
  </mergeCells>
  <printOptions horizontalCentered="1"/>
  <pageMargins left="0.5" right="0.5" top="1" bottom="0.5" header="0.3" footer="0.511811023622047"/>
  <pageSetup paperSize="9" scale="30" orientation="portrait" r:id="rId1"/>
  <legacyDrawing r:id="rId2"/>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77">
    <tabColor rgb="FF333F50"/>
    <pageSetUpPr fitToPage="1"/>
  </sheetPr>
  <dimension ref="A1:AG98"/>
  <sheetViews>
    <sheetView zoomScale="85" zoomScaleNormal="85" workbookViewId="0">
      <selection activeCell="Q43" sqref="Q43:T44"/>
    </sheetView>
  </sheetViews>
  <sheetFormatPr defaultColWidth="12.5" defaultRowHeight="14" x14ac:dyDescent="0.3"/>
  <cols>
    <col min="1" max="1" width="16.33203125" style="1" customWidth="1"/>
    <col min="2" max="2" width="30.9140625" customWidth="1"/>
    <col min="3" max="3" width="16.9140625" customWidth="1"/>
    <col min="4" max="4" width="19" customWidth="1"/>
    <col min="5" max="5" width="16.1640625" customWidth="1"/>
    <col min="6" max="6" width="23.08203125" customWidth="1"/>
    <col min="7" max="7" width="25.1640625" customWidth="1"/>
    <col min="8" max="8" width="36.1640625" customWidth="1"/>
    <col min="9" max="9" width="19.33203125" customWidth="1"/>
    <col min="12" max="12" width="8.33203125" customWidth="1"/>
    <col min="13" max="17" width="5.4140625" customWidth="1"/>
    <col min="18" max="18" width="32" customWidth="1"/>
    <col min="23" max="23" width="29.4140625" customWidth="1"/>
    <col min="24" max="24" width="31.6640625" customWidth="1"/>
  </cols>
  <sheetData>
    <row r="1" spans="1:33" ht="24" customHeight="1" x14ac:dyDescent="0.3">
      <c r="A1" s="79" t="s">
        <v>235</v>
      </c>
      <c r="B1" s="80">
        <v>1000</v>
      </c>
      <c r="C1" s="88" t="s">
        <v>317</v>
      </c>
      <c r="D1" s="89">
        <f>$S$30/J1</f>
        <v>38064.516129032258</v>
      </c>
      <c r="E1" s="90" t="s">
        <v>240</v>
      </c>
      <c r="F1" s="91" t="s">
        <v>396</v>
      </c>
      <c r="G1" s="90" t="s">
        <v>319</v>
      </c>
      <c r="H1" s="304">
        <f>H52</f>
        <v>23.599999999999998</v>
      </c>
      <c r="I1" s="92" t="s">
        <v>242</v>
      </c>
      <c r="J1" s="305">
        <v>0.62</v>
      </c>
      <c r="K1" s="99"/>
      <c r="Y1" s="90" t="s">
        <v>463</v>
      </c>
      <c r="Z1" s="835">
        <v>22600</v>
      </c>
      <c r="AA1" s="90" t="s">
        <v>578</v>
      </c>
      <c r="AB1" s="835">
        <v>1000</v>
      </c>
      <c r="AC1" s="90" t="s">
        <v>567</v>
      </c>
      <c r="AD1" s="835">
        <v>154</v>
      </c>
      <c r="AE1" s="249"/>
      <c r="AF1" s="251"/>
      <c r="AG1" s="91"/>
    </row>
    <row r="2" spans="1:33" ht="12.75" customHeight="1" x14ac:dyDescent="0.3">
      <c r="A2" s="264"/>
      <c r="B2" s="1450" t="s">
        <v>397</v>
      </c>
      <c r="C2" s="1458"/>
      <c r="D2" s="1458"/>
      <c r="E2" s="1458"/>
      <c r="F2" s="1458"/>
      <c r="G2" s="1458"/>
      <c r="H2" s="1458"/>
      <c r="I2" s="1458"/>
      <c r="J2" s="1458"/>
      <c r="K2" s="1458"/>
      <c r="L2" s="292"/>
      <c r="M2" s="99"/>
      <c r="N2" s="99"/>
      <c r="AC2" s="98"/>
      <c r="AD2" s="98"/>
      <c r="AE2" s="1457"/>
      <c r="AF2" s="1458"/>
      <c r="AG2" s="1458"/>
    </row>
    <row r="3" spans="1:33" ht="12.75" customHeight="1" x14ac:dyDescent="0.3">
      <c r="A3" s="264"/>
      <c r="B3" s="1444"/>
      <c r="C3" s="1444"/>
      <c r="D3" s="1444"/>
      <c r="E3" s="1444"/>
      <c r="F3" s="1444"/>
      <c r="G3" s="1444"/>
      <c r="H3" s="1444"/>
      <c r="I3" s="1444"/>
      <c r="J3" s="1444"/>
      <c r="K3" s="1444"/>
      <c r="L3" s="292"/>
      <c r="M3" s="99"/>
      <c r="N3" s="99"/>
      <c r="AC3" s="98"/>
      <c r="AD3" s="98"/>
      <c r="AE3" s="1458"/>
      <c r="AF3" s="1458"/>
      <c r="AG3" s="1458"/>
    </row>
    <row r="4" spans="1:33" ht="46.5" customHeight="1" x14ac:dyDescent="0.3">
      <c r="A4" s="90" t="s">
        <v>1</v>
      </c>
      <c r="B4" s="90" t="s">
        <v>245</v>
      </c>
      <c r="C4" s="306" t="s">
        <v>321</v>
      </c>
      <c r="D4" s="90" t="s">
        <v>322</v>
      </c>
      <c r="E4" s="107" t="s">
        <v>323</v>
      </c>
      <c r="F4" s="107" t="s">
        <v>324</v>
      </c>
      <c r="G4" s="307" t="s">
        <v>325</v>
      </c>
      <c r="H4" s="108" t="s">
        <v>326</v>
      </c>
      <c r="I4" s="90" t="s">
        <v>250</v>
      </c>
      <c r="J4" s="90" t="s">
        <v>251</v>
      </c>
      <c r="K4" s="90" t="s">
        <v>252</v>
      </c>
      <c r="L4" s="90" t="s">
        <v>253</v>
      </c>
      <c r="AA4" s="250"/>
      <c r="AB4" s="252"/>
      <c r="AC4" s="250"/>
      <c r="AD4" s="250"/>
      <c r="AE4" s="250"/>
    </row>
    <row r="5" spans="1:33" ht="14.25" customHeight="1" x14ac:dyDescent="0.3">
      <c r="A5" s="265" t="s">
        <v>225</v>
      </c>
      <c r="B5" s="308" t="s">
        <v>224</v>
      </c>
      <c r="C5" s="123" t="s">
        <v>14</v>
      </c>
      <c r="D5" s="267">
        <f>I51/H51</f>
        <v>1612.9032258064517</v>
      </c>
      <c r="E5" s="118">
        <f>I52/D5</f>
        <v>23.599999999999998</v>
      </c>
      <c r="F5" s="126">
        <v>1</v>
      </c>
      <c r="G5" s="116">
        <f>D1</f>
        <v>38064.516129032258</v>
      </c>
      <c r="H5" s="405">
        <f>D1</f>
        <v>38064.516129032258</v>
      </c>
      <c r="I5" s="80">
        <f>VLOOKUP(B5,All_Ingredients!$A$1:$F$149,6,FALSE())</f>
        <v>0.86</v>
      </c>
      <c r="J5" s="118">
        <f>VLOOKUP(B5,All_Ingredients!$A$1:$J$149,10,FALSE())</f>
        <v>17.100000000000001</v>
      </c>
      <c r="K5" s="121">
        <f t="shared" ref="K5" si="0">(H5/I5)/1000</f>
        <v>44.261065266316585</v>
      </c>
      <c r="L5" s="121">
        <f t="shared" ref="L5" si="1">K5*J5</f>
        <v>756.8642160540137</v>
      </c>
    </row>
    <row r="6" spans="1:33" ht="14.25" customHeight="1" x14ac:dyDescent="0.3">
      <c r="A6" s="269" t="s">
        <v>95</v>
      </c>
      <c r="B6" s="22" t="s">
        <v>106</v>
      </c>
      <c r="C6" s="123" t="s">
        <v>14</v>
      </c>
      <c r="D6" s="124">
        <v>25</v>
      </c>
      <c r="E6" s="196">
        <f>$H$52</f>
        <v>23.599999999999998</v>
      </c>
      <c r="F6" s="126">
        <v>0.7</v>
      </c>
      <c r="G6" s="118">
        <f>D6*E6</f>
        <v>590</v>
      </c>
      <c r="H6" s="119">
        <f>G6*F6</f>
        <v>413</v>
      </c>
      <c r="I6" s="80">
        <f>VLOOKUP(B6,All_Ingredients!$A$1:$F$149,6,FALSE())</f>
        <v>1</v>
      </c>
      <c r="J6" s="118">
        <f>VLOOKUP(B6,All_Ingredients!$A$1:$J$149,10,FALSE())</f>
        <v>15</v>
      </c>
      <c r="K6" s="121">
        <f t="shared" ref="K6:K10" si="2">(H6/I6)/1000</f>
        <v>0.41299999999999998</v>
      </c>
      <c r="L6" s="121">
        <f t="shared" ref="L6:L10" si="3">K6*J6</f>
        <v>6.1949999999999994</v>
      </c>
    </row>
    <row r="7" spans="1:33" ht="14.25" customHeight="1" x14ac:dyDescent="0.3">
      <c r="A7" s="269" t="s">
        <v>192</v>
      </c>
      <c r="B7" s="293" t="s">
        <v>731</v>
      </c>
      <c r="C7" s="123" t="s">
        <v>14</v>
      </c>
      <c r="D7" s="124">
        <v>35</v>
      </c>
      <c r="E7" s="196">
        <f>$H$52</f>
        <v>23.599999999999998</v>
      </c>
      <c r="F7" s="126">
        <v>0.75</v>
      </c>
      <c r="G7" s="118">
        <f>D7*E7</f>
        <v>825.99999999999989</v>
      </c>
      <c r="H7" s="119">
        <f>G7*F7</f>
        <v>619.49999999999989</v>
      </c>
      <c r="I7" s="80">
        <f>VLOOKUP(B7,All_Ingredients!$A$1:$F$149,6,FALSE())</f>
        <v>1</v>
      </c>
      <c r="J7" s="118">
        <f>VLOOKUP(B7,All_Ingredients!$A$1:$J$149,10,FALSE())</f>
        <v>8.1520833333333336</v>
      </c>
      <c r="K7" s="121">
        <f t="shared" si="2"/>
        <v>0.61949999999999994</v>
      </c>
      <c r="L7" s="121">
        <f t="shared" si="3"/>
        <v>5.0502156249999999</v>
      </c>
    </row>
    <row r="8" spans="1:33" ht="14.25" customHeight="1" x14ac:dyDescent="0.3">
      <c r="A8" s="269" t="s">
        <v>95</v>
      </c>
      <c r="B8" s="22" t="s">
        <v>108</v>
      </c>
      <c r="C8" s="123" t="s">
        <v>14</v>
      </c>
      <c r="D8" s="124">
        <v>20</v>
      </c>
      <c r="E8" s="196">
        <f>$H$52</f>
        <v>23.599999999999998</v>
      </c>
      <c r="F8" s="126">
        <v>0.7</v>
      </c>
      <c r="G8" s="118">
        <f>D8*E8</f>
        <v>471.99999999999994</v>
      </c>
      <c r="H8" s="119">
        <f>G8*F8</f>
        <v>330.39999999999992</v>
      </c>
      <c r="I8" s="80">
        <f>VLOOKUP(B8,All_Ingredients!$A$1:$F$149,6,FALSE())</f>
        <v>1</v>
      </c>
      <c r="J8" s="118">
        <f>VLOOKUP(B8,All_Ingredients!$A$1:$J$149,10,FALSE())</f>
        <v>8</v>
      </c>
      <c r="K8" s="121">
        <f t="shared" si="2"/>
        <v>0.33039999999999992</v>
      </c>
      <c r="L8" s="121">
        <f t="shared" si="3"/>
        <v>2.6431999999999993</v>
      </c>
    </row>
    <row r="9" spans="1:33" ht="14.25" customHeight="1" x14ac:dyDescent="0.3">
      <c r="A9" s="269" t="s">
        <v>95</v>
      </c>
      <c r="B9" s="322" t="s">
        <v>94</v>
      </c>
      <c r="C9" s="123" t="s">
        <v>14</v>
      </c>
      <c r="D9" s="124">
        <v>15</v>
      </c>
      <c r="E9" s="196">
        <f>$H$52</f>
        <v>23.599999999999998</v>
      </c>
      <c r="F9" s="126">
        <v>0.75</v>
      </c>
      <c r="G9" s="118">
        <f>D9*E9</f>
        <v>353.99999999999994</v>
      </c>
      <c r="H9" s="119">
        <f>G9*F9</f>
        <v>265.49999999999994</v>
      </c>
      <c r="I9" s="80">
        <f>VLOOKUP(B9,All_Ingredients!$A$1:$F$149,6,FALSE())</f>
        <v>1</v>
      </c>
      <c r="J9" s="118">
        <f>VLOOKUP(B9,All_Ingredients!$A$1:$J$149,10,FALSE())</f>
        <v>0.74</v>
      </c>
      <c r="K9" s="121">
        <f t="shared" si="2"/>
        <v>0.26549999999999996</v>
      </c>
      <c r="L9" s="121">
        <f t="shared" si="3"/>
        <v>0.19646999999999998</v>
      </c>
    </row>
    <row r="10" spans="1:33" ht="14.25" customHeight="1" x14ac:dyDescent="0.3">
      <c r="A10" s="269" t="s">
        <v>206</v>
      </c>
      <c r="B10" s="322" t="s">
        <v>205</v>
      </c>
      <c r="C10" s="123" t="s">
        <v>161</v>
      </c>
      <c r="D10" s="124">
        <v>1500</v>
      </c>
      <c r="E10" s="196">
        <f>$H$52</f>
        <v>23.599999999999998</v>
      </c>
      <c r="F10" s="126">
        <v>1</v>
      </c>
      <c r="G10" s="118">
        <f>D10*E10</f>
        <v>35400</v>
      </c>
      <c r="H10" s="119">
        <f>G10*F10</f>
        <v>35400</v>
      </c>
      <c r="I10" s="80">
        <f>VLOOKUP(B10,All_Ingredients!$A$1:$F$149,6,FALSE())</f>
        <v>1</v>
      </c>
      <c r="J10" s="118">
        <f>VLOOKUP(B10,All_Ingredients!$A$1:$J$149,10,FALSE())</f>
        <v>0</v>
      </c>
      <c r="K10" s="121">
        <f t="shared" si="2"/>
        <v>35.4</v>
      </c>
      <c r="L10" s="121">
        <f t="shared" si="3"/>
        <v>0</v>
      </c>
    </row>
    <row r="19" spans="2:29" ht="14.25" customHeight="1" x14ac:dyDescent="0.3">
      <c r="F19" s="99"/>
    </row>
    <row r="20" spans="2:29" ht="14.25" customHeight="1" x14ac:dyDescent="0.3">
      <c r="F20" s="99"/>
    </row>
    <row r="21" spans="2:29" ht="14.25" customHeight="1" x14ac:dyDescent="0.3">
      <c r="F21" s="99"/>
    </row>
    <row r="22" spans="2:29" ht="14.25" customHeight="1" x14ac:dyDescent="0.3">
      <c r="F22" s="99"/>
    </row>
    <row r="23" spans="2:29" ht="14.25" customHeight="1" x14ac:dyDescent="0.3">
      <c r="F23" s="99"/>
    </row>
    <row r="24" spans="2:29" ht="14.25" customHeight="1" x14ac:dyDescent="0.3">
      <c r="F24" s="99"/>
    </row>
    <row r="25" spans="2:29" ht="15.75" customHeight="1" x14ac:dyDescent="0.35">
      <c r="F25" s="99"/>
      <c r="R25" s="1440" t="str">
        <f>B2</f>
        <v>Chicken Saleeq - دجاج سليق</v>
      </c>
      <c r="S25" s="1444"/>
      <c r="T25" s="1444"/>
      <c r="Z25" s="140" t="s">
        <v>256</v>
      </c>
      <c r="AA25" s="141">
        <v>1</v>
      </c>
      <c r="AB25" s="140" t="s">
        <v>253</v>
      </c>
      <c r="AC25" s="1210">
        <f>AC30*AA25</f>
        <v>3.3489567082036001E-2</v>
      </c>
    </row>
    <row r="26" spans="2:29" ht="14.25" customHeight="1" x14ac:dyDescent="0.3">
      <c r="F26" s="99"/>
      <c r="R26" s="1445" t="s">
        <v>328</v>
      </c>
      <c r="S26" s="1446"/>
      <c r="T26" s="1446"/>
      <c r="AB26" s="14"/>
      <c r="AC26" s="14"/>
    </row>
    <row r="27" spans="2:29" ht="14.25" customHeight="1" thickBot="1" x14ac:dyDescent="0.35">
      <c r="F27" s="99"/>
      <c r="R27" s="144" t="s">
        <v>258</v>
      </c>
      <c r="S27" s="145" t="s">
        <v>259</v>
      </c>
      <c r="T27" s="145" t="s">
        <v>261</v>
      </c>
      <c r="Z27" s="140" t="s">
        <v>262</v>
      </c>
      <c r="AA27" s="146" t="s">
        <v>263</v>
      </c>
      <c r="AB27" s="146" t="s">
        <v>316</v>
      </c>
      <c r="AC27" s="146" t="s">
        <v>266</v>
      </c>
    </row>
    <row r="28" spans="2:29" ht="14.25" customHeight="1" thickBot="1" x14ac:dyDescent="0.35">
      <c r="B28" s="99"/>
      <c r="E28" s="99"/>
      <c r="F28" s="99"/>
      <c r="R28" s="147" t="s">
        <v>329</v>
      </c>
      <c r="S28" s="760">
        <f>Z1</f>
        <v>22600</v>
      </c>
      <c r="T28" s="754">
        <f>S28</f>
        <v>22600</v>
      </c>
      <c r="Z28" s="150"/>
      <c r="AA28" s="151">
        <f>AA25</f>
        <v>1</v>
      </c>
      <c r="AB28" s="151">
        <f>AA25-AA28</f>
        <v>0</v>
      </c>
      <c r="AC28" s="153">
        <f>SUM(AA28:AB28)</f>
        <v>1</v>
      </c>
    </row>
    <row r="29" spans="2:29" ht="14.25" customHeight="1" thickBot="1" x14ac:dyDescent="0.35">
      <c r="B29" s="99"/>
      <c r="E29" s="99"/>
      <c r="F29" s="99"/>
      <c r="R29" s="147" t="s">
        <v>330</v>
      </c>
      <c r="S29" s="782">
        <f>AB1</f>
        <v>1000</v>
      </c>
      <c r="T29" s="756">
        <f>S29</f>
        <v>1000</v>
      </c>
      <c r="Z29" s="150"/>
      <c r="AA29" s="155">
        <v>1</v>
      </c>
      <c r="AB29" s="319">
        <f>AB28/$AC$28</f>
        <v>0</v>
      </c>
      <c r="AC29" s="155">
        <f>AC28/$AC$28</f>
        <v>1</v>
      </c>
    </row>
    <row r="30" spans="2:29" ht="14.25" customHeight="1" thickBot="1" x14ac:dyDescent="0.35">
      <c r="B30" s="99"/>
      <c r="E30" s="99"/>
      <c r="F30" s="99"/>
      <c r="R30" s="159" t="s">
        <v>331</v>
      </c>
      <c r="S30" s="148">
        <f>S28+S29</f>
        <v>23600</v>
      </c>
      <c r="T30" s="148">
        <f>T28+T29</f>
        <v>23600</v>
      </c>
      <c r="Z30" s="140" t="s">
        <v>270</v>
      </c>
      <c r="AA30" s="156">
        <f>S33/(S28)</f>
        <v>3.3489567082036001E-2</v>
      </c>
      <c r="AB30" s="157">
        <f>SUM(L6:L10)/SUM(K6:K10)</f>
        <v>0.38038061663479927</v>
      </c>
      <c r="AC30" s="158">
        <f>SUMPRODUCT(AA30:AB30,AA29:AB29)</f>
        <v>3.3489567082036001E-2</v>
      </c>
    </row>
    <row r="31" spans="2:29" ht="14.25" customHeight="1" thickBot="1" x14ac:dyDescent="0.35">
      <c r="B31" s="99"/>
      <c r="E31" s="99"/>
      <c r="F31" s="99"/>
      <c r="R31" s="160" t="s">
        <v>272</v>
      </c>
      <c r="S31" s="154"/>
      <c r="T31" s="154"/>
    </row>
    <row r="32" spans="2:29" ht="14.25" customHeight="1" x14ac:dyDescent="0.3">
      <c r="B32" s="99"/>
      <c r="E32" s="99"/>
      <c r="F32" s="99"/>
      <c r="R32" s="161" t="s">
        <v>273</v>
      </c>
      <c r="S32" s="154"/>
      <c r="T32" s="154"/>
    </row>
    <row r="33" spans="17:23" ht="14.25" customHeight="1" x14ac:dyDescent="0.3">
      <c r="R33" s="162" t="s">
        <v>253</v>
      </c>
      <c r="S33" s="163">
        <f>$L$5</f>
        <v>756.8642160540137</v>
      </c>
      <c r="T33" s="163">
        <f>S33</f>
        <v>756.8642160540137</v>
      </c>
    </row>
    <row r="40" spans="17:23" ht="14.25" customHeight="1" x14ac:dyDescent="0.3">
      <c r="Q40" s="14"/>
      <c r="R40" s="164" t="s">
        <v>332</v>
      </c>
      <c r="S40" s="238">
        <v>1</v>
      </c>
    </row>
    <row r="41" spans="17:23" ht="14.25" customHeight="1" x14ac:dyDescent="0.3">
      <c r="Q41" s="14"/>
      <c r="R41" s="14"/>
      <c r="S41" s="14"/>
      <c r="T41" s="14"/>
      <c r="U41" s="168"/>
      <c r="V41" s="14"/>
      <c r="W41" s="14"/>
    </row>
    <row r="42" spans="17:23" ht="14.25" customHeight="1" x14ac:dyDescent="0.3">
      <c r="Q42" s="14"/>
      <c r="R42" s="14"/>
      <c r="S42" s="14"/>
      <c r="T42" s="14"/>
      <c r="U42" s="14"/>
      <c r="V42" s="14"/>
      <c r="W42" s="14"/>
    </row>
    <row r="43" spans="17:23" ht="14.25" customHeight="1" x14ac:dyDescent="0.3">
      <c r="Q43" s="169" t="s">
        <v>276</v>
      </c>
      <c r="R43" s="169" t="s">
        <v>277</v>
      </c>
      <c r="S43" s="169" t="s">
        <v>278</v>
      </c>
      <c r="T43" s="169" t="s">
        <v>279</v>
      </c>
      <c r="U43" s="169" t="s">
        <v>280</v>
      </c>
      <c r="V43" s="169" t="s">
        <v>281</v>
      </c>
      <c r="W43" s="257" t="s">
        <v>333</v>
      </c>
    </row>
    <row r="44" spans="17:23" ht="14.25" customHeight="1" x14ac:dyDescent="0.3">
      <c r="Q44" s="171">
        <v>10000</v>
      </c>
      <c r="R44" s="172">
        <v>0</v>
      </c>
      <c r="S44" s="240">
        <v>0</v>
      </c>
      <c r="T44" s="240">
        <v>0</v>
      </c>
      <c r="U44" s="241">
        <f>R44*S44</f>
        <v>0</v>
      </c>
      <c r="V44" s="175">
        <f>R44*T44</f>
        <v>0</v>
      </c>
      <c r="W44" s="259">
        <f>Q44-U44</f>
        <v>10000</v>
      </c>
    </row>
    <row r="50" spans="1:10" ht="14.5" thickBot="1" x14ac:dyDescent="0.35">
      <c r="G50" s="615" t="s">
        <v>284</v>
      </c>
      <c r="H50" s="615" t="s">
        <v>237</v>
      </c>
      <c r="I50" s="615" t="s">
        <v>285</v>
      </c>
      <c r="J50" s="615" t="s">
        <v>286</v>
      </c>
    </row>
    <row r="51" spans="1:10" ht="14.5" thickBot="1" x14ac:dyDescent="0.35">
      <c r="G51" s="309" t="s">
        <v>469</v>
      </c>
      <c r="H51" s="310">
        <v>10</v>
      </c>
      <c r="I51" s="310">
        <f t="shared" ref="I51:I58" si="4">J51/$J$1</f>
        <v>16129.032258064517</v>
      </c>
      <c r="J51" s="311">
        <f>$W$44</f>
        <v>10000</v>
      </c>
    </row>
    <row r="52" spans="1:10" x14ac:dyDescent="0.3">
      <c r="G52" s="161" t="s">
        <v>266</v>
      </c>
      <c r="H52" s="312">
        <f>$E$5</f>
        <v>23.599999999999998</v>
      </c>
      <c r="I52" s="313">
        <f t="shared" si="4"/>
        <v>38064.516129032258</v>
      </c>
      <c r="J52" s="314">
        <f>$S$30</f>
        <v>23600</v>
      </c>
    </row>
    <row r="53" spans="1:10" x14ac:dyDescent="0.3">
      <c r="D53" s="489"/>
      <c r="G53" s="147" t="s">
        <v>288</v>
      </c>
      <c r="H53" s="315">
        <f>MIN(H52, H51)</f>
        <v>10</v>
      </c>
      <c r="I53" s="175">
        <f t="shared" si="4"/>
        <v>16129.032258064517</v>
      </c>
      <c r="J53" s="614">
        <f>MIN(J52, J51)</f>
        <v>10000</v>
      </c>
    </row>
    <row r="54" spans="1:10" x14ac:dyDescent="0.3">
      <c r="D54" s="489"/>
      <c r="G54" s="147" t="s">
        <v>289</v>
      </c>
      <c r="H54" s="315">
        <f>MIN(MAX($H$52-H53,0),H51)</f>
        <v>10</v>
      </c>
      <c r="I54" s="175">
        <f t="shared" si="4"/>
        <v>16129.032258064517</v>
      </c>
      <c r="J54" s="614">
        <f>MIN(MAX(J52-J53,0),J51)</f>
        <v>10000</v>
      </c>
    </row>
    <row r="55" spans="1:10" x14ac:dyDescent="0.3">
      <c r="D55" s="489"/>
      <c r="G55" s="144" t="s">
        <v>290</v>
      </c>
      <c r="H55" s="876">
        <f>MIN(MAX(H52-H53-H54,0),H51)</f>
        <v>3.5999999999999979</v>
      </c>
      <c r="I55" s="175">
        <f t="shared" si="4"/>
        <v>5806.4516129032254</v>
      </c>
      <c r="J55" s="614">
        <f>MIN(MAX(J52-J53-J54,0),J51)</f>
        <v>3600</v>
      </c>
    </row>
    <row r="56" spans="1:10" x14ac:dyDescent="0.3">
      <c r="G56" s="144" t="s">
        <v>297</v>
      </c>
      <c r="H56" s="315">
        <f>MIN(MAX(H52-H53-H54-H55,0),H51)</f>
        <v>0</v>
      </c>
      <c r="I56" s="175">
        <f t="shared" si="4"/>
        <v>0</v>
      </c>
      <c r="J56" s="614">
        <f>MIN(MAX(J52-J53-J54-J55,0),J51)</f>
        <v>0</v>
      </c>
    </row>
    <row r="57" spans="1:10" x14ac:dyDescent="0.3">
      <c r="G57" s="144" t="s">
        <v>348</v>
      </c>
      <c r="H57" s="315">
        <f>MIN(MAX(H52-H53-H54-H55-H56,0),H51)</f>
        <v>0</v>
      </c>
      <c r="I57" s="175">
        <f t="shared" si="4"/>
        <v>0</v>
      </c>
      <c r="J57" s="614">
        <f>MIN(MAX(J52-J53-J54-J55-J56,0),J51)</f>
        <v>0</v>
      </c>
    </row>
    <row r="58" spans="1:10" x14ac:dyDescent="0.3">
      <c r="G58" s="144" t="s">
        <v>461</v>
      </c>
      <c r="H58" s="315">
        <f>MIN(MAX(H52-H53-H54-H55-H56-H57,0),H51)</f>
        <v>0</v>
      </c>
      <c r="I58" s="175">
        <f t="shared" si="4"/>
        <v>0</v>
      </c>
      <c r="J58" s="614">
        <f>MIN(MAX(J52-J53-J54-J55-J56-J57,0),J51)</f>
        <v>0</v>
      </c>
    </row>
    <row r="62" spans="1:10" ht="17.75" customHeight="1" x14ac:dyDescent="0.3">
      <c r="A62" s="321"/>
      <c r="B62" s="1447" t="str">
        <f>"دجاج سليق 1 / " &amp; COUNTIF($H$53:$H$58, "&gt;0")</f>
        <v>دجاج سليق 1 / 3</v>
      </c>
      <c r="C62" s="1456"/>
      <c r="D62" s="1456"/>
      <c r="E62" s="1456"/>
      <c r="F62" s="1456"/>
      <c r="G62" s="1456"/>
      <c r="H62" s="1456"/>
    </row>
    <row r="63" spans="1:10" ht="17.75" customHeight="1" x14ac:dyDescent="0.3">
      <c r="A63" s="406"/>
      <c r="B63" s="1447" t="str">
        <f>"Chicken Saleeq 1 / " &amp; COUNTIF($H$53:$H$58, "&gt;0")</f>
        <v>Chicken Saleeq 1 / 3</v>
      </c>
      <c r="C63" s="1456"/>
      <c r="D63" s="1456"/>
      <c r="E63" s="1456"/>
      <c r="F63" s="1456"/>
      <c r="G63" s="1456"/>
      <c r="H63" s="1456"/>
    </row>
    <row r="64" spans="1:10" ht="55.25" customHeight="1" x14ac:dyDescent="0.3">
      <c r="A64" s="90"/>
      <c r="B64" s="90" t="s">
        <v>245</v>
      </c>
      <c r="C64" s="306" t="s">
        <v>321</v>
      </c>
      <c r="D64" s="90" t="s">
        <v>322</v>
      </c>
      <c r="E64" s="107" t="s">
        <v>323</v>
      </c>
      <c r="F64" s="107" t="s">
        <v>324</v>
      </c>
      <c r="G64" s="307" t="s">
        <v>325</v>
      </c>
      <c r="H64" s="108" t="s">
        <v>326</v>
      </c>
    </row>
    <row r="65" spans="1:8" ht="14.25" customHeight="1" x14ac:dyDescent="0.3">
      <c r="A65" s="218" t="s">
        <v>225</v>
      </c>
      <c r="B65" s="322" t="str">
        <f t="shared" ref="B65:D70" si="5">B5</f>
        <v>Chicken - دجاج</v>
      </c>
      <c r="C65" s="322" t="str">
        <f t="shared" si="5"/>
        <v>gm</v>
      </c>
      <c r="D65" s="323">
        <f t="shared" si="5"/>
        <v>1612.9032258064517</v>
      </c>
      <c r="E65" s="196">
        <f>$H$53</f>
        <v>10</v>
      </c>
      <c r="F65" s="126">
        <f t="shared" ref="F65:F70" si="6">F5</f>
        <v>1</v>
      </c>
      <c r="G65" s="118">
        <f t="shared" ref="G65:G70" si="7">D65*E65</f>
        <v>16129.032258064517</v>
      </c>
      <c r="H65" s="119">
        <f t="shared" ref="H65:H70" si="8">G65*F65</f>
        <v>16129.032258064517</v>
      </c>
    </row>
    <row r="66" spans="1:8" ht="14.25" customHeight="1" x14ac:dyDescent="0.3">
      <c r="A66" s="269" t="s">
        <v>95</v>
      </c>
      <c r="B66" s="322" t="str">
        <f t="shared" si="5"/>
        <v>Cumin Powder - كمون مطحون</v>
      </c>
      <c r="C66" s="322" t="str">
        <f t="shared" si="5"/>
        <v>gm</v>
      </c>
      <c r="D66" s="322">
        <f t="shared" si="5"/>
        <v>25</v>
      </c>
      <c r="E66" s="196">
        <f t="shared" ref="E66:E70" si="9">$H$53</f>
        <v>10</v>
      </c>
      <c r="F66" s="126">
        <f t="shared" si="6"/>
        <v>0.7</v>
      </c>
      <c r="G66" s="80">
        <f t="shared" si="7"/>
        <v>250</v>
      </c>
      <c r="H66" s="119">
        <f t="shared" si="8"/>
        <v>175</v>
      </c>
    </row>
    <row r="67" spans="1:8" ht="14.25" customHeight="1" x14ac:dyDescent="0.3">
      <c r="A67" s="269" t="s">
        <v>192</v>
      </c>
      <c r="B67" s="322" t="str">
        <f t="shared" si="5"/>
        <v>Tomato Paste - صلصة طماطم</v>
      </c>
      <c r="C67" s="322" t="str">
        <f t="shared" si="5"/>
        <v>gm</v>
      </c>
      <c r="D67" s="322">
        <f t="shared" si="5"/>
        <v>35</v>
      </c>
      <c r="E67" s="196">
        <f t="shared" si="9"/>
        <v>10</v>
      </c>
      <c r="F67" s="126">
        <f t="shared" si="6"/>
        <v>0.75</v>
      </c>
      <c r="G67" s="80">
        <f t="shared" si="7"/>
        <v>350</v>
      </c>
      <c r="H67" s="119">
        <f t="shared" si="8"/>
        <v>262.5</v>
      </c>
    </row>
    <row r="68" spans="1:8" ht="14.25" customHeight="1" x14ac:dyDescent="0.3">
      <c r="A68" s="269" t="s">
        <v>95</v>
      </c>
      <c r="B68" s="322" t="str">
        <f t="shared" si="5"/>
        <v>Coriander Powder - كزبرة مطحونة</v>
      </c>
      <c r="C68" s="322" t="str">
        <f t="shared" si="5"/>
        <v>gm</v>
      </c>
      <c r="D68" s="322">
        <f t="shared" si="5"/>
        <v>20</v>
      </c>
      <c r="E68" s="196">
        <f t="shared" si="9"/>
        <v>10</v>
      </c>
      <c r="F68" s="126">
        <f t="shared" si="6"/>
        <v>0.7</v>
      </c>
      <c r="G68" s="80">
        <f t="shared" si="7"/>
        <v>200</v>
      </c>
      <c r="H68" s="119">
        <f t="shared" si="8"/>
        <v>140</v>
      </c>
    </row>
    <row r="69" spans="1:8" ht="14.25" customHeight="1" x14ac:dyDescent="0.3">
      <c r="A69" s="269" t="s">
        <v>95</v>
      </c>
      <c r="B69" s="322" t="str">
        <f t="shared" si="5"/>
        <v>Salt - ملح</v>
      </c>
      <c r="C69" s="322" t="str">
        <f t="shared" si="5"/>
        <v>gm</v>
      </c>
      <c r="D69" s="322">
        <f t="shared" si="5"/>
        <v>15</v>
      </c>
      <c r="E69" s="196">
        <f t="shared" si="9"/>
        <v>10</v>
      </c>
      <c r="F69" s="126">
        <f t="shared" si="6"/>
        <v>0.75</v>
      </c>
      <c r="G69" s="80">
        <f t="shared" si="7"/>
        <v>150</v>
      </c>
      <c r="H69" s="119">
        <f t="shared" si="8"/>
        <v>112.5</v>
      </c>
    </row>
    <row r="70" spans="1:8" ht="14.25" customHeight="1" x14ac:dyDescent="0.3">
      <c r="A70" s="269" t="s">
        <v>206</v>
      </c>
      <c r="B70" s="322" t="str">
        <f t="shared" si="5"/>
        <v>Water - ماء</v>
      </c>
      <c r="C70" s="322" t="str">
        <f t="shared" si="5"/>
        <v>ml</v>
      </c>
      <c r="D70" s="322">
        <f t="shared" si="5"/>
        <v>1500</v>
      </c>
      <c r="E70" s="196">
        <f t="shared" si="9"/>
        <v>10</v>
      </c>
      <c r="F70" s="126">
        <f t="shared" si="6"/>
        <v>1</v>
      </c>
      <c r="G70" s="80">
        <f t="shared" si="7"/>
        <v>15000</v>
      </c>
      <c r="H70" s="119">
        <f t="shared" si="8"/>
        <v>15000</v>
      </c>
    </row>
    <row r="71" spans="1:8" ht="20.25" customHeight="1" x14ac:dyDescent="0.3">
      <c r="A71" s="210"/>
      <c r="B71" s="197" t="s">
        <v>291</v>
      </c>
      <c r="C71" s="199" t="s">
        <v>277</v>
      </c>
      <c r="D71" s="14"/>
      <c r="E71" s="199" t="s">
        <v>292</v>
      </c>
      <c r="F71" s="14"/>
      <c r="G71" s="878" t="s">
        <v>268</v>
      </c>
      <c r="H71" s="878" t="s">
        <v>703</v>
      </c>
    </row>
    <row r="72" spans="1:8" ht="20.75" customHeight="1" x14ac:dyDescent="0.4">
      <c r="A72" s="210"/>
      <c r="B72" s="198">
        <f>$J$53</f>
        <v>10000</v>
      </c>
      <c r="C72" s="198">
        <f>E72+G72</f>
        <v>0</v>
      </c>
      <c r="D72" s="915"/>
      <c r="E72" s="198">
        <f>$C$53*$S$44</f>
        <v>0</v>
      </c>
      <c r="F72" s="919"/>
      <c r="G72" s="198">
        <f>$C$53*$T$44</f>
        <v>0</v>
      </c>
      <c r="H72" s="198">
        <f>B72+E72</f>
        <v>10000</v>
      </c>
    </row>
    <row r="73" spans="1:8" ht="8.75" customHeight="1" x14ac:dyDescent="0.3">
      <c r="B73" s="99"/>
      <c r="E73" s="99"/>
      <c r="F73" s="99"/>
    </row>
    <row r="74" spans="1:8" ht="17.75" customHeight="1" x14ac:dyDescent="0.3">
      <c r="A74" s="321"/>
      <c r="B74" s="1447" t="str">
        <f>"دجاج سليق 2 / " &amp; COUNTIF($H$53:$H$58, "&gt;0")</f>
        <v>دجاج سليق 2 / 3</v>
      </c>
      <c r="C74" s="1456"/>
      <c r="D74" s="1456"/>
      <c r="E74" s="1456"/>
      <c r="F74" s="1456"/>
      <c r="G74" s="1456"/>
      <c r="H74" s="1456"/>
    </row>
    <row r="75" spans="1:8" ht="17.75" customHeight="1" x14ac:dyDescent="0.3">
      <c r="A75" s="321"/>
      <c r="B75" s="1447" t="str">
        <f>"Chicken Saleeq 2 / " &amp; COUNTIF($H$53:$H$58, "&gt;0")</f>
        <v>Chicken Saleeq 2 / 3</v>
      </c>
      <c r="C75" s="1456"/>
      <c r="D75" s="1456"/>
      <c r="E75" s="1456"/>
      <c r="F75" s="1456"/>
      <c r="G75" s="1456"/>
      <c r="H75" s="1456"/>
    </row>
    <row r="76" spans="1:8" ht="46.5" customHeight="1" x14ac:dyDescent="0.3">
      <c r="A76" s="90"/>
      <c r="B76" s="90" t="s">
        <v>245</v>
      </c>
      <c r="C76" s="306" t="s">
        <v>321</v>
      </c>
      <c r="D76" s="90" t="s">
        <v>322</v>
      </c>
      <c r="E76" s="107" t="s">
        <v>323</v>
      </c>
      <c r="F76" s="107" t="s">
        <v>324</v>
      </c>
      <c r="G76" s="307" t="s">
        <v>325</v>
      </c>
      <c r="H76" s="108" t="s">
        <v>326</v>
      </c>
    </row>
    <row r="77" spans="1:8" ht="14.25" customHeight="1" x14ac:dyDescent="0.3">
      <c r="A77" s="218" t="s">
        <v>225</v>
      </c>
      <c r="B77" s="322" t="str">
        <f t="shared" ref="B77:D82" si="10">B5</f>
        <v>Chicken - دجاج</v>
      </c>
      <c r="C77" s="322" t="str">
        <f t="shared" si="10"/>
        <v>gm</v>
      </c>
      <c r="D77" s="118">
        <f t="shared" si="10"/>
        <v>1612.9032258064517</v>
      </c>
      <c r="E77" s="196">
        <f t="shared" ref="E77:E82" si="11">$H$54</f>
        <v>10</v>
      </c>
      <c r="F77" s="126">
        <f t="shared" ref="F77:F82" si="12">F5</f>
        <v>1</v>
      </c>
      <c r="G77" s="118">
        <f t="shared" ref="G77:G82" si="13">D77*E77</f>
        <v>16129.032258064517</v>
      </c>
      <c r="H77" s="119">
        <f t="shared" ref="H77:H82" si="14">G77*F77</f>
        <v>16129.032258064517</v>
      </c>
    </row>
    <row r="78" spans="1:8" ht="14.25" customHeight="1" x14ac:dyDescent="0.3">
      <c r="A78" s="269" t="s">
        <v>95</v>
      </c>
      <c r="B78" s="322" t="str">
        <f t="shared" si="10"/>
        <v>Cumin Powder - كمون مطحون</v>
      </c>
      <c r="C78" s="322" t="str">
        <f t="shared" si="10"/>
        <v>gm</v>
      </c>
      <c r="D78" s="322">
        <f t="shared" si="10"/>
        <v>25</v>
      </c>
      <c r="E78" s="196">
        <f t="shared" si="11"/>
        <v>10</v>
      </c>
      <c r="F78" s="126">
        <f t="shared" si="12"/>
        <v>0.7</v>
      </c>
      <c r="G78" s="118">
        <f t="shared" si="13"/>
        <v>250</v>
      </c>
      <c r="H78" s="119">
        <f t="shared" si="14"/>
        <v>175</v>
      </c>
    </row>
    <row r="79" spans="1:8" ht="14.25" customHeight="1" x14ac:dyDescent="0.3">
      <c r="A79" s="269" t="s">
        <v>192</v>
      </c>
      <c r="B79" s="322" t="str">
        <f t="shared" si="10"/>
        <v>Tomato Paste - صلصة طماطم</v>
      </c>
      <c r="C79" s="322" t="str">
        <f t="shared" si="10"/>
        <v>gm</v>
      </c>
      <c r="D79" s="322">
        <f t="shared" si="10"/>
        <v>35</v>
      </c>
      <c r="E79" s="196">
        <f t="shared" si="11"/>
        <v>10</v>
      </c>
      <c r="F79" s="126">
        <f t="shared" si="12"/>
        <v>0.75</v>
      </c>
      <c r="G79" s="118">
        <f t="shared" si="13"/>
        <v>350</v>
      </c>
      <c r="H79" s="119">
        <f t="shared" si="14"/>
        <v>262.5</v>
      </c>
    </row>
    <row r="80" spans="1:8" ht="14.25" customHeight="1" x14ac:dyDescent="0.3">
      <c r="A80" s="269" t="s">
        <v>95</v>
      </c>
      <c r="B80" s="322" t="str">
        <f t="shared" si="10"/>
        <v>Coriander Powder - كزبرة مطحونة</v>
      </c>
      <c r="C80" s="322" t="str">
        <f t="shared" si="10"/>
        <v>gm</v>
      </c>
      <c r="D80" s="322">
        <f t="shared" si="10"/>
        <v>20</v>
      </c>
      <c r="E80" s="196">
        <f t="shared" si="11"/>
        <v>10</v>
      </c>
      <c r="F80" s="126">
        <f t="shared" si="12"/>
        <v>0.7</v>
      </c>
      <c r="G80" s="118">
        <f t="shared" si="13"/>
        <v>200</v>
      </c>
      <c r="H80" s="119">
        <f t="shared" si="14"/>
        <v>140</v>
      </c>
    </row>
    <row r="81" spans="1:8" ht="14.25" customHeight="1" x14ac:dyDescent="0.3">
      <c r="A81" s="269" t="s">
        <v>95</v>
      </c>
      <c r="B81" s="322" t="str">
        <f t="shared" si="10"/>
        <v>Salt - ملح</v>
      </c>
      <c r="C81" s="322" t="str">
        <f t="shared" si="10"/>
        <v>gm</v>
      </c>
      <c r="D81" s="322">
        <f t="shared" si="10"/>
        <v>15</v>
      </c>
      <c r="E81" s="196">
        <f t="shared" si="11"/>
        <v>10</v>
      </c>
      <c r="F81" s="126">
        <f t="shared" si="12"/>
        <v>0.75</v>
      </c>
      <c r="G81" s="118">
        <f t="shared" si="13"/>
        <v>150</v>
      </c>
      <c r="H81" s="119">
        <f t="shared" si="14"/>
        <v>112.5</v>
      </c>
    </row>
    <row r="82" spans="1:8" ht="14.25" customHeight="1" x14ac:dyDescent="0.3">
      <c r="A82" s="269" t="s">
        <v>206</v>
      </c>
      <c r="B82" s="322" t="str">
        <f t="shared" si="10"/>
        <v>Water - ماء</v>
      </c>
      <c r="C82" s="322" t="str">
        <f t="shared" si="10"/>
        <v>ml</v>
      </c>
      <c r="D82" s="322">
        <f t="shared" si="10"/>
        <v>1500</v>
      </c>
      <c r="E82" s="196">
        <f t="shared" si="11"/>
        <v>10</v>
      </c>
      <c r="F82" s="126">
        <f t="shared" si="12"/>
        <v>1</v>
      </c>
      <c r="G82" s="118">
        <f t="shared" si="13"/>
        <v>15000</v>
      </c>
      <c r="H82" s="119">
        <f t="shared" si="14"/>
        <v>15000</v>
      </c>
    </row>
    <row r="83" spans="1:8" ht="20.25" customHeight="1" x14ac:dyDescent="0.3">
      <c r="A83" s="210"/>
      <c r="B83" s="197" t="s">
        <v>291</v>
      </c>
      <c r="C83" s="199" t="s">
        <v>277</v>
      </c>
      <c r="D83" s="14"/>
      <c r="E83" s="199" t="s">
        <v>292</v>
      </c>
      <c r="F83" s="14"/>
      <c r="G83" s="878" t="s">
        <v>268</v>
      </c>
      <c r="H83" s="878" t="s">
        <v>703</v>
      </c>
    </row>
    <row r="84" spans="1:8" ht="28.25" customHeight="1" x14ac:dyDescent="0.4">
      <c r="A84" s="210"/>
      <c r="B84" s="198">
        <f>$J$54</f>
        <v>10000</v>
      </c>
      <c r="C84" s="198">
        <f>E84+G84</f>
        <v>0</v>
      </c>
      <c r="D84" s="915"/>
      <c r="E84" s="198">
        <f>$C$54*$S$44</f>
        <v>0</v>
      </c>
      <c r="F84" s="919"/>
      <c r="G84" s="198">
        <f>$C$54*$T$44</f>
        <v>0</v>
      </c>
      <c r="H84" s="198">
        <f>B84+E84</f>
        <v>10000</v>
      </c>
    </row>
    <row r="85" spans="1:8" ht="14.75" customHeight="1" x14ac:dyDescent="0.3"/>
    <row r="86" spans="1:8" ht="4.5" customHeight="1" x14ac:dyDescent="0.3"/>
    <row r="87" spans="1:8" ht="4.5" customHeight="1" x14ac:dyDescent="0.3"/>
    <row r="88" spans="1:8" ht="17.75" customHeight="1" x14ac:dyDescent="0.3">
      <c r="A88" s="321"/>
      <c r="B88" s="1447" t="str">
        <f>"دجاج سليق 3 / " &amp; COUNTIF($H$53:$H$58, "&gt;0")</f>
        <v>دجاج سليق 3 / 3</v>
      </c>
      <c r="C88" s="1456"/>
      <c r="D88" s="1456"/>
      <c r="E88" s="1456"/>
      <c r="F88" s="1456"/>
      <c r="G88" s="1456"/>
      <c r="H88" s="1456"/>
    </row>
    <row r="89" spans="1:8" ht="17.75" customHeight="1" x14ac:dyDescent="0.3">
      <c r="A89" s="406"/>
      <c r="B89" s="1447" t="str">
        <f>"Chicken Saleeq 3 / " &amp; COUNTIF($H$53:$H$58, "&gt;0")</f>
        <v>Chicken Saleeq 3 / 3</v>
      </c>
      <c r="C89" s="1456"/>
      <c r="D89" s="1456"/>
      <c r="E89" s="1456"/>
      <c r="F89" s="1456"/>
      <c r="G89" s="1456"/>
      <c r="H89" s="1456"/>
    </row>
    <row r="90" spans="1:8" ht="60" customHeight="1" x14ac:dyDescent="0.3">
      <c r="A90" s="90"/>
      <c r="B90" s="90" t="s">
        <v>245</v>
      </c>
      <c r="C90" s="306" t="s">
        <v>321</v>
      </c>
      <c r="D90" s="90" t="s">
        <v>322</v>
      </c>
      <c r="E90" s="107" t="s">
        <v>323</v>
      </c>
      <c r="F90" s="107" t="s">
        <v>324</v>
      </c>
      <c r="G90" s="307" t="s">
        <v>325</v>
      </c>
      <c r="H90" s="108" t="s">
        <v>326</v>
      </c>
    </row>
    <row r="91" spans="1:8" ht="14.25" customHeight="1" x14ac:dyDescent="0.3">
      <c r="A91" s="218" t="s">
        <v>225</v>
      </c>
      <c r="B91" s="218" t="str">
        <f t="shared" ref="B91:D96" si="15">B5</f>
        <v>Chicken - دجاج</v>
      </c>
      <c r="C91" s="218" t="str">
        <f t="shared" si="15"/>
        <v>gm</v>
      </c>
      <c r="D91" s="118">
        <f t="shared" si="15"/>
        <v>1612.9032258064517</v>
      </c>
      <c r="E91" s="196">
        <f t="shared" ref="E91:E96" si="16">$H$55</f>
        <v>3.5999999999999979</v>
      </c>
      <c r="F91" s="324">
        <f t="shared" ref="F91:F96" si="17">F5</f>
        <v>1</v>
      </c>
      <c r="G91" s="118">
        <f t="shared" ref="G91:G96" si="18">D91*E91</f>
        <v>5806.4516129032227</v>
      </c>
      <c r="H91" s="119">
        <f t="shared" ref="H91:H96" si="19">G91*F91</f>
        <v>5806.4516129032227</v>
      </c>
    </row>
    <row r="92" spans="1:8" ht="14.25" customHeight="1" x14ac:dyDescent="0.3">
      <c r="A92" s="218" t="s">
        <v>95</v>
      </c>
      <c r="B92" s="218" t="str">
        <f t="shared" si="15"/>
        <v>Cumin Powder - كمون مطحون</v>
      </c>
      <c r="C92" s="218" t="str">
        <f t="shared" si="15"/>
        <v>gm</v>
      </c>
      <c r="D92" s="218">
        <f t="shared" si="15"/>
        <v>25</v>
      </c>
      <c r="E92" s="196">
        <f t="shared" si="16"/>
        <v>3.5999999999999979</v>
      </c>
      <c r="F92" s="324">
        <f t="shared" si="17"/>
        <v>0.7</v>
      </c>
      <c r="G92" s="118">
        <f t="shared" si="18"/>
        <v>89.999999999999943</v>
      </c>
      <c r="H92" s="119">
        <f t="shared" si="19"/>
        <v>62.999999999999957</v>
      </c>
    </row>
    <row r="93" spans="1:8" ht="14.25" customHeight="1" x14ac:dyDescent="0.3">
      <c r="A93" s="218" t="s">
        <v>192</v>
      </c>
      <c r="B93" s="218" t="str">
        <f t="shared" si="15"/>
        <v>Tomato Paste - صلصة طماطم</v>
      </c>
      <c r="C93" s="218" t="str">
        <f t="shared" si="15"/>
        <v>gm</v>
      </c>
      <c r="D93" s="218">
        <f t="shared" si="15"/>
        <v>35</v>
      </c>
      <c r="E93" s="196">
        <f t="shared" si="16"/>
        <v>3.5999999999999979</v>
      </c>
      <c r="F93" s="324">
        <f t="shared" si="17"/>
        <v>0.75</v>
      </c>
      <c r="G93" s="118">
        <f t="shared" si="18"/>
        <v>125.99999999999993</v>
      </c>
      <c r="H93" s="119">
        <f t="shared" si="19"/>
        <v>94.499999999999943</v>
      </c>
    </row>
    <row r="94" spans="1:8" ht="14.25" customHeight="1" x14ac:dyDescent="0.3">
      <c r="A94" s="218" t="s">
        <v>95</v>
      </c>
      <c r="B94" s="218" t="str">
        <f t="shared" si="15"/>
        <v>Coriander Powder - كزبرة مطحونة</v>
      </c>
      <c r="C94" s="218" t="str">
        <f t="shared" si="15"/>
        <v>gm</v>
      </c>
      <c r="D94" s="218">
        <f t="shared" si="15"/>
        <v>20</v>
      </c>
      <c r="E94" s="196">
        <f t="shared" si="16"/>
        <v>3.5999999999999979</v>
      </c>
      <c r="F94" s="324">
        <f t="shared" si="17"/>
        <v>0.7</v>
      </c>
      <c r="G94" s="118">
        <f t="shared" si="18"/>
        <v>71.999999999999957</v>
      </c>
      <c r="H94" s="119">
        <f t="shared" si="19"/>
        <v>50.39999999999997</v>
      </c>
    </row>
    <row r="95" spans="1:8" ht="14.25" customHeight="1" x14ac:dyDescent="0.3">
      <c r="A95" s="218" t="s">
        <v>95</v>
      </c>
      <c r="B95" s="218" t="str">
        <f t="shared" si="15"/>
        <v>Salt - ملح</v>
      </c>
      <c r="C95" s="218" t="str">
        <f t="shared" si="15"/>
        <v>gm</v>
      </c>
      <c r="D95" s="218">
        <f t="shared" si="15"/>
        <v>15</v>
      </c>
      <c r="E95" s="196">
        <f t="shared" si="16"/>
        <v>3.5999999999999979</v>
      </c>
      <c r="F95" s="324">
        <f t="shared" si="17"/>
        <v>0.75</v>
      </c>
      <c r="G95" s="118">
        <f t="shared" si="18"/>
        <v>53.999999999999972</v>
      </c>
      <c r="H95" s="119">
        <f t="shared" si="19"/>
        <v>40.499999999999979</v>
      </c>
    </row>
    <row r="96" spans="1:8" ht="14.25" customHeight="1" x14ac:dyDescent="0.3">
      <c r="A96" s="218" t="s">
        <v>206</v>
      </c>
      <c r="B96" s="218" t="str">
        <f t="shared" si="15"/>
        <v>Water - ماء</v>
      </c>
      <c r="C96" s="218" t="str">
        <f t="shared" si="15"/>
        <v>ml</v>
      </c>
      <c r="D96" s="218">
        <f t="shared" si="15"/>
        <v>1500</v>
      </c>
      <c r="E96" s="196">
        <f t="shared" si="16"/>
        <v>3.5999999999999979</v>
      </c>
      <c r="F96" s="324">
        <f t="shared" si="17"/>
        <v>1</v>
      </c>
      <c r="G96" s="118">
        <f t="shared" si="18"/>
        <v>5399.9999999999964</v>
      </c>
      <c r="H96" s="119">
        <f t="shared" si="19"/>
        <v>5399.9999999999964</v>
      </c>
    </row>
    <row r="97" spans="1:8" ht="20.25" customHeight="1" x14ac:dyDescent="0.3">
      <c r="A97" s="210"/>
      <c r="B97" s="197" t="s">
        <v>291</v>
      </c>
      <c r="C97" s="199" t="s">
        <v>277</v>
      </c>
      <c r="D97" s="14"/>
      <c r="E97" s="199" t="s">
        <v>292</v>
      </c>
      <c r="F97" s="14"/>
      <c r="G97" s="878" t="s">
        <v>268</v>
      </c>
      <c r="H97" s="878" t="s">
        <v>703</v>
      </c>
    </row>
    <row r="98" spans="1:8" ht="20" x14ac:dyDescent="0.4">
      <c r="A98" s="210"/>
      <c r="B98" s="198">
        <f>$J$55</f>
        <v>3600</v>
      </c>
      <c r="C98" s="198">
        <f>E98+G98</f>
        <v>0</v>
      </c>
      <c r="D98" s="915"/>
      <c r="E98" s="198">
        <f>$C$55*$S$44</f>
        <v>0</v>
      </c>
      <c r="F98" s="919"/>
      <c r="G98" s="198">
        <f>$C$55*$T$44</f>
        <v>0</v>
      </c>
      <c r="H98" s="198">
        <f>B98+E98</f>
        <v>3600</v>
      </c>
    </row>
  </sheetData>
  <mergeCells count="10">
    <mergeCell ref="B89:H89"/>
    <mergeCell ref="AE2:AG3"/>
    <mergeCell ref="B74:H74"/>
    <mergeCell ref="B88:H88"/>
    <mergeCell ref="B75:H75"/>
    <mergeCell ref="B62:H62"/>
    <mergeCell ref="R26:T26"/>
    <mergeCell ref="R25:T25"/>
    <mergeCell ref="B2:K3"/>
    <mergeCell ref="B63:H63"/>
  </mergeCells>
  <printOptions horizontalCentered="1"/>
  <pageMargins left="0.5" right="0.5" top="1" bottom="0.5" header="0.3" footer="0.511811023622047"/>
  <pageSetup paperSize="9" scale="33" orientation="portrait" r:id="rId1"/>
  <legacyDrawing r:id="rId2"/>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036E6-7C31-4DF7-948F-2D1D07C734CE}">
  <sheetPr codeName="Sheet84">
    <tabColor rgb="FF333F50"/>
    <pageSetUpPr fitToPage="1"/>
  </sheetPr>
  <dimension ref="A1:AG147"/>
  <sheetViews>
    <sheetView topLeftCell="R3" zoomScale="70" zoomScaleNormal="70" workbookViewId="0">
      <selection activeCell="Q43" sqref="Q43:T44"/>
    </sheetView>
  </sheetViews>
  <sheetFormatPr defaultColWidth="12.5" defaultRowHeight="14" x14ac:dyDescent="0.3"/>
  <cols>
    <col min="1" max="1" width="16.33203125" style="1" customWidth="1"/>
    <col min="2" max="2" width="30.9140625" customWidth="1"/>
    <col min="3" max="3" width="16.9140625" customWidth="1"/>
    <col min="4" max="4" width="19" customWidth="1"/>
    <col min="5" max="5" width="19.5" customWidth="1"/>
    <col min="6" max="6" width="23.08203125" customWidth="1"/>
    <col min="7" max="7" width="25.1640625" customWidth="1"/>
    <col min="8" max="8" width="36.1640625" customWidth="1"/>
    <col min="9" max="9" width="18" customWidth="1"/>
    <col min="12" max="12" width="8.33203125" customWidth="1"/>
    <col min="13" max="13" width="31.83203125" customWidth="1"/>
    <col min="18" max="18" width="32" customWidth="1"/>
    <col min="23" max="23" width="29.4140625" customWidth="1"/>
    <col min="24" max="24" width="31.6640625" customWidth="1"/>
  </cols>
  <sheetData>
    <row r="1" spans="1:33" ht="24" customHeight="1" x14ac:dyDescent="0.3">
      <c r="A1" s="79" t="s">
        <v>235</v>
      </c>
      <c r="B1" s="80">
        <v>1000</v>
      </c>
      <c r="C1" s="88" t="s">
        <v>317</v>
      </c>
      <c r="D1" s="89">
        <f>$S$30/J1</f>
        <v>53323.920866406101</v>
      </c>
      <c r="E1" s="90" t="s">
        <v>240</v>
      </c>
      <c r="F1" s="91" t="s">
        <v>318</v>
      </c>
      <c r="G1" s="90" t="s">
        <v>319</v>
      </c>
      <c r="H1" s="304">
        <f>H52</f>
        <v>30.97</v>
      </c>
      <c r="I1" s="92" t="s">
        <v>242</v>
      </c>
      <c r="J1" s="305">
        <v>0.58079000000000003</v>
      </c>
      <c r="K1" s="99"/>
      <c r="Y1" s="90" t="s">
        <v>463</v>
      </c>
      <c r="Z1" s="835">
        <v>30470</v>
      </c>
      <c r="AA1" s="90" t="s">
        <v>578</v>
      </c>
      <c r="AB1" s="835">
        <v>500</v>
      </c>
      <c r="AC1" s="90" t="s">
        <v>567</v>
      </c>
      <c r="AD1" s="835">
        <v>203</v>
      </c>
    </row>
    <row r="2" spans="1:33" ht="12.75" customHeight="1" x14ac:dyDescent="0.3">
      <c r="A2" s="264"/>
      <c r="B2" s="1450" t="s">
        <v>494</v>
      </c>
      <c r="C2" s="1458"/>
      <c r="D2" s="1458"/>
      <c r="E2" s="1458"/>
      <c r="F2" s="1458"/>
      <c r="G2" s="1458"/>
      <c r="H2" s="1458"/>
      <c r="I2" s="1458"/>
      <c r="J2" s="1458"/>
      <c r="K2" s="1458"/>
      <c r="L2" s="292"/>
      <c r="M2" s="99"/>
      <c r="N2" s="99"/>
      <c r="AE2" s="1433"/>
      <c r="AF2" s="1458"/>
      <c r="AG2" s="1458"/>
    </row>
    <row r="3" spans="1:33" ht="12.75" customHeight="1" x14ac:dyDescent="0.3">
      <c r="A3" s="264"/>
      <c r="B3" s="1444"/>
      <c r="C3" s="1444"/>
      <c r="D3" s="1444"/>
      <c r="E3" s="1444"/>
      <c r="F3" s="1444"/>
      <c r="G3" s="1444"/>
      <c r="H3" s="1444"/>
      <c r="I3" s="1444"/>
      <c r="J3" s="1444"/>
      <c r="K3" s="1444"/>
      <c r="L3" s="292"/>
      <c r="M3" s="99"/>
      <c r="N3" s="99"/>
      <c r="AE3" s="1458"/>
      <c r="AF3" s="1458"/>
      <c r="AG3" s="1458"/>
    </row>
    <row r="4" spans="1:33" ht="35.25" customHeight="1" x14ac:dyDescent="0.3">
      <c r="A4" s="90" t="s">
        <v>1</v>
      </c>
      <c r="B4" s="90" t="s">
        <v>717</v>
      </c>
      <c r="C4" s="306" t="s">
        <v>321</v>
      </c>
      <c r="D4" s="90" t="s">
        <v>322</v>
      </c>
      <c r="E4" s="107" t="s">
        <v>323</v>
      </c>
      <c r="F4" s="107" t="s">
        <v>324</v>
      </c>
      <c r="G4" s="307" t="s">
        <v>325</v>
      </c>
      <c r="H4" s="108" t="s">
        <v>326</v>
      </c>
      <c r="I4" s="90" t="s">
        <v>250</v>
      </c>
      <c r="J4" s="90" t="s">
        <v>251</v>
      </c>
      <c r="K4" s="90" t="s">
        <v>252</v>
      </c>
      <c r="L4" s="90" t="s">
        <v>253</v>
      </c>
    </row>
    <row r="5" spans="1:33" ht="14.25" customHeight="1" x14ac:dyDescent="0.3">
      <c r="A5" s="265" t="s">
        <v>225</v>
      </c>
      <c r="B5" s="308" t="s">
        <v>227</v>
      </c>
      <c r="C5" s="123" t="s">
        <v>14</v>
      </c>
      <c r="D5" s="267">
        <f>I51/H51</f>
        <v>1721.7927305910914</v>
      </c>
      <c r="E5" s="80">
        <f>I52/D5</f>
        <v>30.97</v>
      </c>
      <c r="F5" s="126">
        <v>1</v>
      </c>
      <c r="G5" s="116">
        <f>D1</f>
        <v>53323.920866406101</v>
      </c>
      <c r="H5" s="119">
        <f>D1</f>
        <v>53323.920866406101</v>
      </c>
      <c r="I5" s="80">
        <f>VLOOKUP(B5,All_Ingredients!$A$1:$F$149,6,FALSE())</f>
        <v>0.55000000000000004</v>
      </c>
      <c r="J5" s="118">
        <f>VLOOKUP(B5,All_Ingredients!$A$1:$J$149,10,FALSE())</f>
        <v>14.361111111111111</v>
      </c>
      <c r="K5" s="121">
        <f>(H5/I5)/1000</f>
        <v>96.95258339346563</v>
      </c>
      <c r="L5" s="121">
        <f>K5*J5</f>
        <v>1392.3468226228258</v>
      </c>
    </row>
    <row r="6" spans="1:33" ht="14.25" customHeight="1" x14ac:dyDescent="0.3">
      <c r="A6" s="269" t="s">
        <v>13</v>
      </c>
      <c r="B6" s="22" t="s">
        <v>17</v>
      </c>
      <c r="C6" s="123" t="s">
        <v>14</v>
      </c>
      <c r="D6" s="124">
        <v>100</v>
      </c>
      <c r="E6" s="196">
        <f t="shared" ref="E6:E15" si="0">$H$52</f>
        <v>30.97</v>
      </c>
      <c r="F6" s="126">
        <v>1</v>
      </c>
      <c r="G6" s="613">
        <f t="shared" ref="G6:G15" si="1">E6*D6</f>
        <v>3097</v>
      </c>
      <c r="H6" s="119">
        <f t="shared" ref="H6:H15" si="2">G6*F6</f>
        <v>3097</v>
      </c>
      <c r="I6" s="80">
        <f>VLOOKUP(B6,All_Ingredients!$A$1:$F$149,6,FALSE())</f>
        <v>0.98</v>
      </c>
      <c r="J6" s="118">
        <f>VLOOKUP(B6,All_Ingredients!$A$1:$J$149,10,FALSE())</f>
        <v>3.5</v>
      </c>
      <c r="K6" s="121">
        <f t="shared" ref="K6:K15" si="3">(H6/I6)/1000</f>
        <v>3.1602040816326529</v>
      </c>
      <c r="L6" s="121">
        <f t="shared" ref="L6:L15" si="4">K6*J6</f>
        <v>11.060714285714285</v>
      </c>
    </row>
    <row r="7" spans="1:33" ht="14.25" customHeight="1" x14ac:dyDescent="0.3">
      <c r="A7" s="269" t="s">
        <v>95</v>
      </c>
      <c r="B7" s="22" t="s">
        <v>137</v>
      </c>
      <c r="C7" s="123" t="s">
        <v>14</v>
      </c>
      <c r="D7" s="124">
        <v>19</v>
      </c>
      <c r="E7" s="196">
        <f t="shared" si="0"/>
        <v>30.97</v>
      </c>
      <c r="F7" s="126">
        <v>0.7</v>
      </c>
      <c r="G7" s="613">
        <f t="shared" si="1"/>
        <v>588.42999999999995</v>
      </c>
      <c r="H7" s="119">
        <f t="shared" si="2"/>
        <v>411.90099999999995</v>
      </c>
      <c r="I7" s="80">
        <f>VLOOKUP(B7,All_Ingredients!$A$1:$F$149,6,FALSE())</f>
        <v>1</v>
      </c>
      <c r="J7" s="118">
        <f>VLOOKUP(B7,All_Ingredients!$A$1:$J$149,10,FALSE())</f>
        <v>43.75</v>
      </c>
      <c r="K7" s="121">
        <f t="shared" si="3"/>
        <v>0.41190099999999996</v>
      </c>
      <c r="L7" s="121">
        <f t="shared" si="4"/>
        <v>18.020668749999999</v>
      </c>
    </row>
    <row r="8" spans="1:33" ht="14.25" customHeight="1" x14ac:dyDescent="0.3">
      <c r="A8" s="269" t="s">
        <v>95</v>
      </c>
      <c r="B8" s="22" t="s">
        <v>106</v>
      </c>
      <c r="C8" s="123" t="s">
        <v>14</v>
      </c>
      <c r="D8" s="124">
        <v>20</v>
      </c>
      <c r="E8" s="196">
        <f t="shared" si="0"/>
        <v>30.97</v>
      </c>
      <c r="F8" s="126">
        <v>0.7</v>
      </c>
      <c r="G8" s="613">
        <f t="shared" si="1"/>
        <v>619.4</v>
      </c>
      <c r="H8" s="119">
        <f t="shared" si="2"/>
        <v>433.58</v>
      </c>
      <c r="I8" s="80">
        <f>VLOOKUP(B8,All_Ingredients!$A$1:$F$149,6,FALSE())</f>
        <v>1</v>
      </c>
      <c r="J8" s="118">
        <f>VLOOKUP(B8,All_Ingredients!$A$1:$J$149,10,FALSE())</f>
        <v>15</v>
      </c>
      <c r="K8" s="121">
        <f t="shared" si="3"/>
        <v>0.43357999999999997</v>
      </c>
      <c r="L8" s="121">
        <f t="shared" si="4"/>
        <v>6.5036999999999994</v>
      </c>
    </row>
    <row r="9" spans="1:33" ht="14.25" customHeight="1" x14ac:dyDescent="0.3">
      <c r="A9" s="269" t="s">
        <v>192</v>
      </c>
      <c r="B9" s="22" t="s">
        <v>731</v>
      </c>
      <c r="C9" s="123" t="s">
        <v>14</v>
      </c>
      <c r="D9" s="124">
        <v>130</v>
      </c>
      <c r="E9" s="196">
        <f t="shared" si="0"/>
        <v>30.97</v>
      </c>
      <c r="F9" s="126">
        <v>0.85</v>
      </c>
      <c r="G9" s="613">
        <f t="shared" si="1"/>
        <v>4026.1</v>
      </c>
      <c r="H9" s="119">
        <f t="shared" si="2"/>
        <v>3422.1849999999999</v>
      </c>
      <c r="I9" s="80">
        <f>VLOOKUP(B9,All_Ingredients!$A$1:$F$149,6,FALSE())</f>
        <v>1</v>
      </c>
      <c r="J9" s="118">
        <f>VLOOKUP(B9,All_Ingredients!$A$1:$J$149,10,FALSE())</f>
        <v>8.1520833333333336</v>
      </c>
      <c r="K9" s="121">
        <f t="shared" si="3"/>
        <v>3.4221849999999998</v>
      </c>
      <c r="L9" s="121">
        <f t="shared" si="4"/>
        <v>27.897937302083331</v>
      </c>
    </row>
    <row r="10" spans="1:33" ht="14.25" customHeight="1" x14ac:dyDescent="0.3">
      <c r="A10" s="269" t="s">
        <v>13</v>
      </c>
      <c r="B10" s="22" t="s">
        <v>49</v>
      </c>
      <c r="C10" s="123" t="s">
        <v>14</v>
      </c>
      <c r="D10" s="124">
        <v>200</v>
      </c>
      <c r="E10" s="196">
        <f t="shared" si="0"/>
        <v>30.97</v>
      </c>
      <c r="F10" s="126">
        <v>0.85</v>
      </c>
      <c r="G10" s="613">
        <f t="shared" si="1"/>
        <v>6194</v>
      </c>
      <c r="H10" s="119">
        <f t="shared" si="2"/>
        <v>5264.9</v>
      </c>
      <c r="I10" s="80">
        <f>VLOOKUP(B10,All_Ingredients!$A$1:$F$149,6,FALSE())</f>
        <v>0.5</v>
      </c>
      <c r="J10" s="118">
        <f>VLOOKUP(B10,All_Ingredients!$A$1:$J$149,10,FALSE())</f>
        <v>4.5</v>
      </c>
      <c r="K10" s="121">
        <f t="shared" si="3"/>
        <v>10.5298</v>
      </c>
      <c r="L10" s="121">
        <f t="shared" si="4"/>
        <v>47.384099999999997</v>
      </c>
    </row>
    <row r="11" spans="1:33" ht="14.25" customHeight="1" x14ac:dyDescent="0.3">
      <c r="A11" s="269" t="s">
        <v>206</v>
      </c>
      <c r="B11" s="22" t="s">
        <v>208</v>
      </c>
      <c r="C11" s="123" t="s">
        <v>161</v>
      </c>
      <c r="D11" s="124">
        <v>35</v>
      </c>
      <c r="E11" s="196">
        <f t="shared" si="0"/>
        <v>30.97</v>
      </c>
      <c r="F11" s="126">
        <v>0.75</v>
      </c>
      <c r="G11" s="613">
        <f t="shared" si="1"/>
        <v>1083.95</v>
      </c>
      <c r="H11" s="119">
        <f t="shared" si="2"/>
        <v>812.96250000000009</v>
      </c>
      <c r="I11" s="80">
        <f>VLOOKUP(B11,All_Ingredients!$A$1:$F$149,6,FALSE())</f>
        <v>1</v>
      </c>
      <c r="J11" s="118">
        <f>VLOOKUP(B11,All_Ingredients!$A$1:$J$149,10,FALSE())</f>
        <v>14.760802469135802</v>
      </c>
      <c r="K11" s="121">
        <f t="shared" si="3"/>
        <v>0.81296250000000014</v>
      </c>
      <c r="L11" s="121">
        <f t="shared" si="4"/>
        <v>11.999978877314817</v>
      </c>
    </row>
    <row r="12" spans="1:33" ht="14.25" customHeight="1" x14ac:dyDescent="0.3">
      <c r="A12" s="269" t="s">
        <v>206</v>
      </c>
      <c r="B12" s="22" t="s">
        <v>205</v>
      </c>
      <c r="C12" s="123" t="s">
        <v>161</v>
      </c>
      <c r="D12" s="124">
        <v>800</v>
      </c>
      <c r="E12" s="196">
        <f t="shared" si="0"/>
        <v>30.97</v>
      </c>
      <c r="F12" s="126">
        <v>1</v>
      </c>
      <c r="G12" s="613">
        <f t="shared" si="1"/>
        <v>24776</v>
      </c>
      <c r="H12" s="119">
        <f t="shared" si="2"/>
        <v>24776</v>
      </c>
      <c r="I12" s="80">
        <f>VLOOKUP(B12,All_Ingredients!$A$1:$F$149,6,FALSE())</f>
        <v>1</v>
      </c>
      <c r="J12" s="118">
        <f>VLOOKUP(B12,All_Ingredients!$A$1:$J$149,10,FALSE())</f>
        <v>0</v>
      </c>
      <c r="K12" s="121">
        <f t="shared" si="3"/>
        <v>24.776</v>
      </c>
      <c r="L12" s="121">
        <f t="shared" si="4"/>
        <v>0</v>
      </c>
    </row>
    <row r="13" spans="1:33" ht="14.25" customHeight="1" x14ac:dyDescent="0.3">
      <c r="A13" s="269" t="s">
        <v>13</v>
      </c>
      <c r="B13" s="22" t="s">
        <v>762</v>
      </c>
      <c r="C13" s="123" t="s">
        <v>14</v>
      </c>
      <c r="D13" s="124">
        <v>30</v>
      </c>
      <c r="E13" s="196">
        <f t="shared" si="0"/>
        <v>30.97</v>
      </c>
      <c r="F13" s="126">
        <v>0.4</v>
      </c>
      <c r="G13" s="613">
        <f t="shared" si="1"/>
        <v>929.09999999999991</v>
      </c>
      <c r="H13" s="119">
        <f t="shared" si="2"/>
        <v>371.64</v>
      </c>
      <c r="I13" s="80">
        <f>VLOOKUP(B13,All_Ingredients!$A$1:$F$149,6,FALSE())</f>
        <v>1</v>
      </c>
      <c r="J13" s="118">
        <f>VLOOKUP(B13,All_Ingredients!$A$1:$J$149,10,FALSE())</f>
        <v>10.5</v>
      </c>
      <c r="K13" s="121">
        <f t="shared" si="3"/>
        <v>0.37163999999999997</v>
      </c>
      <c r="L13" s="121">
        <f t="shared" si="4"/>
        <v>3.9022199999999998</v>
      </c>
    </row>
    <row r="14" spans="1:33" ht="14.25" customHeight="1" x14ac:dyDescent="0.3">
      <c r="A14" s="269" t="s">
        <v>154</v>
      </c>
      <c r="B14" s="22" t="s">
        <v>164</v>
      </c>
      <c r="C14" s="123" t="s">
        <v>14</v>
      </c>
      <c r="D14" s="124">
        <v>300</v>
      </c>
      <c r="E14" s="196">
        <f t="shared" si="0"/>
        <v>30.97</v>
      </c>
      <c r="F14" s="126">
        <v>0.5</v>
      </c>
      <c r="G14" s="613">
        <f t="shared" si="1"/>
        <v>9291</v>
      </c>
      <c r="H14" s="119">
        <f t="shared" si="2"/>
        <v>4645.5</v>
      </c>
      <c r="I14" s="80">
        <f>VLOOKUP(B14,All_Ingredients!$A$1:$F$149,6,FALSE())</f>
        <v>1</v>
      </c>
      <c r="J14" s="118">
        <f>VLOOKUP(B14,All_Ingredients!$A$1:$J$149,10,FALSE())</f>
        <v>6.6959999999999997</v>
      </c>
      <c r="K14" s="121">
        <f t="shared" si="3"/>
        <v>4.6455000000000002</v>
      </c>
      <c r="L14" s="121">
        <f t="shared" si="4"/>
        <v>31.106268</v>
      </c>
    </row>
    <row r="15" spans="1:33" ht="15" customHeight="1" x14ac:dyDescent="0.3">
      <c r="A15" s="269" t="s">
        <v>182</v>
      </c>
      <c r="B15" s="22" t="s">
        <v>186</v>
      </c>
      <c r="C15" s="123" t="s">
        <v>14</v>
      </c>
      <c r="D15" s="124">
        <v>35</v>
      </c>
      <c r="E15" s="196">
        <f t="shared" si="0"/>
        <v>30.97</v>
      </c>
      <c r="F15" s="126">
        <v>0.5</v>
      </c>
      <c r="G15" s="613">
        <f t="shared" si="1"/>
        <v>1083.95</v>
      </c>
      <c r="H15" s="119">
        <f t="shared" si="2"/>
        <v>541.97500000000002</v>
      </c>
      <c r="I15" s="80">
        <f>VLOOKUP(B15,All_Ingredients!$A$1:$F$149,6,FALSE())</f>
        <v>1</v>
      </c>
      <c r="J15" s="118">
        <f>VLOOKUP(B15,All_Ingredients!$A$1:$J$149,10,FALSE())</f>
        <v>17.5</v>
      </c>
      <c r="K15" s="121">
        <f t="shared" si="3"/>
        <v>0.54197499999999998</v>
      </c>
      <c r="L15" s="121">
        <f t="shared" si="4"/>
        <v>9.4845624999999991</v>
      </c>
    </row>
    <row r="19" spans="1:29" ht="14.25" customHeight="1" x14ac:dyDescent="0.3">
      <c r="A19" s="99"/>
      <c r="F19" s="99"/>
      <c r="L19" s="208"/>
    </row>
    <row r="20" spans="1:29" ht="14.25" customHeight="1" x14ac:dyDescent="0.3">
      <c r="A20" s="99"/>
      <c r="F20" s="99"/>
      <c r="L20" s="208"/>
    </row>
    <row r="21" spans="1:29" ht="14.25" customHeight="1" x14ac:dyDescent="0.3">
      <c r="A21" s="99"/>
      <c r="F21" s="99"/>
    </row>
    <row r="22" spans="1:29" ht="14.25" customHeight="1" x14ac:dyDescent="0.3">
      <c r="A22" s="99"/>
      <c r="F22" s="99"/>
    </row>
    <row r="23" spans="1:29" ht="14.25" customHeight="1" x14ac:dyDescent="0.3">
      <c r="A23" s="99"/>
      <c r="F23" s="99"/>
    </row>
    <row r="24" spans="1:29" ht="14.25" customHeight="1" x14ac:dyDescent="0.3">
      <c r="A24" s="99"/>
      <c r="F24" s="99"/>
      <c r="Z24" s="1265"/>
    </row>
    <row r="25" spans="1:29" ht="15.75" customHeight="1" x14ac:dyDescent="0.35">
      <c r="F25" s="99"/>
      <c r="R25" s="1528" t="str">
        <f>B2</f>
        <v>Beef Kabli- كابلي لحم</v>
      </c>
      <c r="S25" s="1516"/>
      <c r="T25" s="1516"/>
      <c r="U25" s="1194"/>
      <c r="Z25" s="140" t="s">
        <v>256</v>
      </c>
      <c r="AA25" s="141">
        <v>1</v>
      </c>
      <c r="AB25" s="140" t="s">
        <v>253</v>
      </c>
      <c r="AC25" s="142">
        <f>AC30*AA25</f>
        <v>5.0476573210782631E-2</v>
      </c>
    </row>
    <row r="26" spans="1:29" ht="14.25" customHeight="1" x14ac:dyDescent="0.3">
      <c r="F26" s="99"/>
      <c r="R26" s="1445" t="s">
        <v>328</v>
      </c>
      <c r="S26" s="1521"/>
      <c r="T26" s="1521"/>
      <c r="U26" s="1194"/>
      <c r="AB26" s="14"/>
      <c r="AC26" s="14"/>
    </row>
    <row r="27" spans="1:29" ht="14.25" customHeight="1" thickBot="1" x14ac:dyDescent="0.35">
      <c r="F27" s="99"/>
      <c r="R27" s="144" t="s">
        <v>258</v>
      </c>
      <c r="S27" s="145" t="s">
        <v>259</v>
      </c>
      <c r="T27" s="145" t="s">
        <v>261</v>
      </c>
      <c r="U27" s="145" t="s">
        <v>817</v>
      </c>
      <c r="Z27" s="140" t="s">
        <v>262</v>
      </c>
      <c r="AA27" s="146" t="s">
        <v>263</v>
      </c>
      <c r="AB27" s="1167" t="s">
        <v>817</v>
      </c>
      <c r="AC27" s="146" t="s">
        <v>266</v>
      </c>
    </row>
    <row r="28" spans="1:29" ht="14.25" customHeight="1" thickBot="1" x14ac:dyDescent="0.35">
      <c r="B28" s="178"/>
      <c r="C28" s="317"/>
      <c r="D28" s="297"/>
      <c r="E28" s="317"/>
      <c r="F28" s="99"/>
      <c r="R28" s="147" t="s">
        <v>329</v>
      </c>
      <c r="S28" s="760">
        <f>Z1</f>
        <v>30470</v>
      </c>
      <c r="T28" s="754">
        <f>S28</f>
        <v>30470</v>
      </c>
      <c r="U28" s="754">
        <f>SUM(H37)</f>
        <v>203</v>
      </c>
      <c r="Z28" s="150"/>
      <c r="AA28" s="151">
        <f>AA25</f>
        <v>1</v>
      </c>
      <c r="AB28" s="1169"/>
      <c r="AC28" s="153">
        <f>SUM(AA28:AB28)</f>
        <v>1</v>
      </c>
    </row>
    <row r="29" spans="1:29" ht="14.25" customHeight="1" thickBot="1" x14ac:dyDescent="0.35">
      <c r="B29" s="178"/>
      <c r="C29" s="317"/>
      <c r="D29" s="297"/>
      <c r="E29" s="317"/>
      <c r="F29" s="99"/>
      <c r="R29" s="147" t="s">
        <v>330</v>
      </c>
      <c r="S29" s="782">
        <f>AB1</f>
        <v>500</v>
      </c>
      <c r="T29" s="756">
        <f>S29</f>
        <v>500</v>
      </c>
      <c r="U29" s="756"/>
      <c r="Z29" s="150"/>
      <c r="AA29" s="155">
        <v>1</v>
      </c>
      <c r="AB29" s="1173"/>
      <c r="AC29" s="155">
        <f>AC28/$AC$28</f>
        <v>1</v>
      </c>
    </row>
    <row r="30" spans="1:29" ht="14.25" customHeight="1" thickBot="1" x14ac:dyDescent="0.35">
      <c r="B30" s="178"/>
      <c r="C30" s="317"/>
      <c r="D30" s="297"/>
      <c r="E30" s="317"/>
      <c r="F30" s="99"/>
      <c r="R30" s="159" t="s">
        <v>331</v>
      </c>
      <c r="S30" s="148">
        <f>S28+S29</f>
        <v>30970</v>
      </c>
      <c r="T30" s="148">
        <f>T28+T29</f>
        <v>30970</v>
      </c>
      <c r="U30" s="148">
        <f>U28+U29</f>
        <v>203</v>
      </c>
      <c r="Z30" s="140" t="s">
        <v>270</v>
      </c>
      <c r="AA30" s="156">
        <f>S33/(S30)</f>
        <v>5.0361865429058385E-2</v>
      </c>
      <c r="AB30" s="1180">
        <f>U33/T30</f>
        <v>1.1470778172424928E-4</v>
      </c>
      <c r="AC30" s="1182">
        <f>SUMPRODUCT(AA30,AA29)+AB30</f>
        <v>5.0476573210782631E-2</v>
      </c>
    </row>
    <row r="31" spans="1:29" ht="14.25" customHeight="1" thickBot="1" x14ac:dyDescent="0.35">
      <c r="B31" s="178"/>
      <c r="C31" s="317"/>
      <c r="D31" s="297"/>
      <c r="E31" s="317"/>
      <c r="F31" s="99"/>
      <c r="R31" s="160" t="s">
        <v>272</v>
      </c>
      <c r="S31" s="154"/>
      <c r="T31" s="154"/>
      <c r="U31" s="154"/>
    </row>
    <row r="32" spans="1:29" ht="14.25" customHeight="1" thickBot="1" x14ac:dyDescent="0.35">
      <c r="B32" s="178"/>
      <c r="C32" s="317"/>
      <c r="D32" s="297"/>
      <c r="E32" s="317"/>
      <c r="F32" s="99"/>
      <c r="R32" s="161" t="s">
        <v>273</v>
      </c>
      <c r="S32" s="154"/>
      <c r="T32" s="154"/>
      <c r="U32" s="154"/>
    </row>
    <row r="33" spans="2:23" ht="14.25" customHeight="1" thickBot="1" x14ac:dyDescent="0.35">
      <c r="R33" s="162" t="s">
        <v>253</v>
      </c>
      <c r="S33" s="163">
        <f>SUM(L5:L15)</f>
        <v>1559.7069723379382</v>
      </c>
      <c r="T33" s="163">
        <f>S33+U33</f>
        <v>1563.2594723379382</v>
      </c>
      <c r="U33" s="163">
        <f>SUM(L37)</f>
        <v>3.5525000000000002</v>
      </c>
    </row>
    <row r="34" spans="2:23" ht="14.25" customHeight="1" x14ac:dyDescent="0.3"/>
    <row r="35" spans="2:23" ht="14.25" customHeight="1" x14ac:dyDescent="0.3">
      <c r="B35" s="1441" t="s">
        <v>700</v>
      </c>
      <c r="C35" s="1441"/>
      <c r="D35" s="1441"/>
      <c r="E35" s="1441"/>
      <c r="F35" s="1441"/>
      <c r="G35" s="877"/>
      <c r="H35" s="877"/>
      <c r="I35" s="877"/>
      <c r="J35" s="877"/>
      <c r="K35" s="877"/>
      <c r="L35" s="877"/>
    </row>
    <row r="36" spans="2:23" ht="14.25" customHeight="1" x14ac:dyDescent="0.3">
      <c r="B36" s="848" t="s">
        <v>717</v>
      </c>
      <c r="C36" s="848" t="s">
        <v>321</v>
      </c>
      <c r="D36" s="850" t="s">
        <v>645</v>
      </c>
      <c r="E36" s="847" t="s">
        <v>646</v>
      </c>
      <c r="F36" s="850" t="s">
        <v>647</v>
      </c>
      <c r="G36" s="870"/>
      <c r="H36" s="850" t="s">
        <v>647</v>
      </c>
      <c r="I36" s="850" t="s">
        <v>250</v>
      </c>
      <c r="J36" s="850" t="s">
        <v>251</v>
      </c>
      <c r="K36" s="850" t="s">
        <v>252</v>
      </c>
      <c r="L36" s="850" t="s">
        <v>253</v>
      </c>
    </row>
    <row r="37" spans="2:23" ht="14.25" customHeight="1" x14ac:dyDescent="0.3">
      <c r="B37" s="843" t="s">
        <v>186</v>
      </c>
      <c r="C37" s="844" t="s">
        <v>14</v>
      </c>
      <c r="D37" s="845">
        <v>1</v>
      </c>
      <c r="E37" s="843">
        <f>$AD$1</f>
        <v>203</v>
      </c>
      <c r="F37" s="843">
        <f>D37*E37</f>
        <v>203</v>
      </c>
      <c r="G37" s="869"/>
      <c r="H37" s="843">
        <f>F37</f>
        <v>203</v>
      </c>
      <c r="I37" s="843">
        <f>VLOOKUP(B37,All_Ingredients!$A$1:$F$149,6,FALSE())</f>
        <v>1</v>
      </c>
      <c r="J37" s="843">
        <f>VLOOKUP(B37,All_Ingredients!$A$1:$J$149,10,FALSE())</f>
        <v>17.5</v>
      </c>
      <c r="K37" s="843">
        <f>(H37/I37)/1000</f>
        <v>0.20300000000000001</v>
      </c>
      <c r="L37" s="843">
        <f>K37*J37</f>
        <v>3.5525000000000002</v>
      </c>
    </row>
    <row r="38" spans="2:23" ht="14.25" customHeight="1" x14ac:dyDescent="0.3">
      <c r="B38" s="178"/>
      <c r="C38" s="317"/>
      <c r="D38" s="297"/>
      <c r="E38" s="317"/>
      <c r="F38" s="99"/>
    </row>
    <row r="39" spans="2:23" ht="14.25" customHeight="1" x14ac:dyDescent="0.3">
      <c r="B39" s="178"/>
      <c r="C39" s="317"/>
      <c r="D39" s="297"/>
      <c r="E39" s="317"/>
      <c r="F39" s="99"/>
    </row>
    <row r="40" spans="2:23" ht="14.25" customHeight="1" x14ac:dyDescent="0.3">
      <c r="B40" s="178"/>
      <c r="C40" s="317"/>
      <c r="D40" s="297"/>
      <c r="E40" s="317"/>
      <c r="F40" s="99"/>
      <c r="Q40" s="14"/>
      <c r="R40" s="164" t="s">
        <v>332</v>
      </c>
      <c r="S40" s="238">
        <v>1</v>
      </c>
    </row>
    <row r="41" spans="2:23" ht="14.25" customHeight="1" x14ac:dyDescent="0.3">
      <c r="B41" s="178"/>
      <c r="C41" s="317"/>
      <c r="D41" s="297"/>
      <c r="E41" s="317"/>
      <c r="F41" s="99"/>
      <c r="Q41" s="14"/>
      <c r="R41" s="14"/>
      <c r="S41" s="14"/>
      <c r="T41" s="14"/>
      <c r="U41" s="168"/>
      <c r="V41" s="14"/>
      <c r="W41" s="14"/>
    </row>
    <row r="42" spans="2:23" ht="14.25" customHeight="1" x14ac:dyDescent="0.3">
      <c r="B42" s="178"/>
      <c r="C42" s="317"/>
      <c r="D42" s="297"/>
      <c r="E42" s="317"/>
      <c r="F42" s="99"/>
      <c r="Q42" s="14"/>
      <c r="R42" s="14"/>
      <c r="S42" s="14"/>
      <c r="T42" s="14"/>
      <c r="U42" s="14"/>
      <c r="V42" s="14"/>
      <c r="W42" s="14"/>
    </row>
    <row r="43" spans="2:23" ht="14.25" customHeight="1" x14ac:dyDescent="0.3">
      <c r="B43" s="178"/>
      <c r="C43" s="317"/>
      <c r="D43" s="297"/>
      <c r="E43" s="317"/>
      <c r="F43" s="99"/>
      <c r="Q43" s="169" t="s">
        <v>276</v>
      </c>
      <c r="R43" s="169" t="s">
        <v>277</v>
      </c>
      <c r="S43" s="169" t="s">
        <v>278</v>
      </c>
      <c r="T43" s="169" t="s">
        <v>279</v>
      </c>
      <c r="U43" s="169" t="s">
        <v>280</v>
      </c>
      <c r="V43" s="169" t="s">
        <v>281</v>
      </c>
      <c r="W43" s="257" t="s">
        <v>333</v>
      </c>
    </row>
    <row r="44" spans="2:23" ht="14.25" customHeight="1" x14ac:dyDescent="0.3">
      <c r="B44" s="178"/>
      <c r="C44" s="317"/>
      <c r="D44" s="297"/>
      <c r="E44" s="317"/>
      <c r="F44" s="99"/>
      <c r="Q44" s="171">
        <v>10000</v>
      </c>
      <c r="R44" s="172">
        <v>0</v>
      </c>
      <c r="S44" s="240">
        <v>0</v>
      </c>
      <c r="T44" s="240">
        <v>0</v>
      </c>
      <c r="U44" s="241">
        <f>R44*S44</f>
        <v>0</v>
      </c>
      <c r="V44" s="175">
        <f>R44*T44</f>
        <v>0</v>
      </c>
      <c r="W44" s="259">
        <f>Q44-U44</f>
        <v>10000</v>
      </c>
    </row>
    <row r="45" spans="2:23" ht="14.25" customHeight="1" x14ac:dyDescent="0.3">
      <c r="B45" s="178"/>
      <c r="C45" s="317"/>
      <c r="D45" s="297"/>
      <c r="E45" s="317"/>
      <c r="F45" s="99"/>
    </row>
    <row r="46" spans="2:23" ht="14.25" customHeight="1" x14ac:dyDescent="0.3">
      <c r="B46" s="178"/>
      <c r="C46" s="317"/>
      <c r="D46" s="297"/>
      <c r="E46" s="317"/>
      <c r="F46" s="99"/>
    </row>
    <row r="47" spans="2:23" ht="14.25" customHeight="1" x14ac:dyDescent="0.3">
      <c r="B47" s="178"/>
      <c r="C47" s="317"/>
      <c r="D47" s="297"/>
      <c r="E47" s="317"/>
      <c r="F47" s="99"/>
    </row>
    <row r="48" spans="2:23" ht="14.25" customHeight="1" x14ac:dyDescent="0.3">
      <c r="B48" s="178"/>
      <c r="C48" s="317"/>
      <c r="D48" s="297"/>
      <c r="E48" s="317"/>
      <c r="F48" s="99"/>
    </row>
    <row r="49" spans="1:10" ht="14.25" customHeight="1" x14ac:dyDescent="0.3">
      <c r="B49" s="178"/>
      <c r="C49" s="317"/>
      <c r="D49" s="297"/>
      <c r="E49" s="317"/>
      <c r="F49" s="99"/>
    </row>
    <row r="50" spans="1:10" ht="14.25" customHeight="1" thickBot="1" x14ac:dyDescent="0.35">
      <c r="B50" s="178"/>
      <c r="C50" s="317"/>
      <c r="D50" s="297"/>
      <c r="E50" s="317"/>
      <c r="F50" s="99"/>
      <c r="G50" s="145" t="s">
        <v>284</v>
      </c>
      <c r="H50" s="145" t="s">
        <v>237</v>
      </c>
      <c r="I50" s="145" t="s">
        <v>285</v>
      </c>
      <c r="J50" s="145" t="s">
        <v>286</v>
      </c>
    </row>
    <row r="51" spans="1:10" ht="14.25" customHeight="1" thickBot="1" x14ac:dyDescent="0.35">
      <c r="B51" s="178"/>
      <c r="C51" s="317"/>
      <c r="D51" s="297"/>
      <c r="E51" s="317"/>
      <c r="F51" s="99"/>
      <c r="G51" s="309" t="s">
        <v>469</v>
      </c>
      <c r="H51" s="310">
        <v>10</v>
      </c>
      <c r="I51" s="310">
        <f t="shared" ref="I51:I58" si="5">J51/$J$1</f>
        <v>17217.927305910915</v>
      </c>
      <c r="J51" s="311">
        <f>$W$44</f>
        <v>10000</v>
      </c>
    </row>
    <row r="52" spans="1:10" ht="14.25" customHeight="1" x14ac:dyDescent="0.3">
      <c r="B52" s="178"/>
      <c r="C52" s="317"/>
      <c r="D52" s="297"/>
      <c r="E52" s="317"/>
      <c r="F52" s="99"/>
      <c r="G52" s="161" t="s">
        <v>266</v>
      </c>
      <c r="H52" s="312">
        <f>$E$5</f>
        <v>30.97</v>
      </c>
      <c r="I52" s="313">
        <f t="shared" si="5"/>
        <v>53323.920866406101</v>
      </c>
      <c r="J52" s="314">
        <f>$S$30</f>
        <v>30970</v>
      </c>
    </row>
    <row r="53" spans="1:10" ht="14.25" customHeight="1" x14ac:dyDescent="0.3">
      <c r="B53" s="178"/>
      <c r="C53" s="317"/>
      <c r="D53" s="297"/>
      <c r="E53" s="317"/>
      <c r="F53" s="99"/>
      <c r="G53" s="147" t="s">
        <v>288</v>
      </c>
      <c r="H53" s="315">
        <f>MIN(H52, H51)</f>
        <v>10</v>
      </c>
      <c r="I53" s="175">
        <f t="shared" si="5"/>
        <v>17217.927305910915</v>
      </c>
      <c r="J53" s="614">
        <f>MIN(J52, J51)</f>
        <v>10000</v>
      </c>
    </row>
    <row r="54" spans="1:10" ht="14.25" customHeight="1" x14ac:dyDescent="0.3">
      <c r="B54" s="178"/>
      <c r="C54" s="317"/>
      <c r="D54" s="297"/>
      <c r="E54" s="317"/>
      <c r="F54" s="99"/>
      <c r="G54" s="147" t="s">
        <v>289</v>
      </c>
      <c r="H54" s="315">
        <f>MIN(MAX($H$52-H53,0),H51)</f>
        <v>10</v>
      </c>
      <c r="I54" s="175">
        <f t="shared" si="5"/>
        <v>17217.927305910915</v>
      </c>
      <c r="J54" s="614">
        <f>MIN(MAX(J52-J53,0),J51)</f>
        <v>10000</v>
      </c>
    </row>
    <row r="55" spans="1:10" ht="14.25" customHeight="1" x14ac:dyDescent="0.3">
      <c r="B55" s="178"/>
      <c r="C55" s="317"/>
      <c r="D55" s="297"/>
      <c r="E55" s="317"/>
      <c r="F55" s="99"/>
      <c r="G55" s="144" t="s">
        <v>290</v>
      </c>
      <c r="H55" s="315">
        <f>MIN(MAX(H52-H53-H54,0),H51)</f>
        <v>10</v>
      </c>
      <c r="I55" s="175">
        <f t="shared" si="5"/>
        <v>17217.927305910915</v>
      </c>
      <c r="J55" s="614">
        <f>MIN(MAX(J52-J53-J54,0),J51)</f>
        <v>10000</v>
      </c>
    </row>
    <row r="56" spans="1:10" ht="14.25" customHeight="1" x14ac:dyDescent="0.3">
      <c r="B56" s="178"/>
      <c r="C56" s="317"/>
      <c r="D56" s="297"/>
      <c r="E56" s="317"/>
      <c r="F56" s="99"/>
      <c r="G56" s="144" t="s">
        <v>297</v>
      </c>
      <c r="H56" s="315">
        <f>MIN(MAX(H52-H53-H54-H55,0),H51)</f>
        <v>0.96999999999999886</v>
      </c>
      <c r="I56" s="175">
        <f t="shared" si="5"/>
        <v>1670.1389486733585</v>
      </c>
      <c r="J56" s="614">
        <f>MIN(MAX(J52-J53-J54-J55,0),J51)</f>
        <v>970</v>
      </c>
    </row>
    <row r="57" spans="1:10" ht="14.25" customHeight="1" x14ac:dyDescent="0.3">
      <c r="B57" s="178"/>
      <c r="C57" s="317"/>
      <c r="D57" s="297"/>
      <c r="E57" s="317"/>
      <c r="F57" s="99"/>
      <c r="G57" s="144" t="s">
        <v>348</v>
      </c>
      <c r="H57" s="315">
        <f>MIN(MAX(H52-H53-H54-H55-H56,0),H51)</f>
        <v>0</v>
      </c>
      <c r="I57" s="175">
        <f t="shared" si="5"/>
        <v>0</v>
      </c>
      <c r="J57" s="614">
        <f>MIN(MAX(J52-J53-J54-J55-J56,0),J51)</f>
        <v>0</v>
      </c>
    </row>
    <row r="58" spans="1:10" ht="14.25" customHeight="1" x14ac:dyDescent="0.3">
      <c r="B58" s="178"/>
      <c r="C58" s="317"/>
      <c r="D58" s="297"/>
      <c r="E58" s="317"/>
      <c r="F58" s="99"/>
      <c r="G58" s="144" t="s">
        <v>461</v>
      </c>
      <c r="H58" s="315">
        <f>MIN(MAX(H52-H53-H54-H55-H56-H57,0),H51)</f>
        <v>0</v>
      </c>
      <c r="I58" s="175">
        <f t="shared" si="5"/>
        <v>0</v>
      </c>
      <c r="J58" s="614">
        <f>MIN(MAX(J52-J53-J54-J55-J56-J57,0),J51)</f>
        <v>0</v>
      </c>
    </row>
    <row r="59" spans="1:10" ht="14.25" customHeight="1" x14ac:dyDescent="0.3">
      <c r="B59" s="178"/>
      <c r="C59" s="317"/>
      <c r="D59" s="297"/>
      <c r="E59" s="317"/>
      <c r="F59" s="99"/>
    </row>
    <row r="60" spans="1:10" ht="14.25" customHeight="1" x14ac:dyDescent="0.3">
      <c r="B60" s="99"/>
      <c r="E60" s="99"/>
      <c r="F60" s="99"/>
    </row>
    <row r="61" spans="1:10" ht="14.25" customHeight="1" x14ac:dyDescent="0.3">
      <c r="B61" s="99"/>
      <c r="E61" s="99"/>
      <c r="F61" s="99"/>
    </row>
    <row r="62" spans="1:10" ht="17.75" customHeight="1" x14ac:dyDescent="0.3">
      <c r="A62" s="321"/>
      <c r="B62" s="1447" t="str">
        <f>"كابلى لحم 1 / " &amp; COUNTIF($H$53:$H$58, "&gt;0")</f>
        <v>كابلى لحم 1 / 4</v>
      </c>
      <c r="C62" s="1456"/>
      <c r="D62" s="1456"/>
      <c r="E62" s="1456"/>
      <c r="F62" s="1456"/>
      <c r="G62" s="1456"/>
      <c r="H62" s="1456"/>
    </row>
    <row r="63" spans="1:10" ht="17.75" customHeight="1" x14ac:dyDescent="0.3">
      <c r="A63" s="321"/>
      <c r="B63" s="1447" t="str">
        <f>"Beef Kabli 1 / " &amp; COUNTIF($H$53:$H$58, "&gt;0")</f>
        <v>Beef Kabli 1 / 4</v>
      </c>
      <c r="C63" s="1456"/>
      <c r="D63" s="1456"/>
      <c r="E63" s="1456"/>
      <c r="F63" s="1456"/>
      <c r="G63" s="1456"/>
      <c r="H63" s="1456"/>
    </row>
    <row r="64" spans="1:10" ht="35.25" customHeight="1" x14ac:dyDescent="0.3">
      <c r="A64" s="90"/>
      <c r="B64" s="90" t="s">
        <v>717</v>
      </c>
      <c r="C64" s="306" t="s">
        <v>321</v>
      </c>
      <c r="D64" s="90" t="s">
        <v>322</v>
      </c>
      <c r="E64" s="107" t="s">
        <v>323</v>
      </c>
      <c r="F64" s="107" t="s">
        <v>324</v>
      </c>
      <c r="G64" s="307" t="s">
        <v>325</v>
      </c>
      <c r="H64" s="108" t="s">
        <v>326</v>
      </c>
    </row>
    <row r="65" spans="1:8" ht="14.25" customHeight="1" x14ac:dyDescent="0.3">
      <c r="A65" s="218" t="s">
        <v>225</v>
      </c>
      <c r="B65" s="322" t="str">
        <f t="shared" ref="B65:D75" si="6">B5</f>
        <v>Indian Meat Alana  - لحم هندى ألانا</v>
      </c>
      <c r="C65" s="322" t="str">
        <f t="shared" si="6"/>
        <v>gm</v>
      </c>
      <c r="D65" s="323">
        <f t="shared" si="6"/>
        <v>1721.7927305910914</v>
      </c>
      <c r="E65" s="196">
        <f>$H$53</f>
        <v>10</v>
      </c>
      <c r="F65" s="126">
        <f t="shared" ref="F65:F75" si="7">F5</f>
        <v>1</v>
      </c>
      <c r="G65" s="118">
        <f t="shared" ref="G65:G75" si="8">D65*E65</f>
        <v>17217.927305910915</v>
      </c>
      <c r="H65" s="119">
        <f t="shared" ref="H65:H75" si="9">G65*F65</f>
        <v>17217.927305910915</v>
      </c>
    </row>
    <row r="66" spans="1:8" ht="14.25" customHeight="1" x14ac:dyDescent="0.3">
      <c r="A66" s="269" t="s">
        <v>13</v>
      </c>
      <c r="B66" s="322" t="str">
        <f t="shared" si="6"/>
        <v>Tomato - طماطم</v>
      </c>
      <c r="C66" s="322" t="str">
        <f t="shared" si="6"/>
        <v>gm</v>
      </c>
      <c r="D66" s="322">
        <f t="shared" si="6"/>
        <v>100</v>
      </c>
      <c r="E66" s="196">
        <f t="shared" ref="E66:E75" si="10">$H$53</f>
        <v>10</v>
      </c>
      <c r="F66" s="126">
        <f t="shared" si="7"/>
        <v>1</v>
      </c>
      <c r="G66" s="80">
        <f t="shared" si="8"/>
        <v>1000</v>
      </c>
      <c r="H66" s="119">
        <f t="shared" si="9"/>
        <v>1000</v>
      </c>
    </row>
    <row r="67" spans="1:8" ht="14.25" customHeight="1" x14ac:dyDescent="0.3">
      <c r="A67" s="269" t="s">
        <v>95</v>
      </c>
      <c r="B67" s="322" t="str">
        <f t="shared" si="6"/>
        <v>Kabsa Spices Powder - توابل كبسة بودر</v>
      </c>
      <c r="C67" s="322" t="str">
        <f t="shared" si="6"/>
        <v>gm</v>
      </c>
      <c r="D67" s="322">
        <f t="shared" si="6"/>
        <v>19</v>
      </c>
      <c r="E67" s="196">
        <f t="shared" si="10"/>
        <v>10</v>
      </c>
      <c r="F67" s="126">
        <f t="shared" si="7"/>
        <v>0.7</v>
      </c>
      <c r="G67" s="80">
        <f t="shared" si="8"/>
        <v>190</v>
      </c>
      <c r="H67" s="119">
        <f t="shared" si="9"/>
        <v>133</v>
      </c>
    </row>
    <row r="68" spans="1:8" ht="14.25" customHeight="1" x14ac:dyDescent="0.3">
      <c r="A68" s="269" t="s">
        <v>95</v>
      </c>
      <c r="B68" s="322" t="str">
        <f t="shared" si="6"/>
        <v>Cumin Powder - كمون مطحون</v>
      </c>
      <c r="C68" s="322" t="str">
        <f t="shared" si="6"/>
        <v>gm</v>
      </c>
      <c r="D68" s="322">
        <f t="shared" si="6"/>
        <v>20</v>
      </c>
      <c r="E68" s="196">
        <f t="shared" si="10"/>
        <v>10</v>
      </c>
      <c r="F68" s="126">
        <f t="shared" si="7"/>
        <v>0.7</v>
      </c>
      <c r="G68" s="80">
        <f t="shared" si="8"/>
        <v>200</v>
      </c>
      <c r="H68" s="119">
        <f t="shared" si="9"/>
        <v>140</v>
      </c>
    </row>
    <row r="69" spans="1:8" ht="14.25" customHeight="1" x14ac:dyDescent="0.3">
      <c r="A69" s="269" t="s">
        <v>192</v>
      </c>
      <c r="B69" s="322" t="str">
        <f t="shared" si="6"/>
        <v>Tomato Paste - صلصة طماطم</v>
      </c>
      <c r="C69" s="322" t="str">
        <f t="shared" si="6"/>
        <v>gm</v>
      </c>
      <c r="D69" s="322">
        <f t="shared" si="6"/>
        <v>130</v>
      </c>
      <c r="E69" s="196">
        <f t="shared" si="10"/>
        <v>10</v>
      </c>
      <c r="F69" s="126">
        <f t="shared" si="7"/>
        <v>0.85</v>
      </c>
      <c r="G69" s="80">
        <f t="shared" si="8"/>
        <v>1300</v>
      </c>
      <c r="H69" s="119">
        <f t="shared" si="9"/>
        <v>1105</v>
      </c>
    </row>
    <row r="70" spans="1:8" ht="14.25" customHeight="1" x14ac:dyDescent="0.3">
      <c r="A70" s="269" t="s">
        <v>13</v>
      </c>
      <c r="B70" s="322" t="str">
        <f t="shared" si="6"/>
        <v>Orange - برتقال</v>
      </c>
      <c r="C70" s="322" t="str">
        <f t="shared" si="6"/>
        <v>gm</v>
      </c>
      <c r="D70" s="322">
        <f t="shared" si="6"/>
        <v>200</v>
      </c>
      <c r="E70" s="196">
        <f t="shared" si="10"/>
        <v>10</v>
      </c>
      <c r="F70" s="126">
        <f t="shared" si="7"/>
        <v>0.85</v>
      </c>
      <c r="G70" s="80">
        <f t="shared" si="8"/>
        <v>2000</v>
      </c>
      <c r="H70" s="119">
        <f t="shared" si="9"/>
        <v>1700</v>
      </c>
    </row>
    <row r="71" spans="1:8" ht="14.25" customHeight="1" x14ac:dyDescent="0.3">
      <c r="A71" s="269" t="s">
        <v>206</v>
      </c>
      <c r="B71" s="322" t="str">
        <f t="shared" si="6"/>
        <v>Rose Water - ماء الورد</v>
      </c>
      <c r="C71" s="322" t="str">
        <f t="shared" si="6"/>
        <v>ml</v>
      </c>
      <c r="D71" s="322">
        <f t="shared" si="6"/>
        <v>35</v>
      </c>
      <c r="E71" s="196">
        <f t="shared" si="10"/>
        <v>10</v>
      </c>
      <c r="F71" s="126">
        <f t="shared" si="7"/>
        <v>0.75</v>
      </c>
      <c r="G71" s="80">
        <f t="shared" si="8"/>
        <v>350</v>
      </c>
      <c r="H71" s="119">
        <f t="shared" si="9"/>
        <v>262.5</v>
      </c>
    </row>
    <row r="72" spans="1:8" ht="14.25" customHeight="1" x14ac:dyDescent="0.3">
      <c r="A72" s="269" t="s">
        <v>206</v>
      </c>
      <c r="B72" s="322" t="str">
        <f t="shared" si="6"/>
        <v>Water - ماء</v>
      </c>
      <c r="C72" s="322" t="str">
        <f t="shared" si="6"/>
        <v>ml</v>
      </c>
      <c r="D72" s="322">
        <f t="shared" si="6"/>
        <v>800</v>
      </c>
      <c r="E72" s="196">
        <f t="shared" si="10"/>
        <v>10</v>
      </c>
      <c r="F72" s="126">
        <f t="shared" si="7"/>
        <v>1</v>
      </c>
      <c r="G72" s="80">
        <f t="shared" si="8"/>
        <v>8000</v>
      </c>
      <c r="H72" s="119">
        <f t="shared" si="9"/>
        <v>8000</v>
      </c>
    </row>
    <row r="73" spans="1:8" ht="14.25" customHeight="1" x14ac:dyDescent="0.3">
      <c r="A73" s="269" t="s">
        <v>13</v>
      </c>
      <c r="B73" s="322" t="str">
        <f t="shared" si="6"/>
        <v>Garlic - ثوم مقشر</v>
      </c>
      <c r="C73" s="322" t="str">
        <f t="shared" si="6"/>
        <v>gm</v>
      </c>
      <c r="D73" s="322">
        <f t="shared" si="6"/>
        <v>30</v>
      </c>
      <c r="E73" s="196">
        <f t="shared" si="10"/>
        <v>10</v>
      </c>
      <c r="F73" s="126">
        <f t="shared" si="7"/>
        <v>0.4</v>
      </c>
      <c r="G73" s="80">
        <f t="shared" si="8"/>
        <v>300</v>
      </c>
      <c r="H73" s="119">
        <f t="shared" si="9"/>
        <v>120</v>
      </c>
    </row>
    <row r="74" spans="1:8" ht="14.25" customHeight="1" x14ac:dyDescent="0.3">
      <c r="A74" s="269" t="s">
        <v>154</v>
      </c>
      <c r="B74" s="322" t="str">
        <f t="shared" si="6"/>
        <v>Yogurt - زبادي</v>
      </c>
      <c r="C74" s="322" t="str">
        <f t="shared" si="6"/>
        <v>gm</v>
      </c>
      <c r="D74" s="322">
        <f t="shared" si="6"/>
        <v>300</v>
      </c>
      <c r="E74" s="196">
        <f t="shared" si="10"/>
        <v>10</v>
      </c>
      <c r="F74" s="126">
        <f t="shared" si="7"/>
        <v>0.5</v>
      </c>
      <c r="G74" s="80">
        <f t="shared" si="8"/>
        <v>3000</v>
      </c>
      <c r="H74" s="119">
        <f t="shared" si="9"/>
        <v>1500</v>
      </c>
    </row>
    <row r="75" spans="1:8" ht="14.25" customHeight="1" x14ac:dyDescent="0.3">
      <c r="A75" s="269" t="s">
        <v>182</v>
      </c>
      <c r="B75" s="322" t="str">
        <f t="shared" si="6"/>
        <v>Raisin - زبيب</v>
      </c>
      <c r="C75" s="322" t="str">
        <f t="shared" si="6"/>
        <v>gm</v>
      </c>
      <c r="D75" s="322">
        <f t="shared" si="6"/>
        <v>35</v>
      </c>
      <c r="E75" s="196">
        <f t="shared" si="10"/>
        <v>10</v>
      </c>
      <c r="F75" s="126">
        <f t="shared" si="7"/>
        <v>0.5</v>
      </c>
      <c r="G75" s="80">
        <f t="shared" si="8"/>
        <v>350</v>
      </c>
      <c r="H75" s="119">
        <f t="shared" si="9"/>
        <v>175</v>
      </c>
    </row>
    <row r="76" spans="1:8" ht="20.25" customHeight="1" x14ac:dyDescent="0.3">
      <c r="A76" s="210"/>
      <c r="B76" s="197" t="s">
        <v>291</v>
      </c>
      <c r="C76" s="199" t="s">
        <v>277</v>
      </c>
      <c r="D76" s="14"/>
      <c r="E76" s="199" t="s">
        <v>292</v>
      </c>
      <c r="F76" s="14"/>
      <c r="G76" s="878" t="s">
        <v>268</v>
      </c>
      <c r="H76" s="878" t="s">
        <v>703</v>
      </c>
    </row>
    <row r="77" spans="1:8" ht="20" x14ac:dyDescent="0.4">
      <c r="A77" s="210"/>
      <c r="B77" s="198">
        <f>$J$53</f>
        <v>10000</v>
      </c>
      <c r="C77" s="198">
        <f>E77+G77</f>
        <v>0</v>
      </c>
      <c r="D77" s="915"/>
      <c r="E77" s="198">
        <f>$C$53*$S$44</f>
        <v>0</v>
      </c>
      <c r="F77" s="919"/>
      <c r="G77" s="198">
        <f>$C$53*$T$44</f>
        <v>0</v>
      </c>
      <c r="H77" s="198">
        <f>B77+E77</f>
        <v>10000</v>
      </c>
    </row>
    <row r="79" spans="1:8" ht="17.75" customHeight="1" x14ac:dyDescent="0.3">
      <c r="A79" s="321"/>
      <c r="B79" s="1447" t="str">
        <f>"كابلى لحم 2 / " &amp; COUNTIF($H$53:$H$58, "&gt;0")</f>
        <v>كابلى لحم 2 / 4</v>
      </c>
      <c r="C79" s="1456"/>
      <c r="D79" s="1456"/>
      <c r="E79" s="1456"/>
      <c r="F79" s="1456"/>
      <c r="G79" s="1456"/>
      <c r="H79" s="1456"/>
    </row>
    <row r="80" spans="1:8" ht="17.75" customHeight="1" x14ac:dyDescent="0.3">
      <c r="A80" s="321"/>
      <c r="B80" s="1447" t="str">
        <f>"Beef Kabli 2 / " &amp; COUNTIF($H$53:$H$58, "&gt;0")</f>
        <v>Beef Kabli 2 / 4</v>
      </c>
      <c r="C80" s="1456"/>
      <c r="D80" s="1456"/>
      <c r="E80" s="1456"/>
      <c r="F80" s="1456"/>
      <c r="G80" s="1456"/>
      <c r="H80" s="1456"/>
    </row>
    <row r="81" spans="1:8" ht="35.25" customHeight="1" x14ac:dyDescent="0.3">
      <c r="A81" s="90"/>
      <c r="B81" s="90" t="s">
        <v>717</v>
      </c>
      <c r="C81" s="306" t="s">
        <v>321</v>
      </c>
      <c r="D81" s="90" t="s">
        <v>322</v>
      </c>
      <c r="E81" s="107" t="s">
        <v>323</v>
      </c>
      <c r="F81" s="107" t="s">
        <v>324</v>
      </c>
      <c r="G81" s="307" t="s">
        <v>325</v>
      </c>
      <c r="H81" s="108" t="s">
        <v>326</v>
      </c>
    </row>
    <row r="82" spans="1:8" ht="14.25" customHeight="1" x14ac:dyDescent="0.3">
      <c r="A82" s="218" t="s">
        <v>225</v>
      </c>
      <c r="B82" s="322" t="str">
        <f t="shared" ref="B82:D92" si="11">B5</f>
        <v>Indian Meat Alana  - لحم هندى ألانا</v>
      </c>
      <c r="C82" s="322" t="str">
        <f t="shared" si="11"/>
        <v>gm</v>
      </c>
      <c r="D82" s="118">
        <f t="shared" si="11"/>
        <v>1721.7927305910914</v>
      </c>
      <c r="E82" s="196">
        <f t="shared" ref="E82:E92" si="12">$H$54</f>
        <v>10</v>
      </c>
      <c r="F82" s="126">
        <f t="shared" ref="F82:F92" si="13">F5</f>
        <v>1</v>
      </c>
      <c r="G82" s="118">
        <f t="shared" ref="G82:G92" si="14">D82*E82</f>
        <v>17217.927305910915</v>
      </c>
      <c r="H82" s="119">
        <f t="shared" ref="H82:H92" si="15">G82*F82</f>
        <v>17217.927305910915</v>
      </c>
    </row>
    <row r="83" spans="1:8" ht="14.25" customHeight="1" x14ac:dyDescent="0.3">
      <c r="A83" s="269" t="s">
        <v>13</v>
      </c>
      <c r="B83" s="322" t="str">
        <f t="shared" si="11"/>
        <v>Tomato - طماطم</v>
      </c>
      <c r="C83" s="322" t="str">
        <f t="shared" si="11"/>
        <v>gm</v>
      </c>
      <c r="D83" s="322">
        <f t="shared" si="11"/>
        <v>100</v>
      </c>
      <c r="E83" s="196">
        <f t="shared" si="12"/>
        <v>10</v>
      </c>
      <c r="F83" s="126">
        <f t="shared" si="13"/>
        <v>1</v>
      </c>
      <c r="G83" s="118">
        <f t="shared" si="14"/>
        <v>1000</v>
      </c>
      <c r="H83" s="119">
        <f t="shared" si="15"/>
        <v>1000</v>
      </c>
    </row>
    <row r="84" spans="1:8" ht="14.25" customHeight="1" x14ac:dyDescent="0.3">
      <c r="A84" s="269" t="s">
        <v>95</v>
      </c>
      <c r="B84" s="322" t="str">
        <f t="shared" si="11"/>
        <v>Kabsa Spices Powder - توابل كبسة بودر</v>
      </c>
      <c r="C84" s="322" t="str">
        <f t="shared" si="11"/>
        <v>gm</v>
      </c>
      <c r="D84" s="322">
        <f t="shared" si="11"/>
        <v>19</v>
      </c>
      <c r="E84" s="196">
        <f t="shared" si="12"/>
        <v>10</v>
      </c>
      <c r="F84" s="126">
        <f t="shared" si="13"/>
        <v>0.7</v>
      </c>
      <c r="G84" s="118">
        <f t="shared" si="14"/>
        <v>190</v>
      </c>
      <c r="H84" s="119">
        <f t="shared" si="15"/>
        <v>133</v>
      </c>
    </row>
    <row r="85" spans="1:8" ht="14.25" customHeight="1" x14ac:dyDescent="0.3">
      <c r="A85" s="269" t="s">
        <v>95</v>
      </c>
      <c r="B85" s="322" t="str">
        <f t="shared" si="11"/>
        <v>Cumin Powder - كمون مطحون</v>
      </c>
      <c r="C85" s="322" t="str">
        <f t="shared" si="11"/>
        <v>gm</v>
      </c>
      <c r="D85" s="322">
        <f t="shared" si="11"/>
        <v>20</v>
      </c>
      <c r="E85" s="196">
        <f t="shared" si="12"/>
        <v>10</v>
      </c>
      <c r="F85" s="126">
        <f t="shared" si="13"/>
        <v>0.7</v>
      </c>
      <c r="G85" s="118">
        <f t="shared" si="14"/>
        <v>200</v>
      </c>
      <c r="H85" s="119">
        <f t="shared" si="15"/>
        <v>140</v>
      </c>
    </row>
    <row r="86" spans="1:8" ht="14.25" customHeight="1" x14ac:dyDescent="0.3">
      <c r="A86" s="269" t="s">
        <v>192</v>
      </c>
      <c r="B86" s="322" t="str">
        <f t="shared" si="11"/>
        <v>Tomato Paste - صلصة طماطم</v>
      </c>
      <c r="C86" s="322" t="str">
        <f t="shared" si="11"/>
        <v>gm</v>
      </c>
      <c r="D86" s="322">
        <f t="shared" si="11"/>
        <v>130</v>
      </c>
      <c r="E86" s="196">
        <f t="shared" si="12"/>
        <v>10</v>
      </c>
      <c r="F86" s="126">
        <f t="shared" si="13"/>
        <v>0.85</v>
      </c>
      <c r="G86" s="118">
        <f t="shared" si="14"/>
        <v>1300</v>
      </c>
      <c r="H86" s="119">
        <f t="shared" si="15"/>
        <v>1105</v>
      </c>
    </row>
    <row r="87" spans="1:8" ht="14.25" customHeight="1" x14ac:dyDescent="0.3">
      <c r="A87" s="269" t="s">
        <v>13</v>
      </c>
      <c r="B87" s="322" t="str">
        <f t="shared" si="11"/>
        <v>Orange - برتقال</v>
      </c>
      <c r="C87" s="322" t="str">
        <f t="shared" si="11"/>
        <v>gm</v>
      </c>
      <c r="D87" s="322">
        <f t="shared" si="11"/>
        <v>200</v>
      </c>
      <c r="E87" s="196">
        <f t="shared" si="12"/>
        <v>10</v>
      </c>
      <c r="F87" s="126">
        <f t="shared" si="13"/>
        <v>0.85</v>
      </c>
      <c r="G87" s="118">
        <f t="shared" si="14"/>
        <v>2000</v>
      </c>
      <c r="H87" s="119">
        <f t="shared" si="15"/>
        <v>1700</v>
      </c>
    </row>
    <row r="88" spans="1:8" ht="14.25" customHeight="1" x14ac:dyDescent="0.3">
      <c r="A88" s="269" t="s">
        <v>206</v>
      </c>
      <c r="B88" s="322" t="str">
        <f t="shared" si="11"/>
        <v>Rose Water - ماء الورد</v>
      </c>
      <c r="C88" s="322" t="str">
        <f t="shared" si="11"/>
        <v>ml</v>
      </c>
      <c r="D88" s="322">
        <f t="shared" si="11"/>
        <v>35</v>
      </c>
      <c r="E88" s="196">
        <f t="shared" si="12"/>
        <v>10</v>
      </c>
      <c r="F88" s="126">
        <f t="shared" si="13"/>
        <v>0.75</v>
      </c>
      <c r="G88" s="118">
        <f t="shared" si="14"/>
        <v>350</v>
      </c>
      <c r="H88" s="119">
        <f t="shared" si="15"/>
        <v>262.5</v>
      </c>
    </row>
    <row r="89" spans="1:8" ht="14.25" customHeight="1" x14ac:dyDescent="0.3">
      <c r="A89" s="269" t="s">
        <v>206</v>
      </c>
      <c r="B89" s="322" t="str">
        <f t="shared" si="11"/>
        <v>Water - ماء</v>
      </c>
      <c r="C89" s="322" t="str">
        <f t="shared" si="11"/>
        <v>ml</v>
      </c>
      <c r="D89" s="322">
        <f t="shared" si="11"/>
        <v>800</v>
      </c>
      <c r="E89" s="196">
        <f t="shared" si="12"/>
        <v>10</v>
      </c>
      <c r="F89" s="126">
        <f t="shared" si="13"/>
        <v>1</v>
      </c>
      <c r="G89" s="118">
        <f t="shared" si="14"/>
        <v>8000</v>
      </c>
      <c r="H89" s="119">
        <f t="shared" si="15"/>
        <v>8000</v>
      </c>
    </row>
    <row r="90" spans="1:8" ht="14.25" customHeight="1" x14ac:dyDescent="0.3">
      <c r="A90" s="269" t="s">
        <v>13</v>
      </c>
      <c r="B90" s="322" t="str">
        <f t="shared" si="11"/>
        <v>Garlic - ثوم مقشر</v>
      </c>
      <c r="C90" s="322" t="str">
        <f t="shared" si="11"/>
        <v>gm</v>
      </c>
      <c r="D90" s="322">
        <f t="shared" si="11"/>
        <v>30</v>
      </c>
      <c r="E90" s="196">
        <f t="shared" si="12"/>
        <v>10</v>
      </c>
      <c r="F90" s="126">
        <f t="shared" si="13"/>
        <v>0.4</v>
      </c>
      <c r="G90" s="118">
        <f t="shared" si="14"/>
        <v>300</v>
      </c>
      <c r="H90" s="119">
        <f t="shared" si="15"/>
        <v>120</v>
      </c>
    </row>
    <row r="91" spans="1:8" ht="14.25" customHeight="1" x14ac:dyDescent="0.3">
      <c r="A91" s="269" t="s">
        <v>154</v>
      </c>
      <c r="B91" s="322" t="str">
        <f t="shared" si="11"/>
        <v>Yogurt - زبادي</v>
      </c>
      <c r="C91" s="322" t="str">
        <f t="shared" si="11"/>
        <v>gm</v>
      </c>
      <c r="D91" s="322">
        <f t="shared" si="11"/>
        <v>300</v>
      </c>
      <c r="E91" s="196">
        <f t="shared" si="12"/>
        <v>10</v>
      </c>
      <c r="F91" s="126">
        <f t="shared" si="13"/>
        <v>0.5</v>
      </c>
      <c r="G91" s="118">
        <f t="shared" si="14"/>
        <v>3000</v>
      </c>
      <c r="H91" s="119">
        <f t="shared" si="15"/>
        <v>1500</v>
      </c>
    </row>
    <row r="92" spans="1:8" ht="14.25" customHeight="1" x14ac:dyDescent="0.3">
      <c r="A92" s="269" t="s">
        <v>182</v>
      </c>
      <c r="B92" s="322" t="str">
        <f t="shared" si="11"/>
        <v>Raisin - زبيب</v>
      </c>
      <c r="C92" s="322" t="str">
        <f t="shared" si="11"/>
        <v>gm</v>
      </c>
      <c r="D92" s="322">
        <f t="shared" si="11"/>
        <v>35</v>
      </c>
      <c r="E92" s="196">
        <f t="shared" si="12"/>
        <v>10</v>
      </c>
      <c r="F92" s="126">
        <f t="shared" si="13"/>
        <v>0.5</v>
      </c>
      <c r="G92" s="118">
        <f t="shared" si="14"/>
        <v>350</v>
      </c>
      <c r="H92" s="119">
        <f t="shared" si="15"/>
        <v>175</v>
      </c>
    </row>
    <row r="93" spans="1:8" ht="20.25" customHeight="1" x14ac:dyDescent="0.3">
      <c r="A93" s="210"/>
      <c r="B93" s="197" t="s">
        <v>291</v>
      </c>
      <c r="C93" s="199" t="s">
        <v>277</v>
      </c>
      <c r="D93" s="14"/>
      <c r="E93" s="199" t="s">
        <v>292</v>
      </c>
      <c r="F93" s="14"/>
      <c r="G93" s="878" t="s">
        <v>268</v>
      </c>
      <c r="H93" s="878" t="s">
        <v>703</v>
      </c>
    </row>
    <row r="94" spans="1:8" ht="20" x14ac:dyDescent="0.4">
      <c r="A94" s="210"/>
      <c r="B94" s="198">
        <f>$J$54</f>
        <v>10000</v>
      </c>
      <c r="C94" s="198">
        <f>E94+G94</f>
        <v>0</v>
      </c>
      <c r="D94" s="915"/>
      <c r="E94" s="198">
        <f>$C$54*$S$44</f>
        <v>0</v>
      </c>
      <c r="F94" s="919"/>
      <c r="G94" s="198">
        <f>$C$54*$T$44</f>
        <v>0</v>
      </c>
      <c r="H94" s="198">
        <f>B94+E94</f>
        <v>10000</v>
      </c>
    </row>
    <row r="98" spans="1:8" ht="17.75" customHeight="1" x14ac:dyDescent="0.3">
      <c r="A98" s="321"/>
      <c r="B98" s="1447" t="str">
        <f>"كابلى لحم 3 / " &amp; COUNTIF($H$53:$H$58, "&gt;0")</f>
        <v>كابلى لحم 3 / 4</v>
      </c>
      <c r="C98" s="1447"/>
      <c r="D98" s="1447"/>
      <c r="E98" s="1447"/>
      <c r="F98" s="1447"/>
      <c r="G98" s="1447"/>
      <c r="H98" s="1447"/>
    </row>
    <row r="99" spans="1:8" ht="17.75" customHeight="1" x14ac:dyDescent="0.3">
      <c r="A99" s="321"/>
      <c r="B99" s="1438" t="str">
        <f>"Beef Kabli 3 / " &amp; COUNTIF($H$53:$H$58, "&gt;0")</f>
        <v>Beef Kabli 3 / 4</v>
      </c>
      <c r="C99" s="1438"/>
      <c r="D99" s="1438"/>
      <c r="E99" s="1438"/>
      <c r="F99" s="1438"/>
      <c r="G99" s="1438"/>
      <c r="H99" s="1438"/>
    </row>
    <row r="100" spans="1:8" ht="35.25" customHeight="1" x14ac:dyDescent="0.3">
      <c r="A100" s="90"/>
      <c r="B100" s="90" t="s">
        <v>717</v>
      </c>
      <c r="C100" s="306" t="s">
        <v>321</v>
      </c>
      <c r="D100" s="90" t="s">
        <v>322</v>
      </c>
      <c r="E100" s="107" t="s">
        <v>323</v>
      </c>
      <c r="F100" s="107" t="s">
        <v>324</v>
      </c>
      <c r="G100" s="307" t="s">
        <v>325</v>
      </c>
      <c r="H100" s="108" t="s">
        <v>326</v>
      </c>
    </row>
    <row r="101" spans="1:8" ht="14.25" customHeight="1" x14ac:dyDescent="0.3">
      <c r="A101" s="218" t="s">
        <v>225</v>
      </c>
      <c r="B101" s="80" t="str">
        <f t="shared" ref="B101:D111" si="16">B5</f>
        <v>Indian Meat Alana  - لحم هندى ألانا</v>
      </c>
      <c r="C101" s="80" t="str">
        <f t="shared" si="16"/>
        <v>gm</v>
      </c>
      <c r="D101" s="118">
        <f t="shared" si="16"/>
        <v>1721.7927305910914</v>
      </c>
      <c r="E101" s="196">
        <f t="shared" ref="E101:E111" si="17">$H$55</f>
        <v>10</v>
      </c>
      <c r="F101" s="117">
        <f t="shared" ref="F101:F111" si="18">F5</f>
        <v>1</v>
      </c>
      <c r="G101" s="118">
        <f t="shared" ref="G101:G111" si="19">D101*E101</f>
        <v>17217.927305910915</v>
      </c>
      <c r="H101" s="119">
        <f t="shared" ref="H101:H111" si="20">G101*F101</f>
        <v>17217.927305910915</v>
      </c>
    </row>
    <row r="102" spans="1:8" ht="14.25" customHeight="1" x14ac:dyDescent="0.3">
      <c r="A102" s="218" t="s">
        <v>13</v>
      </c>
      <c r="B102" s="80" t="str">
        <f t="shared" si="16"/>
        <v>Tomato - طماطم</v>
      </c>
      <c r="C102" s="80" t="str">
        <f t="shared" si="16"/>
        <v>gm</v>
      </c>
      <c r="D102" s="80">
        <f t="shared" si="16"/>
        <v>100</v>
      </c>
      <c r="E102" s="196">
        <f t="shared" si="17"/>
        <v>10</v>
      </c>
      <c r="F102" s="117">
        <f t="shared" si="18"/>
        <v>1</v>
      </c>
      <c r="G102" s="118">
        <f t="shared" si="19"/>
        <v>1000</v>
      </c>
      <c r="H102" s="119">
        <f t="shared" si="20"/>
        <v>1000</v>
      </c>
    </row>
    <row r="103" spans="1:8" ht="14.25" customHeight="1" x14ac:dyDescent="0.3">
      <c r="A103" s="218" t="s">
        <v>95</v>
      </c>
      <c r="B103" s="80" t="str">
        <f t="shared" si="16"/>
        <v>Kabsa Spices Powder - توابل كبسة بودر</v>
      </c>
      <c r="C103" s="80" t="str">
        <f t="shared" si="16"/>
        <v>gm</v>
      </c>
      <c r="D103" s="80">
        <f t="shared" si="16"/>
        <v>19</v>
      </c>
      <c r="E103" s="196">
        <f t="shared" si="17"/>
        <v>10</v>
      </c>
      <c r="F103" s="117">
        <f t="shared" si="18"/>
        <v>0.7</v>
      </c>
      <c r="G103" s="118">
        <f t="shared" si="19"/>
        <v>190</v>
      </c>
      <c r="H103" s="119">
        <f t="shared" si="20"/>
        <v>133</v>
      </c>
    </row>
    <row r="104" spans="1:8" ht="14.25" customHeight="1" x14ac:dyDescent="0.3">
      <c r="A104" s="218" t="s">
        <v>95</v>
      </c>
      <c r="B104" s="80" t="str">
        <f t="shared" si="16"/>
        <v>Cumin Powder - كمون مطحون</v>
      </c>
      <c r="C104" s="80" t="str">
        <f t="shared" si="16"/>
        <v>gm</v>
      </c>
      <c r="D104" s="80">
        <f t="shared" si="16"/>
        <v>20</v>
      </c>
      <c r="E104" s="196">
        <f t="shared" si="17"/>
        <v>10</v>
      </c>
      <c r="F104" s="117">
        <f t="shared" si="18"/>
        <v>0.7</v>
      </c>
      <c r="G104" s="118">
        <f t="shared" si="19"/>
        <v>200</v>
      </c>
      <c r="H104" s="119">
        <f t="shared" si="20"/>
        <v>140</v>
      </c>
    </row>
    <row r="105" spans="1:8" ht="14.25" customHeight="1" x14ac:dyDescent="0.3">
      <c r="A105" s="218" t="s">
        <v>192</v>
      </c>
      <c r="B105" s="80" t="str">
        <f t="shared" si="16"/>
        <v>Tomato Paste - صلصة طماطم</v>
      </c>
      <c r="C105" s="80" t="str">
        <f t="shared" si="16"/>
        <v>gm</v>
      </c>
      <c r="D105" s="80">
        <f t="shared" si="16"/>
        <v>130</v>
      </c>
      <c r="E105" s="196">
        <f t="shared" si="17"/>
        <v>10</v>
      </c>
      <c r="F105" s="117">
        <f t="shared" si="18"/>
        <v>0.85</v>
      </c>
      <c r="G105" s="118">
        <f t="shared" si="19"/>
        <v>1300</v>
      </c>
      <c r="H105" s="119">
        <f t="shared" si="20"/>
        <v>1105</v>
      </c>
    </row>
    <row r="106" spans="1:8" ht="14.25" customHeight="1" x14ac:dyDescent="0.3">
      <c r="A106" s="218" t="s">
        <v>13</v>
      </c>
      <c r="B106" s="80" t="str">
        <f t="shared" si="16"/>
        <v>Orange - برتقال</v>
      </c>
      <c r="C106" s="80" t="str">
        <f t="shared" si="16"/>
        <v>gm</v>
      </c>
      <c r="D106" s="80">
        <f t="shared" si="16"/>
        <v>200</v>
      </c>
      <c r="E106" s="196">
        <f t="shared" si="17"/>
        <v>10</v>
      </c>
      <c r="F106" s="117">
        <f t="shared" si="18"/>
        <v>0.85</v>
      </c>
      <c r="G106" s="118">
        <f t="shared" si="19"/>
        <v>2000</v>
      </c>
      <c r="H106" s="119">
        <f t="shared" si="20"/>
        <v>1700</v>
      </c>
    </row>
    <row r="107" spans="1:8" ht="14.25" customHeight="1" x14ac:dyDescent="0.3">
      <c r="A107" s="218" t="s">
        <v>206</v>
      </c>
      <c r="B107" s="80" t="str">
        <f t="shared" si="16"/>
        <v>Rose Water - ماء الورد</v>
      </c>
      <c r="C107" s="80" t="str">
        <f t="shared" si="16"/>
        <v>ml</v>
      </c>
      <c r="D107" s="80">
        <f t="shared" si="16"/>
        <v>35</v>
      </c>
      <c r="E107" s="196">
        <f t="shared" si="17"/>
        <v>10</v>
      </c>
      <c r="F107" s="117">
        <f t="shared" si="18"/>
        <v>0.75</v>
      </c>
      <c r="G107" s="118">
        <f t="shared" si="19"/>
        <v>350</v>
      </c>
      <c r="H107" s="119">
        <f t="shared" si="20"/>
        <v>262.5</v>
      </c>
    </row>
    <row r="108" spans="1:8" ht="14.25" customHeight="1" x14ac:dyDescent="0.3">
      <c r="A108" s="218" t="s">
        <v>206</v>
      </c>
      <c r="B108" s="80" t="str">
        <f t="shared" si="16"/>
        <v>Water - ماء</v>
      </c>
      <c r="C108" s="80" t="str">
        <f t="shared" si="16"/>
        <v>ml</v>
      </c>
      <c r="D108" s="80">
        <f t="shared" si="16"/>
        <v>800</v>
      </c>
      <c r="E108" s="196">
        <f t="shared" si="17"/>
        <v>10</v>
      </c>
      <c r="F108" s="117">
        <f t="shared" si="18"/>
        <v>1</v>
      </c>
      <c r="G108" s="118">
        <f t="shared" si="19"/>
        <v>8000</v>
      </c>
      <c r="H108" s="119">
        <f t="shared" si="20"/>
        <v>8000</v>
      </c>
    </row>
    <row r="109" spans="1:8" ht="14.25" customHeight="1" x14ac:dyDescent="0.3">
      <c r="A109" s="218" t="s">
        <v>13</v>
      </c>
      <c r="B109" s="80" t="str">
        <f t="shared" si="16"/>
        <v>Garlic - ثوم مقشر</v>
      </c>
      <c r="C109" s="80" t="str">
        <f t="shared" si="16"/>
        <v>gm</v>
      </c>
      <c r="D109" s="80">
        <f t="shared" si="16"/>
        <v>30</v>
      </c>
      <c r="E109" s="196">
        <f t="shared" si="17"/>
        <v>10</v>
      </c>
      <c r="F109" s="117">
        <f t="shared" si="18"/>
        <v>0.4</v>
      </c>
      <c r="G109" s="118">
        <f t="shared" si="19"/>
        <v>300</v>
      </c>
      <c r="H109" s="119">
        <f t="shared" si="20"/>
        <v>120</v>
      </c>
    </row>
    <row r="110" spans="1:8" ht="14.25" customHeight="1" x14ac:dyDescent="0.3">
      <c r="A110" s="218" t="s">
        <v>154</v>
      </c>
      <c r="B110" s="80" t="str">
        <f t="shared" si="16"/>
        <v>Yogurt - زبادي</v>
      </c>
      <c r="C110" s="80" t="str">
        <f t="shared" si="16"/>
        <v>gm</v>
      </c>
      <c r="D110" s="80">
        <f t="shared" si="16"/>
        <v>300</v>
      </c>
      <c r="E110" s="196">
        <f t="shared" si="17"/>
        <v>10</v>
      </c>
      <c r="F110" s="117">
        <f t="shared" si="18"/>
        <v>0.5</v>
      </c>
      <c r="G110" s="118">
        <f t="shared" si="19"/>
        <v>3000</v>
      </c>
      <c r="H110" s="119">
        <f t="shared" si="20"/>
        <v>1500</v>
      </c>
    </row>
    <row r="111" spans="1:8" ht="14.25" customHeight="1" x14ac:dyDescent="0.3">
      <c r="A111" s="218" t="s">
        <v>182</v>
      </c>
      <c r="B111" s="80" t="str">
        <f t="shared" si="16"/>
        <v>Raisin - زبيب</v>
      </c>
      <c r="C111" s="80" t="str">
        <f t="shared" si="16"/>
        <v>gm</v>
      </c>
      <c r="D111" s="80">
        <f t="shared" si="16"/>
        <v>35</v>
      </c>
      <c r="E111" s="196">
        <f t="shared" si="17"/>
        <v>10</v>
      </c>
      <c r="F111" s="117">
        <f t="shared" si="18"/>
        <v>0.5</v>
      </c>
      <c r="G111" s="118">
        <f t="shared" si="19"/>
        <v>350</v>
      </c>
      <c r="H111" s="119">
        <f t="shared" si="20"/>
        <v>175</v>
      </c>
    </row>
    <row r="112" spans="1:8" ht="20.25" customHeight="1" x14ac:dyDescent="0.3">
      <c r="A112" s="210"/>
      <c r="B112" s="197" t="s">
        <v>291</v>
      </c>
      <c r="C112" s="199" t="s">
        <v>277</v>
      </c>
      <c r="D112" s="14"/>
      <c r="E112" s="199" t="s">
        <v>292</v>
      </c>
      <c r="F112" s="14"/>
      <c r="G112" s="878" t="s">
        <v>268</v>
      </c>
      <c r="H112" s="878" t="s">
        <v>703</v>
      </c>
    </row>
    <row r="113" spans="1:8" ht="20.75" customHeight="1" x14ac:dyDescent="0.4">
      <c r="A113" s="210"/>
      <c r="B113" s="198">
        <f>$J$55</f>
        <v>10000</v>
      </c>
      <c r="C113" s="198">
        <f>E113+G113</f>
        <v>0</v>
      </c>
      <c r="D113" s="915"/>
      <c r="E113" s="198">
        <f>$C$55*$S$44</f>
        <v>0</v>
      </c>
      <c r="F113" s="919"/>
      <c r="G113" s="198">
        <f>$C$55*$T$44</f>
        <v>0</v>
      </c>
      <c r="H113" s="198">
        <f>B113+E113</f>
        <v>10000</v>
      </c>
    </row>
    <row r="115" spans="1:8" ht="17.75" customHeight="1" x14ac:dyDescent="0.3">
      <c r="A115" s="321"/>
      <c r="B115" s="1447" t="str">
        <f>"كابلى لحم 4 / " &amp; COUNTIF($H$53:$H$58, "&gt;0")</f>
        <v>كابلى لحم 4 / 4</v>
      </c>
      <c r="C115" s="1456"/>
      <c r="D115" s="1456"/>
      <c r="E115" s="1456"/>
      <c r="F115" s="1456"/>
      <c r="G115" s="1456"/>
      <c r="H115" s="1456"/>
    </row>
    <row r="116" spans="1:8" ht="17.75" customHeight="1" x14ac:dyDescent="0.3">
      <c r="A116" s="321"/>
      <c r="B116" s="1447" t="str">
        <f>"Beef Kabli 4 / " &amp; COUNTIF($H$53:$H$58, "&gt;0")</f>
        <v>Beef Kabli 4 / 4</v>
      </c>
      <c r="C116" s="1456"/>
      <c r="D116" s="1456"/>
      <c r="E116" s="1456"/>
      <c r="F116" s="1456"/>
      <c r="G116" s="1456"/>
      <c r="H116" s="1456"/>
    </row>
    <row r="117" spans="1:8" ht="35.25" customHeight="1" x14ac:dyDescent="0.3">
      <c r="A117" s="90"/>
      <c r="B117" s="90" t="s">
        <v>717</v>
      </c>
      <c r="C117" s="306" t="s">
        <v>321</v>
      </c>
      <c r="D117" s="90" t="s">
        <v>322</v>
      </c>
      <c r="E117" s="107" t="s">
        <v>323</v>
      </c>
      <c r="F117" s="107" t="s">
        <v>324</v>
      </c>
      <c r="G117" s="307" t="s">
        <v>325</v>
      </c>
      <c r="H117" s="108" t="s">
        <v>326</v>
      </c>
    </row>
    <row r="118" spans="1:8" ht="14.25" customHeight="1" x14ac:dyDescent="0.3">
      <c r="A118" s="218" t="s">
        <v>225</v>
      </c>
      <c r="B118" s="80" t="str">
        <f t="shared" ref="B118:D128" si="21">B5</f>
        <v>Indian Meat Alana  - لحم هندى ألانا</v>
      </c>
      <c r="C118" s="80" t="str">
        <f t="shared" si="21"/>
        <v>gm</v>
      </c>
      <c r="D118" s="118">
        <f t="shared" si="21"/>
        <v>1721.7927305910914</v>
      </c>
      <c r="E118" s="196">
        <f t="shared" ref="E118:E128" si="22">$H$56</f>
        <v>0.96999999999999886</v>
      </c>
      <c r="F118" s="117">
        <f t="shared" ref="F118:F128" si="23">F5</f>
        <v>1</v>
      </c>
      <c r="G118" s="118">
        <f t="shared" ref="G118:G128" si="24">D118*E118</f>
        <v>1670.1389486733567</v>
      </c>
      <c r="H118" s="119">
        <f t="shared" ref="H118:H128" si="25">G118*F118</f>
        <v>1670.1389486733567</v>
      </c>
    </row>
    <row r="119" spans="1:8" ht="14.25" customHeight="1" x14ac:dyDescent="0.3">
      <c r="A119" s="218" t="s">
        <v>13</v>
      </c>
      <c r="B119" s="80" t="str">
        <f t="shared" si="21"/>
        <v>Tomato - طماطم</v>
      </c>
      <c r="C119" s="80" t="str">
        <f t="shared" si="21"/>
        <v>gm</v>
      </c>
      <c r="D119" s="80">
        <f t="shared" si="21"/>
        <v>100</v>
      </c>
      <c r="E119" s="196">
        <f t="shared" si="22"/>
        <v>0.96999999999999886</v>
      </c>
      <c r="F119" s="117">
        <f t="shared" si="23"/>
        <v>1</v>
      </c>
      <c r="G119" s="118">
        <f t="shared" si="24"/>
        <v>96.999999999999886</v>
      </c>
      <c r="H119" s="119">
        <f t="shared" si="25"/>
        <v>96.999999999999886</v>
      </c>
    </row>
    <row r="120" spans="1:8" ht="14.25" customHeight="1" x14ac:dyDescent="0.3">
      <c r="A120" s="218" t="s">
        <v>95</v>
      </c>
      <c r="B120" s="80" t="str">
        <f t="shared" si="21"/>
        <v>Kabsa Spices Powder - توابل كبسة بودر</v>
      </c>
      <c r="C120" s="80" t="str">
        <f t="shared" si="21"/>
        <v>gm</v>
      </c>
      <c r="D120" s="80">
        <f t="shared" si="21"/>
        <v>19</v>
      </c>
      <c r="E120" s="196">
        <f t="shared" si="22"/>
        <v>0.96999999999999886</v>
      </c>
      <c r="F120" s="117">
        <f t="shared" si="23"/>
        <v>0.7</v>
      </c>
      <c r="G120" s="118">
        <f t="shared" si="24"/>
        <v>18.429999999999978</v>
      </c>
      <c r="H120" s="119">
        <f t="shared" si="25"/>
        <v>12.900999999999984</v>
      </c>
    </row>
    <row r="121" spans="1:8" ht="14.25" customHeight="1" x14ac:dyDescent="0.3">
      <c r="A121" s="218" t="s">
        <v>95</v>
      </c>
      <c r="B121" s="80" t="str">
        <f t="shared" si="21"/>
        <v>Cumin Powder - كمون مطحون</v>
      </c>
      <c r="C121" s="80" t="str">
        <f t="shared" si="21"/>
        <v>gm</v>
      </c>
      <c r="D121" s="80">
        <f t="shared" si="21"/>
        <v>20</v>
      </c>
      <c r="E121" s="196">
        <f t="shared" si="22"/>
        <v>0.96999999999999886</v>
      </c>
      <c r="F121" s="117">
        <f t="shared" si="23"/>
        <v>0.7</v>
      </c>
      <c r="G121" s="118">
        <f t="shared" si="24"/>
        <v>19.399999999999977</v>
      </c>
      <c r="H121" s="119">
        <f t="shared" si="25"/>
        <v>13.579999999999984</v>
      </c>
    </row>
    <row r="122" spans="1:8" ht="14.25" customHeight="1" x14ac:dyDescent="0.3">
      <c r="A122" s="218" t="s">
        <v>192</v>
      </c>
      <c r="B122" s="80" t="str">
        <f t="shared" si="21"/>
        <v>Tomato Paste - صلصة طماطم</v>
      </c>
      <c r="C122" s="80" t="str">
        <f t="shared" si="21"/>
        <v>gm</v>
      </c>
      <c r="D122" s="80">
        <f t="shared" si="21"/>
        <v>130</v>
      </c>
      <c r="E122" s="196">
        <f t="shared" si="22"/>
        <v>0.96999999999999886</v>
      </c>
      <c r="F122" s="117">
        <f t="shared" si="23"/>
        <v>0.85</v>
      </c>
      <c r="G122" s="118">
        <f t="shared" si="24"/>
        <v>126.09999999999985</v>
      </c>
      <c r="H122" s="119">
        <f t="shared" si="25"/>
        <v>107.18499999999987</v>
      </c>
    </row>
    <row r="123" spans="1:8" ht="14.25" customHeight="1" x14ac:dyDescent="0.3">
      <c r="A123" s="218" t="s">
        <v>13</v>
      </c>
      <c r="B123" s="80" t="str">
        <f t="shared" si="21"/>
        <v>Orange - برتقال</v>
      </c>
      <c r="C123" s="80" t="str">
        <f t="shared" si="21"/>
        <v>gm</v>
      </c>
      <c r="D123" s="80">
        <f t="shared" si="21"/>
        <v>200</v>
      </c>
      <c r="E123" s="196">
        <f t="shared" si="22"/>
        <v>0.96999999999999886</v>
      </c>
      <c r="F123" s="117">
        <f t="shared" si="23"/>
        <v>0.85</v>
      </c>
      <c r="G123" s="118">
        <f t="shared" si="24"/>
        <v>193.99999999999977</v>
      </c>
      <c r="H123" s="119">
        <f t="shared" si="25"/>
        <v>164.89999999999981</v>
      </c>
    </row>
    <row r="124" spans="1:8" ht="14.25" customHeight="1" x14ac:dyDescent="0.3">
      <c r="A124" s="218" t="s">
        <v>206</v>
      </c>
      <c r="B124" s="80" t="str">
        <f t="shared" si="21"/>
        <v>Rose Water - ماء الورد</v>
      </c>
      <c r="C124" s="80" t="str">
        <f t="shared" si="21"/>
        <v>ml</v>
      </c>
      <c r="D124" s="80">
        <f t="shared" si="21"/>
        <v>35</v>
      </c>
      <c r="E124" s="196">
        <f t="shared" si="22"/>
        <v>0.96999999999999886</v>
      </c>
      <c r="F124" s="117">
        <f t="shared" si="23"/>
        <v>0.75</v>
      </c>
      <c r="G124" s="118">
        <f t="shared" si="24"/>
        <v>33.94999999999996</v>
      </c>
      <c r="H124" s="119">
        <f t="shared" si="25"/>
        <v>25.46249999999997</v>
      </c>
    </row>
    <row r="125" spans="1:8" ht="14.25" customHeight="1" x14ac:dyDescent="0.3">
      <c r="A125" s="218" t="s">
        <v>206</v>
      </c>
      <c r="B125" s="80" t="str">
        <f t="shared" si="21"/>
        <v>Water - ماء</v>
      </c>
      <c r="C125" s="80" t="str">
        <f t="shared" si="21"/>
        <v>ml</v>
      </c>
      <c r="D125" s="80">
        <f t="shared" si="21"/>
        <v>800</v>
      </c>
      <c r="E125" s="196">
        <f t="shared" si="22"/>
        <v>0.96999999999999886</v>
      </c>
      <c r="F125" s="117">
        <f t="shared" si="23"/>
        <v>1</v>
      </c>
      <c r="G125" s="118">
        <f t="shared" si="24"/>
        <v>775.99999999999909</v>
      </c>
      <c r="H125" s="119">
        <f t="shared" si="25"/>
        <v>775.99999999999909</v>
      </c>
    </row>
    <row r="126" spans="1:8" ht="14.25" customHeight="1" x14ac:dyDescent="0.3">
      <c r="A126" s="218" t="s">
        <v>13</v>
      </c>
      <c r="B126" s="80" t="str">
        <f t="shared" si="21"/>
        <v>Garlic - ثوم مقشر</v>
      </c>
      <c r="C126" s="80" t="str">
        <f t="shared" si="21"/>
        <v>gm</v>
      </c>
      <c r="D126" s="80">
        <f t="shared" si="21"/>
        <v>30</v>
      </c>
      <c r="E126" s="196">
        <f t="shared" si="22"/>
        <v>0.96999999999999886</v>
      </c>
      <c r="F126" s="117">
        <f t="shared" si="23"/>
        <v>0.4</v>
      </c>
      <c r="G126" s="118">
        <f t="shared" si="24"/>
        <v>29.099999999999966</v>
      </c>
      <c r="H126" s="119">
        <f t="shared" si="25"/>
        <v>11.639999999999986</v>
      </c>
    </row>
    <row r="127" spans="1:8" ht="14.25" customHeight="1" x14ac:dyDescent="0.3">
      <c r="A127" s="218" t="s">
        <v>154</v>
      </c>
      <c r="B127" s="80" t="str">
        <f t="shared" si="21"/>
        <v>Yogurt - زبادي</v>
      </c>
      <c r="C127" s="80" t="str">
        <f t="shared" si="21"/>
        <v>gm</v>
      </c>
      <c r="D127" s="80">
        <f t="shared" si="21"/>
        <v>300</v>
      </c>
      <c r="E127" s="196">
        <f t="shared" si="22"/>
        <v>0.96999999999999886</v>
      </c>
      <c r="F127" s="117">
        <f t="shared" si="23"/>
        <v>0.5</v>
      </c>
      <c r="G127" s="118">
        <f t="shared" si="24"/>
        <v>290.99999999999966</v>
      </c>
      <c r="H127" s="119">
        <f t="shared" si="25"/>
        <v>145.49999999999983</v>
      </c>
    </row>
    <row r="128" spans="1:8" ht="14.25" customHeight="1" x14ac:dyDescent="0.3">
      <c r="A128" s="218" t="s">
        <v>182</v>
      </c>
      <c r="B128" s="80" t="str">
        <f t="shared" si="21"/>
        <v>Raisin - زبيب</v>
      </c>
      <c r="C128" s="80" t="str">
        <f t="shared" si="21"/>
        <v>gm</v>
      </c>
      <c r="D128" s="80">
        <f t="shared" si="21"/>
        <v>35</v>
      </c>
      <c r="E128" s="196">
        <f t="shared" si="22"/>
        <v>0.96999999999999886</v>
      </c>
      <c r="F128" s="117">
        <f t="shared" si="23"/>
        <v>0.5</v>
      </c>
      <c r="G128" s="118">
        <f t="shared" si="24"/>
        <v>33.94999999999996</v>
      </c>
      <c r="H128" s="119">
        <f t="shared" si="25"/>
        <v>16.97499999999998</v>
      </c>
    </row>
    <row r="129" spans="1:8" ht="20.25" customHeight="1" x14ac:dyDescent="0.3">
      <c r="A129" s="210"/>
      <c r="B129" s="197" t="s">
        <v>291</v>
      </c>
      <c r="C129" s="199" t="s">
        <v>277</v>
      </c>
      <c r="D129" s="14"/>
      <c r="E129" s="199" t="s">
        <v>292</v>
      </c>
      <c r="F129" s="14"/>
      <c r="G129" s="878" t="s">
        <v>268</v>
      </c>
      <c r="H129" s="878" t="s">
        <v>703</v>
      </c>
    </row>
    <row r="130" spans="1:8" ht="20" x14ac:dyDescent="0.4">
      <c r="A130" s="210"/>
      <c r="B130" s="198">
        <f>$J$56</f>
        <v>970</v>
      </c>
      <c r="C130" s="198">
        <f>E130+G130</f>
        <v>0</v>
      </c>
      <c r="D130" s="915"/>
      <c r="E130" s="198">
        <f>$C$55*$S$44</f>
        <v>0</v>
      </c>
      <c r="F130" s="919"/>
      <c r="G130" s="198">
        <f>$C$55*$T$44</f>
        <v>0</v>
      </c>
      <c r="H130" s="198">
        <f>B130+E130</f>
        <v>970</v>
      </c>
    </row>
    <row r="132" spans="1:8" ht="18" x14ac:dyDescent="0.3">
      <c r="A132" s="321"/>
      <c r="B132" s="1447" t="str">
        <f>"كابلى لحم 5 / " &amp; COUNTIF($H$53:$H$58, "&gt;0")</f>
        <v>كابلى لحم 5 / 4</v>
      </c>
      <c r="C132" s="1458"/>
      <c r="D132" s="1458"/>
      <c r="E132" s="1458"/>
      <c r="F132" s="1458"/>
      <c r="G132" s="1458"/>
      <c r="H132" s="1458"/>
    </row>
    <row r="133" spans="1:8" ht="18" x14ac:dyDescent="0.3">
      <c r="A133" s="321"/>
      <c r="B133" s="1447" t="str">
        <f>"Beef Kabli 5 / " &amp; COUNTIF($H$53:$H$58, "&gt;0")</f>
        <v>Beef Kabli 5 / 4</v>
      </c>
      <c r="C133" s="1458"/>
      <c r="D133" s="1458"/>
      <c r="E133" s="1458"/>
      <c r="F133" s="1458"/>
      <c r="G133" s="1458"/>
      <c r="H133" s="1458"/>
    </row>
    <row r="134" spans="1:8" ht="39" x14ac:dyDescent="0.3">
      <c r="A134" s="90"/>
      <c r="B134" s="90" t="s">
        <v>717</v>
      </c>
      <c r="C134" s="306" t="s">
        <v>321</v>
      </c>
      <c r="D134" s="90" t="s">
        <v>322</v>
      </c>
      <c r="E134" s="107" t="s">
        <v>323</v>
      </c>
      <c r="F134" s="107" t="s">
        <v>324</v>
      </c>
      <c r="G134" s="307" t="s">
        <v>325</v>
      </c>
      <c r="H134" s="108" t="s">
        <v>326</v>
      </c>
    </row>
    <row r="135" spans="1:8" x14ac:dyDescent="0.3">
      <c r="A135" s="218" t="s">
        <v>225</v>
      </c>
      <c r="B135" s="80" t="str">
        <f t="shared" ref="B135:D145" si="26">B5</f>
        <v>Indian Meat Alana  - لحم هندى ألانا</v>
      </c>
      <c r="C135" s="80" t="str">
        <f t="shared" si="26"/>
        <v>gm</v>
      </c>
      <c r="D135" s="118">
        <f t="shared" si="26"/>
        <v>1721.7927305910914</v>
      </c>
      <c r="E135" s="196">
        <f t="shared" ref="E135:E145" si="27">$H$57</f>
        <v>0</v>
      </c>
      <c r="F135" s="117">
        <f>F5</f>
        <v>1</v>
      </c>
      <c r="G135" s="118">
        <f t="shared" ref="G135:G145" si="28">D135*E135</f>
        <v>0</v>
      </c>
      <c r="H135" s="119">
        <f t="shared" ref="H135:H145" si="29">G135*F135</f>
        <v>0</v>
      </c>
    </row>
    <row r="136" spans="1:8" x14ac:dyDescent="0.3">
      <c r="A136" s="218" t="s">
        <v>13</v>
      </c>
      <c r="B136" s="80" t="str">
        <f t="shared" si="26"/>
        <v>Tomato - طماطم</v>
      </c>
      <c r="C136" s="80" t="str">
        <f t="shared" si="26"/>
        <v>gm</v>
      </c>
      <c r="D136" s="80">
        <f t="shared" si="26"/>
        <v>100</v>
      </c>
      <c r="E136" s="196">
        <f t="shared" si="27"/>
        <v>0</v>
      </c>
      <c r="F136" s="117">
        <f t="shared" ref="F136:F145" si="30">F6</f>
        <v>1</v>
      </c>
      <c r="G136" s="118">
        <f t="shared" si="28"/>
        <v>0</v>
      </c>
      <c r="H136" s="119">
        <f t="shared" si="29"/>
        <v>0</v>
      </c>
    </row>
    <row r="137" spans="1:8" x14ac:dyDescent="0.3">
      <c r="A137" s="218" t="s">
        <v>95</v>
      </c>
      <c r="B137" s="80" t="str">
        <f t="shared" si="26"/>
        <v>Kabsa Spices Powder - توابل كبسة بودر</v>
      </c>
      <c r="C137" s="80" t="str">
        <f t="shared" si="26"/>
        <v>gm</v>
      </c>
      <c r="D137" s="80">
        <f t="shared" si="26"/>
        <v>19</v>
      </c>
      <c r="E137" s="196">
        <f t="shared" si="27"/>
        <v>0</v>
      </c>
      <c r="F137" s="117">
        <f t="shared" si="30"/>
        <v>0.7</v>
      </c>
      <c r="G137" s="118">
        <f t="shared" si="28"/>
        <v>0</v>
      </c>
      <c r="H137" s="119">
        <f t="shared" si="29"/>
        <v>0</v>
      </c>
    </row>
    <row r="138" spans="1:8" x14ac:dyDescent="0.3">
      <c r="A138" s="218" t="s">
        <v>95</v>
      </c>
      <c r="B138" s="80" t="str">
        <f t="shared" si="26"/>
        <v>Cumin Powder - كمون مطحون</v>
      </c>
      <c r="C138" s="80" t="str">
        <f t="shared" si="26"/>
        <v>gm</v>
      </c>
      <c r="D138" s="80">
        <f t="shared" si="26"/>
        <v>20</v>
      </c>
      <c r="E138" s="196">
        <f t="shared" si="27"/>
        <v>0</v>
      </c>
      <c r="F138" s="117">
        <f t="shared" si="30"/>
        <v>0.7</v>
      </c>
      <c r="G138" s="118">
        <f t="shared" si="28"/>
        <v>0</v>
      </c>
      <c r="H138" s="119">
        <f t="shared" si="29"/>
        <v>0</v>
      </c>
    </row>
    <row r="139" spans="1:8" x14ac:dyDescent="0.3">
      <c r="A139" s="218" t="s">
        <v>192</v>
      </c>
      <c r="B139" s="80" t="str">
        <f t="shared" si="26"/>
        <v>Tomato Paste - صلصة طماطم</v>
      </c>
      <c r="C139" s="80" t="str">
        <f t="shared" si="26"/>
        <v>gm</v>
      </c>
      <c r="D139" s="80">
        <f t="shared" si="26"/>
        <v>130</v>
      </c>
      <c r="E139" s="196">
        <f t="shared" si="27"/>
        <v>0</v>
      </c>
      <c r="F139" s="117">
        <f t="shared" si="30"/>
        <v>0.85</v>
      </c>
      <c r="G139" s="118">
        <f t="shared" si="28"/>
        <v>0</v>
      </c>
      <c r="H139" s="119">
        <f t="shared" si="29"/>
        <v>0</v>
      </c>
    </row>
    <row r="140" spans="1:8" x14ac:dyDescent="0.3">
      <c r="A140" s="218" t="s">
        <v>13</v>
      </c>
      <c r="B140" s="80" t="str">
        <f t="shared" si="26"/>
        <v>Orange - برتقال</v>
      </c>
      <c r="C140" s="80" t="str">
        <f t="shared" si="26"/>
        <v>gm</v>
      </c>
      <c r="D140" s="80">
        <f t="shared" si="26"/>
        <v>200</v>
      </c>
      <c r="E140" s="196">
        <f t="shared" si="27"/>
        <v>0</v>
      </c>
      <c r="F140" s="117">
        <f t="shared" si="30"/>
        <v>0.85</v>
      </c>
      <c r="G140" s="118">
        <f t="shared" si="28"/>
        <v>0</v>
      </c>
      <c r="H140" s="119">
        <f t="shared" si="29"/>
        <v>0</v>
      </c>
    </row>
    <row r="141" spans="1:8" x14ac:dyDescent="0.3">
      <c r="A141" s="218" t="s">
        <v>206</v>
      </c>
      <c r="B141" s="80" t="str">
        <f t="shared" si="26"/>
        <v>Rose Water - ماء الورد</v>
      </c>
      <c r="C141" s="80" t="str">
        <f t="shared" si="26"/>
        <v>ml</v>
      </c>
      <c r="D141" s="80">
        <f t="shared" si="26"/>
        <v>35</v>
      </c>
      <c r="E141" s="196">
        <f t="shared" si="27"/>
        <v>0</v>
      </c>
      <c r="F141" s="117">
        <f t="shared" si="30"/>
        <v>0.75</v>
      </c>
      <c r="G141" s="118">
        <f t="shared" si="28"/>
        <v>0</v>
      </c>
      <c r="H141" s="119">
        <f t="shared" si="29"/>
        <v>0</v>
      </c>
    </row>
    <row r="142" spans="1:8" x14ac:dyDescent="0.3">
      <c r="A142" s="218" t="s">
        <v>206</v>
      </c>
      <c r="B142" s="80" t="str">
        <f t="shared" si="26"/>
        <v>Water - ماء</v>
      </c>
      <c r="C142" s="80" t="str">
        <f t="shared" si="26"/>
        <v>ml</v>
      </c>
      <c r="D142" s="80">
        <f t="shared" si="26"/>
        <v>800</v>
      </c>
      <c r="E142" s="196">
        <f t="shared" si="27"/>
        <v>0</v>
      </c>
      <c r="F142" s="117">
        <f t="shared" si="30"/>
        <v>1</v>
      </c>
      <c r="G142" s="118">
        <f t="shared" si="28"/>
        <v>0</v>
      </c>
      <c r="H142" s="119">
        <f t="shared" si="29"/>
        <v>0</v>
      </c>
    </row>
    <row r="143" spans="1:8" x14ac:dyDescent="0.3">
      <c r="A143" s="218" t="s">
        <v>13</v>
      </c>
      <c r="B143" s="80" t="str">
        <f t="shared" si="26"/>
        <v>Garlic - ثوم مقشر</v>
      </c>
      <c r="C143" s="80" t="str">
        <f t="shared" si="26"/>
        <v>gm</v>
      </c>
      <c r="D143" s="80">
        <f t="shared" si="26"/>
        <v>30</v>
      </c>
      <c r="E143" s="196">
        <f t="shared" si="27"/>
        <v>0</v>
      </c>
      <c r="F143" s="117">
        <f t="shared" si="30"/>
        <v>0.4</v>
      </c>
      <c r="G143" s="118">
        <f t="shared" si="28"/>
        <v>0</v>
      </c>
      <c r="H143" s="119">
        <f t="shared" si="29"/>
        <v>0</v>
      </c>
    </row>
    <row r="144" spans="1:8" x14ac:dyDescent="0.3">
      <c r="A144" s="218" t="s">
        <v>154</v>
      </c>
      <c r="B144" s="80" t="str">
        <f t="shared" si="26"/>
        <v>Yogurt - زبادي</v>
      </c>
      <c r="C144" s="80" t="str">
        <f t="shared" si="26"/>
        <v>gm</v>
      </c>
      <c r="D144" s="80">
        <f t="shared" si="26"/>
        <v>300</v>
      </c>
      <c r="E144" s="196">
        <f t="shared" si="27"/>
        <v>0</v>
      </c>
      <c r="F144" s="117">
        <f t="shared" si="30"/>
        <v>0.5</v>
      </c>
      <c r="G144" s="118">
        <f t="shared" si="28"/>
        <v>0</v>
      </c>
      <c r="H144" s="119">
        <f t="shared" si="29"/>
        <v>0</v>
      </c>
    </row>
    <row r="145" spans="1:8" x14ac:dyDescent="0.3">
      <c r="A145" s="218" t="s">
        <v>182</v>
      </c>
      <c r="B145" s="80" t="str">
        <f t="shared" si="26"/>
        <v>Raisin - زبيب</v>
      </c>
      <c r="C145" s="80" t="str">
        <f t="shared" si="26"/>
        <v>gm</v>
      </c>
      <c r="D145" s="80">
        <f t="shared" si="26"/>
        <v>35</v>
      </c>
      <c r="E145" s="196">
        <f t="shared" si="27"/>
        <v>0</v>
      </c>
      <c r="F145" s="117">
        <f t="shared" si="30"/>
        <v>0.5</v>
      </c>
      <c r="G145" s="118">
        <f t="shared" si="28"/>
        <v>0</v>
      </c>
      <c r="H145" s="119">
        <f t="shared" si="29"/>
        <v>0</v>
      </c>
    </row>
    <row r="146" spans="1:8" ht="18" x14ac:dyDescent="0.3">
      <c r="A146" s="210"/>
      <c r="B146" s="197" t="s">
        <v>291</v>
      </c>
      <c r="C146" s="199" t="s">
        <v>277</v>
      </c>
      <c r="D146" s="14"/>
      <c r="E146" s="199" t="s">
        <v>292</v>
      </c>
      <c r="F146" s="14"/>
      <c r="G146" s="878" t="s">
        <v>268</v>
      </c>
      <c r="H146" s="878" t="s">
        <v>703</v>
      </c>
    </row>
    <row r="147" spans="1:8" ht="20" x14ac:dyDescent="0.4">
      <c r="A147" s="210"/>
      <c r="B147" s="198">
        <f>$J$57</f>
        <v>0</v>
      </c>
      <c r="C147" s="198">
        <f>E147+G147</f>
        <v>0</v>
      </c>
      <c r="D147" s="915"/>
      <c r="E147" s="198">
        <f>$C$55*$S$44</f>
        <v>0</v>
      </c>
      <c r="F147" s="919"/>
      <c r="G147" s="198">
        <f>$C$55*$T$44</f>
        <v>0</v>
      </c>
      <c r="H147" s="198">
        <f>B147+E147</f>
        <v>0</v>
      </c>
    </row>
  </sheetData>
  <mergeCells count="15">
    <mergeCell ref="B62:H62"/>
    <mergeCell ref="B2:K3"/>
    <mergeCell ref="AE2:AG3"/>
    <mergeCell ref="R25:T25"/>
    <mergeCell ref="R26:T26"/>
    <mergeCell ref="B35:F35"/>
    <mergeCell ref="B116:H116"/>
    <mergeCell ref="B132:H132"/>
    <mergeCell ref="B133:H133"/>
    <mergeCell ref="B63:H63"/>
    <mergeCell ref="B79:H79"/>
    <mergeCell ref="B80:H80"/>
    <mergeCell ref="B98:H98"/>
    <mergeCell ref="B99:H99"/>
    <mergeCell ref="B115:H115"/>
  </mergeCells>
  <printOptions horizontalCentered="1"/>
  <pageMargins left="0.5" right="0.5" top="1" bottom="0.5" header="0.3" footer="0.511811023622047"/>
  <pageSetup paperSize="9" scale="27" orientation="portrait" r:id="rId1"/>
  <legacy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A41A1-5A6F-4B86-B2F7-92AB0543EBD4}">
  <sheetPr codeName="Sheet86">
    <tabColor rgb="FFFFFF00"/>
    <outlinePr summaryBelow="0" summaryRight="0"/>
    <pageSetUpPr fitToPage="1"/>
  </sheetPr>
  <dimension ref="A1:AD962"/>
  <sheetViews>
    <sheetView topLeftCell="H1" zoomScale="70" zoomScaleNormal="70" zoomScaleSheetLayoutView="55" workbookViewId="0">
      <selection activeCell="Q43" sqref="Q43:T44"/>
    </sheetView>
  </sheetViews>
  <sheetFormatPr defaultColWidth="12.5" defaultRowHeight="13" x14ac:dyDescent="0.3"/>
  <cols>
    <col min="1" max="1" width="12.5" style="662"/>
    <col min="2" max="2" width="31.33203125" style="662" bestFit="1" customWidth="1"/>
    <col min="3" max="3" width="24" style="662" customWidth="1"/>
    <col min="4" max="4" width="19" style="662" customWidth="1"/>
    <col min="5" max="5" width="16.1640625" style="662" bestFit="1" customWidth="1"/>
    <col min="6" max="6" width="23" style="662" customWidth="1"/>
    <col min="7" max="7" width="25.1640625" style="662" customWidth="1"/>
    <col min="8" max="8" width="36.1640625" style="662" bestFit="1" customWidth="1"/>
    <col min="9" max="10" width="12.5" style="662"/>
    <col min="11" max="11" width="7.08203125" style="662" customWidth="1"/>
    <col min="12" max="12" width="8.33203125" style="662" customWidth="1"/>
    <col min="13" max="17" width="2.4140625" style="662" customWidth="1"/>
    <col min="18" max="16384" width="12.5" style="662"/>
  </cols>
  <sheetData>
    <row r="1" spans="1:30" ht="28.5" customHeight="1" x14ac:dyDescent="0.3">
      <c r="A1" s="14"/>
      <c r="B1" s="653" t="s">
        <v>235</v>
      </c>
      <c r="C1" s="658">
        <v>1000</v>
      </c>
      <c r="D1" s="659" t="s">
        <v>236</v>
      </c>
      <c r="E1" s="660">
        <f>S29</f>
        <v>27460</v>
      </c>
      <c r="F1" s="653" t="s">
        <v>237</v>
      </c>
      <c r="G1" s="660">
        <f>E1/C1</f>
        <v>27.46</v>
      </c>
      <c r="H1" s="653" t="s">
        <v>238</v>
      </c>
      <c r="I1" s="764">
        <f>G1/K1</f>
        <v>27.188118811881189</v>
      </c>
      <c r="J1" s="765" t="s">
        <v>239</v>
      </c>
      <c r="K1" s="766">
        <v>1.01</v>
      </c>
      <c r="L1" s="661"/>
      <c r="M1" s="661"/>
      <c r="N1" s="661"/>
      <c r="O1" s="661"/>
      <c r="P1" s="661"/>
      <c r="Q1" s="661"/>
      <c r="R1" s="661"/>
      <c r="S1" s="661"/>
      <c r="T1" s="661"/>
      <c r="U1" s="661"/>
      <c r="V1" s="661"/>
      <c r="Y1" s="90" t="s">
        <v>463</v>
      </c>
      <c r="Z1" s="835">
        <v>27460</v>
      </c>
      <c r="AA1" s="90" t="s">
        <v>578</v>
      </c>
      <c r="AB1" s="835">
        <v>0</v>
      </c>
      <c r="AC1" s="90" t="s">
        <v>567</v>
      </c>
      <c r="AD1" s="835">
        <v>187</v>
      </c>
    </row>
    <row r="2" spans="1:30" ht="12.75" customHeight="1" x14ac:dyDescent="0.3">
      <c r="A2" s="329"/>
      <c r="B2" s="1478" t="s">
        <v>536</v>
      </c>
      <c r="C2" s="1478"/>
      <c r="D2" s="1478"/>
      <c r="E2" s="1478"/>
      <c r="F2" s="1478"/>
      <c r="G2" s="1478"/>
      <c r="H2" s="1478"/>
      <c r="I2" s="767"/>
      <c r="J2" s="767"/>
      <c r="K2" s="767"/>
      <c r="L2" s="661"/>
      <c r="M2" s="661"/>
      <c r="N2" s="661"/>
      <c r="O2" s="661"/>
      <c r="P2" s="661"/>
      <c r="Q2" s="661"/>
      <c r="R2" s="661"/>
      <c r="S2" s="661"/>
      <c r="T2" s="661"/>
      <c r="U2" s="661"/>
    </row>
    <row r="3" spans="1:30" ht="12.75" customHeight="1" x14ac:dyDescent="0.3">
      <c r="A3" s="329"/>
      <c r="B3" s="1479"/>
      <c r="C3" s="1479"/>
      <c r="D3" s="1479"/>
      <c r="E3" s="1479"/>
      <c r="F3" s="1479"/>
      <c r="G3" s="1479"/>
      <c r="H3" s="1479"/>
      <c r="I3" s="767"/>
      <c r="J3" s="767"/>
      <c r="K3" s="767"/>
      <c r="L3" s="661"/>
      <c r="M3" s="661"/>
      <c r="N3" s="661"/>
      <c r="O3" s="661"/>
      <c r="P3" s="661"/>
      <c r="Q3" s="661"/>
      <c r="R3" s="661"/>
      <c r="S3" s="661"/>
      <c r="T3" s="661"/>
      <c r="U3" s="661"/>
    </row>
    <row r="4" spans="1:30" ht="68.75" customHeight="1" x14ac:dyDescent="0.3">
      <c r="A4" s="90" t="s">
        <v>1</v>
      </c>
      <c r="B4" s="663" t="s">
        <v>245</v>
      </c>
      <c r="C4" s="664" t="s">
        <v>246</v>
      </c>
      <c r="D4" s="663" t="s">
        <v>235</v>
      </c>
      <c r="E4" s="665" t="s">
        <v>238</v>
      </c>
      <c r="F4" s="666" t="s">
        <v>247</v>
      </c>
      <c r="G4" s="663" t="s">
        <v>248</v>
      </c>
      <c r="H4" s="762" t="s">
        <v>532</v>
      </c>
      <c r="I4" s="90" t="s">
        <v>250</v>
      </c>
      <c r="J4" s="90" t="s">
        <v>251</v>
      </c>
      <c r="K4" s="90" t="s">
        <v>252</v>
      </c>
      <c r="L4" s="90" t="s">
        <v>253</v>
      </c>
      <c r="M4" s="661"/>
      <c r="N4" s="661"/>
      <c r="O4" s="661"/>
      <c r="P4" s="661"/>
      <c r="Q4" s="661"/>
      <c r="R4" s="661"/>
      <c r="S4" s="661"/>
      <c r="T4" s="661"/>
      <c r="U4" s="661"/>
    </row>
    <row r="5" spans="1:30" x14ac:dyDescent="0.3">
      <c r="A5" s="218"/>
      <c r="B5" s="768"/>
      <c r="C5" s="769"/>
      <c r="D5" s="768"/>
      <c r="E5" s="770"/>
      <c r="F5" s="768"/>
      <c r="G5" s="768"/>
      <c r="H5" s="771"/>
      <c r="I5" s="80"/>
      <c r="J5" s="118"/>
      <c r="K5" s="121"/>
      <c r="L5" s="121"/>
    </row>
    <row r="6" spans="1:30" ht="14.5" x14ac:dyDescent="0.3">
      <c r="A6" s="920"/>
      <c r="B6" s="667" t="s">
        <v>537</v>
      </c>
      <c r="C6" s="668" t="s">
        <v>14</v>
      </c>
      <c r="D6" s="669">
        <v>330</v>
      </c>
      <c r="E6" s="670">
        <f>$I$1</f>
        <v>27.188118811881189</v>
      </c>
      <c r="F6" s="671">
        <v>1</v>
      </c>
      <c r="G6" s="672">
        <f>D6*E6</f>
        <v>8972.0792079207931</v>
      </c>
      <c r="H6" s="763">
        <f>G6*F6</f>
        <v>8972.0792079207931</v>
      </c>
      <c r="I6" s="80">
        <f>VLOOKUP(B6,All_Ingredients!$A$1:$F$149,6,FALSE())</f>
        <v>1</v>
      </c>
      <c r="J6" s="118">
        <f>VLOOKUP(B6,All_Ingredients!$A$1:$J$149,10,FALSE())</f>
        <v>9.0740740740740726</v>
      </c>
      <c r="K6" s="121">
        <f t="shared" ref="K6:K9" si="0">(H6/I6)/1000</f>
        <v>8.9720792079207925</v>
      </c>
      <c r="L6" s="121">
        <f t="shared" ref="L6:L9" si="1">K6*J6</f>
        <v>81.413311331133102</v>
      </c>
    </row>
    <row r="7" spans="1:30" ht="14.5" x14ac:dyDescent="0.3">
      <c r="A7" s="920"/>
      <c r="B7" s="667" t="s">
        <v>205</v>
      </c>
      <c r="C7" s="1369" t="s">
        <v>161</v>
      </c>
      <c r="D7" s="669">
        <v>8000</v>
      </c>
      <c r="E7" s="669">
        <f>$I$1</f>
        <v>27.188118811881189</v>
      </c>
      <c r="F7" s="671">
        <v>0.5</v>
      </c>
      <c r="G7" s="672">
        <f>D7*E7</f>
        <v>217504.9504950495</v>
      </c>
      <c r="H7" s="763">
        <f>G7*F7</f>
        <v>108752.47524752475</v>
      </c>
      <c r="I7" s="80">
        <f>VLOOKUP(B7,All_Ingredients!$A$1:$F$149,6,FALSE())</f>
        <v>1</v>
      </c>
      <c r="J7" s="118">
        <f>VLOOKUP(B7,All_Ingredients!$A$1:$J$149,10,FALSE())</f>
        <v>0</v>
      </c>
      <c r="K7" s="121">
        <f t="shared" si="0"/>
        <v>108.75247524752476</v>
      </c>
      <c r="L7" s="121">
        <f t="shared" si="1"/>
        <v>0</v>
      </c>
    </row>
    <row r="8" spans="1:30" ht="14.5" x14ac:dyDescent="0.3">
      <c r="A8" s="920"/>
      <c r="B8" s="667" t="s">
        <v>94</v>
      </c>
      <c r="C8" s="668" t="s">
        <v>14</v>
      </c>
      <c r="D8" s="669">
        <v>10</v>
      </c>
      <c r="E8" s="669">
        <f>$I$1</f>
        <v>27.188118811881189</v>
      </c>
      <c r="F8" s="671">
        <v>1</v>
      </c>
      <c r="G8" s="672">
        <f>D8*E8</f>
        <v>271.88118811881191</v>
      </c>
      <c r="H8" s="763">
        <f>G8*F8</f>
        <v>271.88118811881191</v>
      </c>
      <c r="I8" s="80">
        <f>VLOOKUP(B8,All_Ingredients!$A$1:$F$149,6,FALSE())</f>
        <v>1</v>
      </c>
      <c r="J8" s="118">
        <f>VLOOKUP(B8,All_Ingredients!$A$1:$J$149,10,FALSE())</f>
        <v>0.74</v>
      </c>
      <c r="K8" s="121">
        <f t="shared" si="0"/>
        <v>0.2718811881188119</v>
      </c>
      <c r="L8" s="121">
        <f t="shared" si="1"/>
        <v>0.20119207920792082</v>
      </c>
    </row>
    <row r="9" spans="1:30" ht="14.5" x14ac:dyDescent="0.3">
      <c r="A9" s="920"/>
      <c r="B9" s="667" t="s">
        <v>213</v>
      </c>
      <c r="C9" s="668" t="s">
        <v>14</v>
      </c>
      <c r="D9" s="669">
        <v>5</v>
      </c>
      <c r="E9" s="669">
        <f>$I$1</f>
        <v>27.188118811881189</v>
      </c>
      <c r="F9" s="671">
        <v>1</v>
      </c>
      <c r="G9" s="672">
        <f>D9*E9</f>
        <v>135.94059405940595</v>
      </c>
      <c r="H9" s="763">
        <f>G9*F9</f>
        <v>135.94059405940595</v>
      </c>
      <c r="I9" s="80">
        <f>VLOOKUP(B9,All_Ingredients!$A$1:$F$149,6,FALSE())</f>
        <v>1</v>
      </c>
      <c r="J9" s="118">
        <f>VLOOKUP(B9,All_Ingredients!$A$1:$J$149,10,FALSE())</f>
        <v>15.5</v>
      </c>
      <c r="K9" s="121">
        <f t="shared" si="0"/>
        <v>0.13594059405940595</v>
      </c>
      <c r="L9" s="121">
        <f t="shared" si="1"/>
        <v>2.1070792079207923</v>
      </c>
    </row>
    <row r="10" spans="1:30" ht="14.5" x14ac:dyDescent="0.3">
      <c r="B10" s="674"/>
      <c r="C10" s="675"/>
      <c r="D10" s="676"/>
      <c r="E10" s="677"/>
      <c r="F10" s="678"/>
      <c r="G10" s="679"/>
      <c r="H10" s="680"/>
    </row>
    <row r="11" spans="1:30" x14ac:dyDescent="0.3">
      <c r="E11" s="661"/>
      <c r="F11" s="661"/>
    </row>
    <row r="12" spans="1:30" x14ac:dyDescent="0.3">
      <c r="E12" s="661"/>
      <c r="F12" s="661"/>
    </row>
    <row r="13" spans="1:30" x14ac:dyDescent="0.3">
      <c r="E13" s="661"/>
      <c r="F13" s="661"/>
    </row>
    <row r="14" spans="1:30" x14ac:dyDescent="0.3">
      <c r="E14" s="661"/>
      <c r="F14" s="661"/>
    </row>
    <row r="15" spans="1:30" x14ac:dyDescent="0.3">
      <c r="E15" s="661"/>
      <c r="F15" s="661"/>
    </row>
    <row r="16" spans="1:30" x14ac:dyDescent="0.3">
      <c r="E16" s="661"/>
      <c r="F16" s="661"/>
    </row>
    <row r="17" spans="2:29" x14ac:dyDescent="0.3">
      <c r="E17" s="661"/>
      <c r="F17" s="661"/>
    </row>
    <row r="18" spans="2:29" x14ac:dyDescent="0.3">
      <c r="B18" s="661"/>
      <c r="E18" s="661"/>
      <c r="F18" s="661"/>
    </row>
    <row r="24" spans="2:29" x14ac:dyDescent="0.3">
      <c r="Z24" s="1271"/>
    </row>
    <row r="25" spans="2:29" ht="14" x14ac:dyDescent="0.3">
      <c r="R25" s="1480" t="s">
        <v>538</v>
      </c>
      <c r="S25" s="1480"/>
      <c r="Z25" s="140" t="s">
        <v>14</v>
      </c>
      <c r="AA25" s="141">
        <v>1</v>
      </c>
      <c r="AB25" s="140" t="s">
        <v>253</v>
      </c>
      <c r="AC25" s="142">
        <f>(S33/S29)*AA25</f>
        <v>3.0488558855885583E-3</v>
      </c>
    </row>
    <row r="26" spans="2:29" ht="14" x14ac:dyDescent="0.3">
      <c r="R26" s="682" t="s">
        <v>258</v>
      </c>
      <c r="S26" s="682" t="s">
        <v>568</v>
      </c>
    </row>
    <row r="27" spans="2:29" ht="14" x14ac:dyDescent="0.3">
      <c r="R27" s="682" t="s">
        <v>531</v>
      </c>
      <c r="S27" s="789">
        <f>Z1</f>
        <v>27460</v>
      </c>
    </row>
    <row r="28" spans="2:29" ht="14" x14ac:dyDescent="0.3">
      <c r="R28" s="682" t="s">
        <v>269</v>
      </c>
      <c r="S28" s="821">
        <f>AB1</f>
        <v>0</v>
      </c>
    </row>
    <row r="29" spans="2:29" ht="14.5" x14ac:dyDescent="0.3">
      <c r="R29" s="682" t="s">
        <v>261</v>
      </c>
      <c r="S29" s="684">
        <f>S27+S28</f>
        <v>27460</v>
      </c>
    </row>
    <row r="32" spans="2:29" ht="13.5" thickBot="1" x14ac:dyDescent="0.35"/>
    <row r="33" spans="18:19" ht="13.5" thickBot="1" x14ac:dyDescent="0.35">
      <c r="R33" s="162" t="s">
        <v>253</v>
      </c>
      <c r="S33" s="1125">
        <f>SUM(L5:L9)</f>
        <v>83.721582618261806</v>
      </c>
    </row>
    <row r="35" spans="18:19" ht="14" customHeight="1" x14ac:dyDescent="0.3"/>
    <row r="36" spans="18:19" ht="14" customHeight="1" x14ac:dyDescent="0.3"/>
    <row r="50" spans="1:8" ht="14.5" x14ac:dyDescent="0.35">
      <c r="B50" s="681"/>
      <c r="C50" s="681" t="s">
        <v>237</v>
      </c>
      <c r="D50" s="681" t="s">
        <v>283</v>
      </c>
    </row>
    <row r="51" spans="1:8" ht="14" x14ac:dyDescent="0.3">
      <c r="B51" s="179" t="s">
        <v>287</v>
      </c>
      <c r="C51" s="180">
        <f>10/$K$1</f>
        <v>9.9009900990099009</v>
      </c>
      <c r="D51" s="181">
        <f>$C$1*10</f>
        <v>10000</v>
      </c>
    </row>
    <row r="52" spans="1:8" ht="14.5" x14ac:dyDescent="0.35">
      <c r="B52" s="683" t="s">
        <v>261</v>
      </c>
      <c r="C52" s="654">
        <f>G1</f>
        <v>27.46</v>
      </c>
      <c r="D52" s="654">
        <f>E1</f>
        <v>27460</v>
      </c>
    </row>
    <row r="53" spans="1:8" ht="14.5" x14ac:dyDescent="0.35">
      <c r="B53" s="683" t="s">
        <v>288</v>
      </c>
      <c r="C53" s="655">
        <f>MIN($C$52, C51)</f>
        <v>9.9009900990099009</v>
      </c>
      <c r="D53" s="913">
        <f>(C53*$K$1)*$C$1</f>
        <v>10000</v>
      </c>
    </row>
    <row r="54" spans="1:8" ht="14.5" x14ac:dyDescent="0.35">
      <c r="B54" s="683" t="s">
        <v>289</v>
      </c>
      <c r="C54" s="655">
        <f>MIN(MAX($C$52-C53,0),$C$51)</f>
        <v>9.9009900990099009</v>
      </c>
      <c r="D54" s="913">
        <f>(C54*$K$1)*$C$1</f>
        <v>10000</v>
      </c>
    </row>
    <row r="55" spans="1:8" ht="14.5" x14ac:dyDescent="0.35">
      <c r="B55" s="683" t="s">
        <v>290</v>
      </c>
      <c r="C55" s="655">
        <f>MIN(MAX($C$52-C53-C54,0),$C$51)</f>
        <v>7.6580198019801973</v>
      </c>
      <c r="D55" s="913">
        <f>(C55*$K$1)*$C$1</f>
        <v>7734.5999999999995</v>
      </c>
    </row>
    <row r="56" spans="1:8" ht="14.5" x14ac:dyDescent="0.35">
      <c r="B56" s="683" t="s">
        <v>297</v>
      </c>
      <c r="C56" s="655">
        <f>MIN(MAX($C$52-C53-C54-C55,0),$C$51)</f>
        <v>0</v>
      </c>
      <c r="D56" s="656">
        <f>C56*$K$1</f>
        <v>0</v>
      </c>
    </row>
    <row r="57" spans="1:8" ht="14" customHeight="1" x14ac:dyDescent="0.3"/>
    <row r="58" spans="1:8" ht="14" customHeight="1" x14ac:dyDescent="0.3"/>
    <row r="62" spans="1:8" ht="14" customHeight="1" x14ac:dyDescent="0.3">
      <c r="A62" s="927"/>
      <c r="B62" s="1438" t="s">
        <v>813</v>
      </c>
      <c r="C62" s="1439"/>
      <c r="D62" s="1439"/>
      <c r="E62" s="1439"/>
      <c r="F62" s="1439"/>
      <c r="G62" s="1439"/>
      <c r="H62" s="1439"/>
    </row>
    <row r="63" spans="1:8" ht="14" customHeight="1" x14ac:dyDescent="0.3">
      <c r="A63" s="927"/>
      <c r="B63" s="1438" t="s">
        <v>814</v>
      </c>
      <c r="C63" s="1439"/>
      <c r="D63" s="1439"/>
      <c r="E63" s="1439"/>
      <c r="F63" s="1439"/>
      <c r="G63" s="1439"/>
      <c r="H63" s="1439"/>
    </row>
    <row r="64" spans="1:8" ht="26" x14ac:dyDescent="0.3">
      <c r="A64" s="90" t="s">
        <v>1</v>
      </c>
      <c r="B64" s="242" t="s">
        <v>245</v>
      </c>
      <c r="C64" s="243" t="s">
        <v>246</v>
      </c>
      <c r="D64" s="244" t="s">
        <v>235</v>
      </c>
      <c r="E64" s="217" t="s">
        <v>238</v>
      </c>
      <c r="F64" s="217" t="s">
        <v>247</v>
      </c>
      <c r="G64" s="244" t="s">
        <v>248</v>
      </c>
      <c r="H64" s="217" t="s">
        <v>249</v>
      </c>
    </row>
    <row r="65" spans="1:8" ht="14.5" x14ac:dyDescent="0.3">
      <c r="A65" s="920"/>
      <c r="B65" s="667" t="str">
        <f t="shared" ref="B65:D68" si="2">B6</f>
        <v>Pasta Spaghettini  - مكرونة اسباجيتي</v>
      </c>
      <c r="C65" s="668" t="str">
        <f t="shared" si="2"/>
        <v>gm</v>
      </c>
      <c r="D65" s="685">
        <f t="shared" si="2"/>
        <v>330</v>
      </c>
      <c r="E65" s="669">
        <f>$C$52</f>
        <v>27.46</v>
      </c>
      <c r="F65" s="671">
        <f>F6</f>
        <v>1</v>
      </c>
      <c r="G65" s="672">
        <f>D65*E65</f>
        <v>9061.8000000000011</v>
      </c>
      <c r="H65" s="673">
        <f>G65*F65</f>
        <v>9061.8000000000011</v>
      </c>
    </row>
    <row r="66" spans="1:8" ht="14.5" x14ac:dyDescent="0.3">
      <c r="A66" s="920"/>
      <c r="B66" s="667" t="str">
        <f t="shared" si="2"/>
        <v>Water - ماء</v>
      </c>
      <c r="C66" s="668" t="str">
        <f t="shared" si="2"/>
        <v>ml</v>
      </c>
      <c r="D66" s="685">
        <f t="shared" si="2"/>
        <v>8000</v>
      </c>
      <c r="E66" s="669">
        <f t="shared" ref="E66:E68" si="3">$C$52</f>
        <v>27.46</v>
      </c>
      <c r="F66" s="671">
        <f>F7</f>
        <v>0.5</v>
      </c>
      <c r="G66" s="672">
        <f>D66*E66</f>
        <v>219680</v>
      </c>
      <c r="H66" s="673">
        <f>G66*F66</f>
        <v>109840</v>
      </c>
    </row>
    <row r="67" spans="1:8" ht="14.5" x14ac:dyDescent="0.3">
      <c r="A67" s="920"/>
      <c r="B67" s="667" t="str">
        <f t="shared" si="2"/>
        <v>Salt - ملح</v>
      </c>
      <c r="C67" s="668" t="str">
        <f t="shared" si="2"/>
        <v>gm</v>
      </c>
      <c r="D67" s="685">
        <f t="shared" si="2"/>
        <v>10</v>
      </c>
      <c r="E67" s="669">
        <f t="shared" si="3"/>
        <v>27.46</v>
      </c>
      <c r="F67" s="671">
        <f>F8</f>
        <v>1</v>
      </c>
      <c r="G67" s="672">
        <f>D67*E67</f>
        <v>274.60000000000002</v>
      </c>
      <c r="H67" s="673">
        <f>G67*F67</f>
        <v>274.60000000000002</v>
      </c>
    </row>
    <row r="68" spans="1:8" ht="14.5" x14ac:dyDescent="0.3">
      <c r="A68" s="920"/>
      <c r="B68" s="667" t="str">
        <f t="shared" si="2"/>
        <v>Olive Oil - زيت زيتون</v>
      </c>
      <c r="C68" s="668" t="str">
        <f t="shared" si="2"/>
        <v>gm</v>
      </c>
      <c r="D68" s="685">
        <f t="shared" si="2"/>
        <v>5</v>
      </c>
      <c r="E68" s="669">
        <f t="shared" si="3"/>
        <v>27.46</v>
      </c>
      <c r="F68" s="671">
        <f>F9</f>
        <v>1</v>
      </c>
      <c r="G68" s="672">
        <f>D68*E68</f>
        <v>137.30000000000001</v>
      </c>
      <c r="H68" s="673">
        <f>G68*F68</f>
        <v>137.30000000000001</v>
      </c>
    </row>
    <row r="69" spans="1:8" ht="15.5" x14ac:dyDescent="0.3">
      <c r="B69" s="197" t="s">
        <v>736</v>
      </c>
      <c r="C69" s="661"/>
      <c r="D69" s="661"/>
      <c r="E69" s="661"/>
      <c r="F69" s="661"/>
    </row>
    <row r="70" spans="1:8" ht="20" x14ac:dyDescent="0.4">
      <c r="B70" s="198">
        <f>$D$52</f>
        <v>27460</v>
      </c>
      <c r="F70" s="686"/>
    </row>
    <row r="71" spans="1:8" x14ac:dyDescent="0.3">
      <c r="B71" s="661"/>
      <c r="E71" s="661"/>
      <c r="F71" s="661"/>
    </row>
    <row r="72" spans="1:8" x14ac:dyDescent="0.3">
      <c r="A72" s="1227"/>
      <c r="B72" s="1228"/>
      <c r="C72" s="1228"/>
      <c r="D72" s="1228"/>
      <c r="E72" s="1228"/>
      <c r="F72" s="1228"/>
      <c r="G72" s="1228"/>
      <c r="H72" s="1228"/>
    </row>
    <row r="73" spans="1:8" ht="14" customHeight="1" x14ac:dyDescent="0.3">
      <c r="A73" s="1226"/>
      <c r="B73" s="1475"/>
      <c r="C73" s="1476"/>
      <c r="D73" s="1476"/>
      <c r="E73" s="1476"/>
      <c r="F73" s="1476"/>
      <c r="G73" s="1476"/>
      <c r="H73" s="1476"/>
    </row>
    <row r="74" spans="1:8" ht="14" customHeight="1" x14ac:dyDescent="0.3">
      <c r="A74" s="1226"/>
      <c r="B74" s="1475"/>
      <c r="C74" s="1476"/>
      <c r="D74" s="1476"/>
      <c r="E74" s="1476"/>
      <c r="F74" s="1476"/>
      <c r="G74" s="1476"/>
      <c r="H74" s="1476"/>
    </row>
    <row r="75" spans="1:8" x14ac:dyDescent="0.3">
      <c r="A75" s="1231"/>
      <c r="B75" s="1232"/>
      <c r="C75" s="1233"/>
      <c r="D75" s="1232"/>
      <c r="E75" s="1232"/>
      <c r="F75" s="1232"/>
      <c r="G75" s="1232"/>
      <c r="H75" s="1232"/>
    </row>
    <row r="76" spans="1:8" ht="14.5" x14ac:dyDescent="0.3">
      <c r="A76" s="1227"/>
      <c r="B76" s="1234"/>
      <c r="C76" s="1234"/>
      <c r="D76" s="1234"/>
      <c r="E76" s="1235"/>
      <c r="F76" s="1236"/>
      <c r="G76" s="1237"/>
      <c r="H76" s="1238"/>
    </row>
    <row r="77" spans="1:8" ht="14.5" x14ac:dyDescent="0.3">
      <c r="A77" s="1227"/>
      <c r="B77" s="1234"/>
      <c r="C77" s="1234"/>
      <c r="D77" s="1234"/>
      <c r="E77" s="1235"/>
      <c r="F77" s="1236"/>
      <c r="G77" s="1237"/>
      <c r="H77" s="1238"/>
    </row>
    <row r="78" spans="1:8" ht="14.5" x14ac:dyDescent="0.3">
      <c r="A78" s="1227"/>
      <c r="B78" s="1234"/>
      <c r="C78" s="1234"/>
      <c r="D78" s="1234"/>
      <c r="E78" s="1235"/>
      <c r="F78" s="1236"/>
      <c r="G78" s="1237"/>
      <c r="H78" s="1238"/>
    </row>
    <row r="79" spans="1:8" ht="14.5" x14ac:dyDescent="0.3">
      <c r="A79" s="1227"/>
      <c r="B79" s="1234"/>
      <c r="C79" s="1234"/>
      <c r="D79" s="1234"/>
      <c r="E79" s="1235"/>
      <c r="F79" s="1236"/>
      <c r="G79" s="1237"/>
      <c r="H79" s="1238"/>
    </row>
    <row r="80" spans="1:8" ht="15.5" x14ac:dyDescent="0.3">
      <c r="A80" s="1227"/>
      <c r="B80" s="888"/>
      <c r="C80" s="1227"/>
      <c r="D80" s="1227"/>
      <c r="E80" s="1228"/>
      <c r="F80" s="1228"/>
      <c r="G80" s="1227"/>
      <c r="H80" s="1227"/>
    </row>
    <row r="81" spans="1:8" ht="20" x14ac:dyDescent="0.4">
      <c r="A81" s="1227"/>
      <c r="B81" s="889"/>
      <c r="C81" s="1228"/>
      <c r="D81" s="1228"/>
      <c r="E81" s="1228"/>
      <c r="F81" s="1229"/>
      <c r="G81" s="1227"/>
      <c r="H81" s="1227"/>
    </row>
    <row r="82" spans="1:8" x14ac:dyDescent="0.3">
      <c r="A82" s="1227"/>
      <c r="B82" s="1228"/>
      <c r="C82" s="1228"/>
      <c r="D82" s="1228"/>
      <c r="E82" s="1228"/>
      <c r="F82" s="1228"/>
      <c r="G82" s="1228"/>
      <c r="H82" s="1228"/>
    </row>
    <row r="83" spans="1:8" x14ac:dyDescent="0.3">
      <c r="A83" s="1227"/>
      <c r="B83" s="1228"/>
      <c r="C83" s="1228"/>
      <c r="D83" s="1228"/>
      <c r="E83" s="1228"/>
      <c r="F83" s="1228"/>
      <c r="G83" s="1228"/>
      <c r="H83" s="1228"/>
    </row>
    <row r="84" spans="1:8" ht="14" customHeight="1" x14ac:dyDescent="0.3">
      <c r="A84" s="1226"/>
      <c r="B84" s="1475"/>
      <c r="C84" s="1476"/>
      <c r="D84" s="1476"/>
      <c r="E84" s="1476"/>
      <c r="F84" s="1476"/>
      <c r="G84" s="1476"/>
      <c r="H84" s="1476"/>
    </row>
    <row r="85" spans="1:8" ht="14" customHeight="1" x14ac:dyDescent="0.3">
      <c r="A85" s="1226"/>
      <c r="B85" s="1475"/>
      <c r="C85" s="1476"/>
      <c r="D85" s="1476"/>
      <c r="E85" s="1476"/>
      <c r="F85" s="1476"/>
      <c r="G85" s="1476"/>
      <c r="H85" s="1476"/>
    </row>
    <row r="86" spans="1:8" x14ac:dyDescent="0.3">
      <c r="A86" s="1231"/>
      <c r="B86" s="1232"/>
      <c r="C86" s="1233"/>
      <c r="D86" s="1232"/>
      <c r="E86" s="1232"/>
      <c r="F86" s="1232"/>
      <c r="G86" s="1232"/>
      <c r="H86" s="1232"/>
    </row>
    <row r="87" spans="1:8" ht="14.5" x14ac:dyDescent="0.3">
      <c r="A87" s="1227"/>
      <c r="B87" s="1234"/>
      <c r="C87" s="1234"/>
      <c r="D87" s="1234"/>
      <c r="E87" s="1239"/>
      <c r="F87" s="1240"/>
      <c r="G87" s="1237"/>
      <c r="H87" s="1238"/>
    </row>
    <row r="88" spans="1:8" ht="14.5" x14ac:dyDescent="0.3">
      <c r="A88" s="1227"/>
      <c r="B88" s="1234"/>
      <c r="C88" s="1234"/>
      <c r="D88" s="1234"/>
      <c r="E88" s="1239"/>
      <c r="F88" s="1240"/>
      <c r="G88" s="1237"/>
      <c r="H88" s="1238"/>
    </row>
    <row r="89" spans="1:8" ht="14.5" x14ac:dyDescent="0.3">
      <c r="A89" s="1227"/>
      <c r="B89" s="1234"/>
      <c r="C89" s="1234"/>
      <c r="D89" s="1234"/>
      <c r="E89" s="1239"/>
      <c r="F89" s="1240"/>
      <c r="G89" s="1237"/>
      <c r="H89" s="1238"/>
    </row>
    <row r="90" spans="1:8" ht="14.5" x14ac:dyDescent="0.3">
      <c r="A90" s="1227"/>
      <c r="B90" s="1234"/>
      <c r="C90" s="1234"/>
      <c r="D90" s="1234"/>
      <c r="E90" s="1239"/>
      <c r="F90" s="1240"/>
      <c r="G90" s="1237"/>
      <c r="H90" s="1238"/>
    </row>
    <row r="91" spans="1:8" ht="15.5" x14ac:dyDescent="0.3">
      <c r="A91" s="1227"/>
      <c r="B91" s="888"/>
      <c r="C91" s="1227"/>
      <c r="D91" s="1227"/>
      <c r="E91" s="1228"/>
      <c r="F91" s="1228"/>
      <c r="G91" s="1227"/>
      <c r="H91" s="1227"/>
    </row>
    <row r="92" spans="1:8" ht="20" x14ac:dyDescent="0.4">
      <c r="A92" s="1227"/>
      <c r="B92" s="889"/>
      <c r="C92" s="1227"/>
      <c r="D92" s="1227"/>
      <c r="E92" s="1227"/>
      <c r="F92" s="1227"/>
      <c r="G92" s="1227"/>
      <c r="H92" s="1227"/>
    </row>
    <row r="93" spans="1:8" ht="14" customHeight="1" x14ac:dyDescent="0.3">
      <c r="A93" s="1226"/>
      <c r="B93" s="1475"/>
      <c r="C93" s="1476"/>
      <c r="D93" s="1476"/>
      <c r="E93" s="1476"/>
      <c r="F93" s="1476"/>
      <c r="G93" s="1476"/>
      <c r="H93" s="1476"/>
    </row>
    <row r="94" spans="1:8" ht="14" customHeight="1" x14ac:dyDescent="0.3">
      <c r="A94" s="1226"/>
      <c r="B94" s="1475"/>
      <c r="C94" s="1476"/>
      <c r="D94" s="1476"/>
      <c r="E94" s="1476"/>
      <c r="F94" s="1476"/>
      <c r="G94" s="1476"/>
      <c r="H94" s="1476"/>
    </row>
    <row r="95" spans="1:8" x14ac:dyDescent="0.3">
      <c r="A95" s="1231"/>
      <c r="B95" s="1232"/>
      <c r="C95" s="1233"/>
      <c r="D95" s="1232"/>
      <c r="E95" s="1232"/>
      <c r="F95" s="1232"/>
      <c r="G95" s="1232"/>
      <c r="H95" s="1232"/>
    </row>
    <row r="96" spans="1:8" ht="14.5" x14ac:dyDescent="0.3">
      <c r="A96" s="1227"/>
      <c r="B96" s="1234"/>
      <c r="C96" s="1234"/>
      <c r="D96" s="1234"/>
      <c r="E96" s="1239"/>
      <c r="F96" s="1240"/>
      <c r="G96" s="1237"/>
      <c r="H96" s="1238"/>
    </row>
    <row r="97" spans="1:8" ht="14.5" x14ac:dyDescent="0.3">
      <c r="A97" s="1227"/>
      <c r="B97" s="1234"/>
      <c r="C97" s="1234"/>
      <c r="D97" s="1234"/>
      <c r="E97" s="1239"/>
      <c r="F97" s="1240"/>
      <c r="G97" s="1237"/>
      <c r="H97" s="1238"/>
    </row>
    <row r="98" spans="1:8" ht="14.5" x14ac:dyDescent="0.3">
      <c r="A98" s="1227"/>
      <c r="B98" s="1234"/>
      <c r="C98" s="1234"/>
      <c r="D98" s="1234"/>
      <c r="E98" s="1239"/>
      <c r="F98" s="1240"/>
      <c r="G98" s="1237"/>
      <c r="H98" s="1238"/>
    </row>
    <row r="99" spans="1:8" ht="14.5" x14ac:dyDescent="0.3">
      <c r="A99" s="1227"/>
      <c r="B99" s="1234"/>
      <c r="C99" s="1234"/>
      <c r="D99" s="1234"/>
      <c r="E99" s="1239"/>
      <c r="F99" s="1240"/>
      <c r="G99" s="1237"/>
      <c r="H99" s="1238"/>
    </row>
    <row r="100" spans="1:8" ht="15.5" x14ac:dyDescent="0.3">
      <c r="A100" s="1227"/>
      <c r="B100" s="888"/>
      <c r="C100" s="1227"/>
      <c r="D100" s="1227"/>
      <c r="E100" s="1228"/>
      <c r="F100" s="1228"/>
      <c r="G100" s="1227"/>
      <c r="H100" s="1227"/>
    </row>
    <row r="101" spans="1:8" ht="20" x14ac:dyDescent="0.4">
      <c r="A101" s="1227"/>
      <c r="B101" s="889"/>
      <c r="C101" s="1227"/>
      <c r="D101" s="1227"/>
      <c r="E101" s="1228"/>
      <c r="F101" s="1228"/>
      <c r="G101" s="1227"/>
      <c r="H101" s="1227"/>
    </row>
    <row r="102" spans="1:8" x14ac:dyDescent="0.3">
      <c r="A102" s="1227"/>
      <c r="B102" s="1228"/>
      <c r="C102" s="1227"/>
      <c r="D102" s="1227"/>
      <c r="E102" s="1228"/>
      <c r="F102" s="1228"/>
      <c r="G102" s="1227"/>
      <c r="H102" s="1227"/>
    </row>
    <row r="103" spans="1:8" x14ac:dyDescent="0.3">
      <c r="A103" s="1227"/>
      <c r="B103" s="1228"/>
      <c r="C103" s="1227"/>
      <c r="D103" s="1227"/>
      <c r="E103" s="1228"/>
      <c r="F103" s="1228"/>
      <c r="G103" s="1227"/>
      <c r="H103" s="1227"/>
    </row>
    <row r="104" spans="1:8" x14ac:dyDescent="0.3">
      <c r="A104" s="1227"/>
      <c r="B104" s="1228"/>
      <c r="C104" s="1227"/>
      <c r="D104" s="1227"/>
      <c r="E104" s="1228"/>
      <c r="F104" s="1228"/>
      <c r="G104" s="1227"/>
      <c r="H104" s="1227"/>
    </row>
    <row r="105" spans="1:8" x14ac:dyDescent="0.3">
      <c r="A105" s="1227"/>
      <c r="B105" s="1228"/>
      <c r="C105" s="1227"/>
      <c r="D105" s="1227"/>
      <c r="E105" s="1228"/>
      <c r="F105" s="1228"/>
      <c r="G105" s="1227"/>
      <c r="H105" s="1227"/>
    </row>
    <row r="106" spans="1:8" x14ac:dyDescent="0.3">
      <c r="A106" s="1227"/>
      <c r="B106" s="1228"/>
      <c r="C106" s="1227"/>
      <c r="D106" s="1227"/>
      <c r="E106" s="1228"/>
      <c r="F106" s="1228"/>
      <c r="G106" s="1227"/>
      <c r="H106" s="1227"/>
    </row>
    <row r="107" spans="1:8" x14ac:dyDescent="0.3">
      <c r="A107" s="1227"/>
      <c r="B107" s="1228"/>
      <c r="C107" s="1227"/>
      <c r="D107" s="1227"/>
      <c r="E107" s="1228"/>
      <c r="F107" s="1228"/>
      <c r="G107" s="1227"/>
      <c r="H107" s="1227"/>
    </row>
    <row r="108" spans="1:8" x14ac:dyDescent="0.3">
      <c r="A108" s="1227"/>
      <c r="B108" s="1228"/>
      <c r="C108" s="1227"/>
      <c r="D108" s="1227"/>
      <c r="E108" s="1228"/>
      <c r="F108" s="1228"/>
      <c r="G108" s="1227"/>
      <c r="H108" s="1227"/>
    </row>
    <row r="109" spans="1:8" x14ac:dyDescent="0.3">
      <c r="A109" s="1227"/>
      <c r="B109" s="1228"/>
      <c r="C109" s="1227"/>
      <c r="D109" s="1227"/>
      <c r="E109" s="1228"/>
      <c r="F109" s="1228"/>
      <c r="G109" s="1227"/>
      <c r="H109" s="1227"/>
    </row>
    <row r="110" spans="1:8" x14ac:dyDescent="0.3">
      <c r="A110" s="1227"/>
      <c r="B110" s="1228"/>
      <c r="C110" s="1227"/>
      <c r="D110" s="1227"/>
      <c r="E110" s="1228"/>
      <c r="F110" s="1228"/>
      <c r="G110" s="1227"/>
      <c r="H110" s="1227"/>
    </row>
    <row r="111" spans="1:8" x14ac:dyDescent="0.3">
      <c r="A111" s="1227"/>
      <c r="B111" s="1228"/>
      <c r="C111" s="1227"/>
      <c r="D111" s="1227"/>
      <c r="E111" s="1228"/>
      <c r="F111" s="1228"/>
      <c r="G111" s="1227"/>
      <c r="H111" s="1227"/>
    </row>
    <row r="112" spans="1:8" x14ac:dyDescent="0.3">
      <c r="A112" s="1227"/>
      <c r="B112" s="1228"/>
      <c r="C112" s="1227"/>
      <c r="D112" s="1227"/>
      <c r="E112" s="1228"/>
      <c r="F112" s="1228"/>
      <c r="G112" s="1227"/>
      <c r="H112" s="1227"/>
    </row>
    <row r="113" spans="1:8" x14ac:dyDescent="0.3">
      <c r="A113" s="1227"/>
      <c r="B113" s="1228"/>
      <c r="C113" s="1227"/>
      <c r="D113" s="1227"/>
      <c r="E113" s="1228"/>
      <c r="F113" s="1228"/>
      <c r="G113" s="1227"/>
      <c r="H113" s="1227"/>
    </row>
    <row r="114" spans="1:8" x14ac:dyDescent="0.3">
      <c r="A114" s="1227"/>
      <c r="B114" s="1228"/>
      <c r="C114" s="1227"/>
      <c r="D114" s="1227"/>
      <c r="E114" s="1228"/>
      <c r="F114" s="1228"/>
      <c r="G114" s="1227"/>
      <c r="H114" s="1227"/>
    </row>
    <row r="115" spans="1:8" x14ac:dyDescent="0.3">
      <c r="A115" s="1227"/>
      <c r="B115" s="1228"/>
      <c r="C115" s="1227"/>
      <c r="D115" s="1227"/>
      <c r="E115" s="1228"/>
      <c r="F115" s="1228"/>
      <c r="G115" s="1227"/>
      <c r="H115" s="1227"/>
    </row>
    <row r="116" spans="1:8" x14ac:dyDescent="0.3">
      <c r="A116" s="1227"/>
      <c r="B116" s="1228"/>
      <c r="C116" s="1227"/>
      <c r="D116" s="1227"/>
      <c r="E116" s="1228"/>
      <c r="F116" s="1228"/>
      <c r="G116" s="1227"/>
      <c r="H116" s="1227"/>
    </row>
    <row r="117" spans="1:8" x14ac:dyDescent="0.3">
      <c r="A117" s="1227"/>
      <c r="B117" s="1228"/>
      <c r="C117" s="1227"/>
      <c r="D117" s="1227"/>
      <c r="E117" s="1228"/>
      <c r="F117" s="1228"/>
      <c r="G117" s="1227"/>
      <c r="H117" s="1227"/>
    </row>
    <row r="118" spans="1:8" x14ac:dyDescent="0.3">
      <c r="A118" s="1227"/>
      <c r="B118" s="1228"/>
      <c r="C118" s="1227"/>
      <c r="D118" s="1227"/>
      <c r="E118" s="1228"/>
      <c r="F118" s="1228"/>
      <c r="G118" s="1227"/>
      <c r="H118" s="1227"/>
    </row>
    <row r="119" spans="1:8" x14ac:dyDescent="0.3">
      <c r="A119" s="1227"/>
      <c r="B119" s="1228"/>
      <c r="C119" s="1227"/>
      <c r="D119" s="1227"/>
      <c r="E119" s="1228"/>
      <c r="F119" s="1228"/>
      <c r="G119" s="1227"/>
      <c r="H119" s="1227"/>
    </row>
    <row r="120" spans="1:8" x14ac:dyDescent="0.3">
      <c r="A120" s="1227"/>
      <c r="B120" s="1228"/>
      <c r="C120" s="1227"/>
      <c r="D120" s="1227"/>
      <c r="E120" s="1228"/>
      <c r="F120" s="1228"/>
      <c r="G120" s="1227"/>
      <c r="H120" s="1227"/>
    </row>
    <row r="121" spans="1:8" x14ac:dyDescent="0.3">
      <c r="A121" s="1227"/>
      <c r="B121" s="1228"/>
      <c r="C121" s="1227"/>
      <c r="D121" s="1227"/>
      <c r="E121" s="1228"/>
      <c r="F121" s="1228"/>
      <c r="G121" s="1227"/>
      <c r="H121" s="1227"/>
    </row>
    <row r="122" spans="1:8" x14ac:dyDescent="0.3">
      <c r="A122" s="1227"/>
      <c r="B122" s="1228"/>
      <c r="C122" s="1227"/>
      <c r="D122" s="1227"/>
      <c r="E122" s="1228"/>
      <c r="F122" s="1228"/>
      <c r="G122" s="1227"/>
      <c r="H122" s="1227"/>
    </row>
    <row r="123" spans="1:8" x14ac:dyDescent="0.3">
      <c r="A123" s="1227"/>
      <c r="B123" s="1228"/>
      <c r="C123" s="1227"/>
      <c r="D123" s="1227"/>
      <c r="E123" s="1228"/>
      <c r="F123" s="1228"/>
      <c r="G123" s="1227"/>
      <c r="H123" s="1227"/>
    </row>
    <row r="124" spans="1:8" x14ac:dyDescent="0.3">
      <c r="A124" s="1227"/>
      <c r="B124" s="1228"/>
      <c r="C124" s="1227"/>
      <c r="D124" s="1227"/>
      <c r="E124" s="1228"/>
      <c r="F124" s="1228"/>
      <c r="G124" s="1227"/>
      <c r="H124" s="1227"/>
    </row>
    <row r="125" spans="1:8" x14ac:dyDescent="0.3">
      <c r="A125" s="1227"/>
      <c r="B125" s="1228"/>
      <c r="C125" s="1227"/>
      <c r="D125" s="1227"/>
      <c r="E125" s="1228"/>
      <c r="F125" s="1228"/>
      <c r="G125" s="1227"/>
      <c r="H125" s="1227"/>
    </row>
    <row r="126" spans="1:8" x14ac:dyDescent="0.3">
      <c r="A126" s="1227"/>
      <c r="B126" s="1228"/>
      <c r="C126" s="1227"/>
      <c r="D126" s="1227"/>
      <c r="E126" s="1228"/>
      <c r="F126" s="1228"/>
      <c r="G126" s="1227"/>
      <c r="H126" s="1227"/>
    </row>
    <row r="127" spans="1:8" x14ac:dyDescent="0.3">
      <c r="A127" s="1227"/>
      <c r="B127" s="1228"/>
      <c r="C127" s="1227"/>
      <c r="D127" s="1227"/>
      <c r="E127" s="1228"/>
      <c r="F127" s="1228"/>
      <c r="G127" s="1227"/>
      <c r="H127" s="1227"/>
    </row>
    <row r="128" spans="1:8" x14ac:dyDescent="0.3">
      <c r="A128" s="1227"/>
      <c r="B128" s="1228"/>
      <c r="C128" s="1227"/>
      <c r="D128" s="1227"/>
      <c r="E128" s="1228"/>
      <c r="F128" s="1228"/>
      <c r="G128" s="1227"/>
      <c r="H128" s="1227"/>
    </row>
    <row r="129" spans="1:8" x14ac:dyDescent="0.3">
      <c r="A129" s="1227"/>
      <c r="B129" s="1228"/>
      <c r="C129" s="1227"/>
      <c r="D129" s="1227"/>
      <c r="E129" s="1228"/>
      <c r="F129" s="1228"/>
      <c r="G129" s="1227"/>
      <c r="H129" s="1227"/>
    </row>
    <row r="130" spans="1:8" x14ac:dyDescent="0.3">
      <c r="A130" s="1227"/>
      <c r="B130" s="1228"/>
      <c r="C130" s="1227"/>
      <c r="D130" s="1227"/>
      <c r="E130" s="1228"/>
      <c r="F130" s="1228"/>
      <c r="G130" s="1227"/>
      <c r="H130" s="1227"/>
    </row>
    <row r="131" spans="1:8" x14ac:dyDescent="0.3">
      <c r="A131" s="1227"/>
      <c r="B131" s="1228"/>
      <c r="C131" s="1227"/>
      <c r="D131" s="1227"/>
      <c r="E131" s="1228"/>
      <c r="F131" s="1228"/>
      <c r="G131" s="1227"/>
      <c r="H131" s="1227"/>
    </row>
    <row r="132" spans="1:8" x14ac:dyDescent="0.3">
      <c r="A132" s="1227"/>
      <c r="B132" s="1228"/>
      <c r="C132" s="1227"/>
      <c r="D132" s="1227"/>
      <c r="E132" s="1228"/>
      <c r="F132" s="1228"/>
      <c r="G132" s="1227"/>
      <c r="H132" s="1227"/>
    </row>
    <row r="133" spans="1:8" x14ac:dyDescent="0.3">
      <c r="A133" s="1227"/>
      <c r="B133" s="1228"/>
      <c r="C133" s="1227"/>
      <c r="D133" s="1227"/>
      <c r="E133" s="1228"/>
      <c r="F133" s="1228"/>
      <c r="G133" s="1227"/>
      <c r="H133" s="1227"/>
    </row>
    <row r="134" spans="1:8" x14ac:dyDescent="0.3">
      <c r="A134" s="1227"/>
      <c r="B134" s="1228"/>
      <c r="C134" s="1227"/>
      <c r="D134" s="1227"/>
      <c r="E134" s="1228"/>
      <c r="F134" s="1228"/>
      <c r="G134" s="1227"/>
      <c r="H134" s="1227"/>
    </row>
    <row r="135" spans="1:8" x14ac:dyDescent="0.3">
      <c r="A135" s="1227"/>
      <c r="B135" s="1228"/>
      <c r="C135" s="1227"/>
      <c r="D135" s="1227"/>
      <c r="E135" s="1228"/>
      <c r="F135" s="1228"/>
      <c r="G135" s="1227"/>
      <c r="H135" s="1227"/>
    </row>
    <row r="136" spans="1:8" x14ac:dyDescent="0.3">
      <c r="A136" s="1227"/>
      <c r="B136" s="1228"/>
      <c r="C136" s="1227"/>
      <c r="D136" s="1227"/>
      <c r="E136" s="1228"/>
      <c r="F136" s="1228"/>
      <c r="G136" s="1227"/>
      <c r="H136" s="1227"/>
    </row>
    <row r="137" spans="1:8" x14ac:dyDescent="0.3">
      <c r="A137" s="1227"/>
      <c r="B137" s="1228"/>
      <c r="C137" s="1227"/>
      <c r="D137" s="1227"/>
      <c r="E137" s="1228"/>
      <c r="F137" s="1228"/>
      <c r="G137" s="1227"/>
      <c r="H137" s="1227"/>
    </row>
    <row r="138" spans="1:8" x14ac:dyDescent="0.3">
      <c r="A138" s="1227"/>
      <c r="B138" s="1228"/>
      <c r="C138" s="1227"/>
      <c r="D138" s="1227"/>
      <c r="E138" s="1228"/>
      <c r="F138" s="1228"/>
      <c r="G138" s="1227"/>
      <c r="H138" s="1227"/>
    </row>
    <row r="139" spans="1:8" x14ac:dyDescent="0.3">
      <c r="A139" s="1227"/>
      <c r="B139" s="1228"/>
      <c r="C139" s="1227"/>
      <c r="D139" s="1227"/>
      <c r="E139" s="1228"/>
      <c r="F139" s="1228"/>
      <c r="G139" s="1227"/>
      <c r="H139" s="1227"/>
    </row>
    <row r="140" spans="1:8" x14ac:dyDescent="0.3">
      <c r="A140" s="1227"/>
      <c r="B140" s="1228"/>
      <c r="C140" s="1227"/>
      <c r="D140" s="1227"/>
      <c r="E140" s="1228"/>
      <c r="F140" s="1228"/>
      <c r="G140" s="1227"/>
      <c r="H140" s="1227"/>
    </row>
    <row r="141" spans="1:8" x14ac:dyDescent="0.3">
      <c r="A141" s="1227"/>
      <c r="B141" s="1228"/>
      <c r="C141" s="1227"/>
      <c r="D141" s="1227"/>
      <c r="E141" s="1228"/>
      <c r="F141" s="1228"/>
      <c r="G141" s="1227"/>
      <c r="H141" s="1227"/>
    </row>
    <row r="142" spans="1:8" x14ac:dyDescent="0.3">
      <c r="A142" s="1227"/>
      <c r="B142" s="1228"/>
      <c r="C142" s="1227"/>
      <c r="D142" s="1227"/>
      <c r="E142" s="1228"/>
      <c r="F142" s="1228"/>
      <c r="G142" s="1227"/>
      <c r="H142" s="1227"/>
    </row>
    <row r="143" spans="1:8" x14ac:dyDescent="0.3">
      <c r="A143" s="1227"/>
      <c r="B143" s="1228"/>
      <c r="C143" s="1227"/>
      <c r="D143" s="1227"/>
      <c r="E143" s="1228"/>
      <c r="F143" s="1228"/>
      <c r="G143" s="1227"/>
      <c r="H143" s="1227"/>
    </row>
    <row r="144" spans="1:8" x14ac:dyDescent="0.3">
      <c r="A144" s="1227"/>
      <c r="B144" s="1228"/>
      <c r="C144" s="1227"/>
      <c r="D144" s="1227"/>
      <c r="E144" s="1228"/>
      <c r="F144" s="1228"/>
      <c r="G144" s="1227"/>
      <c r="H144" s="1227"/>
    </row>
    <row r="145" spans="1:8" x14ac:dyDescent="0.3">
      <c r="A145" s="1227"/>
      <c r="B145" s="1228"/>
      <c r="C145" s="1227"/>
      <c r="D145" s="1227"/>
      <c r="E145" s="1228"/>
      <c r="F145" s="1228"/>
      <c r="G145" s="1227"/>
      <c r="H145" s="1227"/>
    </row>
    <row r="146" spans="1:8" x14ac:dyDescent="0.3">
      <c r="A146" s="1227"/>
      <c r="B146" s="1228"/>
      <c r="C146" s="1227"/>
      <c r="D146" s="1227"/>
      <c r="E146" s="1228"/>
      <c r="F146" s="1228"/>
      <c r="G146" s="1227"/>
      <c r="H146" s="1227"/>
    </row>
    <row r="147" spans="1:8" x14ac:dyDescent="0.3">
      <c r="A147" s="1227"/>
      <c r="B147" s="1228"/>
      <c r="C147" s="1227"/>
      <c r="D147" s="1227"/>
      <c r="E147" s="1228"/>
      <c r="F147" s="1228"/>
      <c r="G147" s="1227"/>
      <c r="H147" s="1227"/>
    </row>
    <row r="148" spans="1:8" x14ac:dyDescent="0.3">
      <c r="A148" s="1227"/>
      <c r="B148" s="1228"/>
      <c r="C148" s="1227"/>
      <c r="D148" s="1227"/>
      <c r="E148" s="1228"/>
      <c r="F148" s="1228"/>
      <c r="G148" s="1227"/>
      <c r="H148" s="1227"/>
    </row>
    <row r="149" spans="1:8" x14ac:dyDescent="0.3">
      <c r="A149" s="1227"/>
      <c r="B149" s="1228"/>
      <c r="C149" s="1227"/>
      <c r="D149" s="1227"/>
      <c r="E149" s="1228"/>
      <c r="F149" s="1228"/>
      <c r="G149" s="1227"/>
      <c r="H149" s="1227"/>
    </row>
    <row r="150" spans="1:8" x14ac:dyDescent="0.3">
      <c r="A150" s="1227"/>
      <c r="B150" s="1228"/>
      <c r="C150" s="1227"/>
      <c r="D150" s="1227"/>
      <c r="E150" s="1228"/>
      <c r="F150" s="1228"/>
      <c r="G150" s="1227"/>
      <c r="H150" s="1227"/>
    </row>
    <row r="151" spans="1:8" x14ac:dyDescent="0.3">
      <c r="A151" s="1227"/>
      <c r="B151" s="1228"/>
      <c r="C151" s="1227"/>
      <c r="D151" s="1227"/>
      <c r="E151" s="1228"/>
      <c r="F151" s="1228"/>
      <c r="G151" s="1227"/>
      <c r="H151" s="1227"/>
    </row>
    <row r="152" spans="1:8" x14ac:dyDescent="0.3">
      <c r="A152" s="1227"/>
      <c r="B152" s="1228"/>
      <c r="C152" s="1227"/>
      <c r="D152" s="1227"/>
      <c r="E152" s="1228"/>
      <c r="F152" s="1228"/>
      <c r="G152" s="1227"/>
      <c r="H152" s="1227"/>
    </row>
    <row r="153" spans="1:8" x14ac:dyDescent="0.3">
      <c r="A153" s="1227"/>
      <c r="B153" s="1228"/>
      <c r="C153" s="1227"/>
      <c r="D153" s="1227"/>
      <c r="E153" s="1228"/>
      <c r="F153" s="1228"/>
      <c r="G153" s="1227"/>
      <c r="H153" s="1227"/>
    </row>
    <row r="154" spans="1:8" x14ac:dyDescent="0.3">
      <c r="A154" s="1227"/>
      <c r="B154" s="1228"/>
      <c r="C154" s="1227"/>
      <c r="D154" s="1227"/>
      <c r="E154" s="1228"/>
      <c r="F154" s="1228"/>
      <c r="G154" s="1227"/>
      <c r="H154" s="1227"/>
    </row>
    <row r="155" spans="1:8" x14ac:dyDescent="0.3">
      <c r="A155" s="1227"/>
      <c r="B155" s="1228"/>
      <c r="C155" s="1227"/>
      <c r="D155" s="1227"/>
      <c r="E155" s="1228"/>
      <c r="F155" s="1228"/>
      <c r="G155" s="1227"/>
      <c r="H155" s="1227"/>
    </row>
    <row r="156" spans="1:8" x14ac:dyDescent="0.3">
      <c r="A156" s="1227"/>
      <c r="B156" s="1228"/>
      <c r="C156" s="1227"/>
      <c r="D156" s="1227"/>
      <c r="E156" s="1228"/>
      <c r="F156" s="1228"/>
      <c r="G156" s="1227"/>
      <c r="H156" s="1227"/>
    </row>
    <row r="157" spans="1:8" x14ac:dyDescent="0.3">
      <c r="A157" s="1227"/>
      <c r="B157" s="1228"/>
      <c r="C157" s="1227"/>
      <c r="D157" s="1227"/>
      <c r="E157" s="1228"/>
      <c r="F157" s="1228"/>
      <c r="G157" s="1227"/>
      <c r="H157" s="1227"/>
    </row>
    <row r="158" spans="1:8" x14ac:dyDescent="0.3">
      <c r="A158" s="1227"/>
      <c r="B158" s="1228"/>
      <c r="C158" s="1227"/>
      <c r="D158" s="1227"/>
      <c r="E158" s="1228"/>
      <c r="F158" s="1228"/>
      <c r="G158" s="1227"/>
      <c r="H158" s="1227"/>
    </row>
    <row r="159" spans="1:8" x14ac:dyDescent="0.3">
      <c r="A159" s="1227"/>
      <c r="B159" s="1228"/>
      <c r="C159" s="1227"/>
      <c r="D159" s="1227"/>
      <c r="E159" s="1228"/>
      <c r="F159" s="1228"/>
      <c r="G159" s="1227"/>
      <c r="H159" s="1227"/>
    </row>
    <row r="160" spans="1:8" x14ac:dyDescent="0.3">
      <c r="A160" s="1227"/>
      <c r="B160" s="1228"/>
      <c r="C160" s="1227"/>
      <c r="D160" s="1227"/>
      <c r="E160" s="1228"/>
      <c r="F160" s="1228"/>
      <c r="G160" s="1227"/>
      <c r="H160" s="1227"/>
    </row>
    <row r="161" spans="1:8" x14ac:dyDescent="0.3">
      <c r="A161" s="1227"/>
      <c r="B161" s="1228"/>
      <c r="C161" s="1227"/>
      <c r="D161" s="1227"/>
      <c r="E161" s="1228"/>
      <c r="F161" s="1228"/>
      <c r="G161" s="1227"/>
      <c r="H161" s="1227"/>
    </row>
    <row r="162" spans="1:8" x14ac:dyDescent="0.3">
      <c r="A162" s="1227"/>
      <c r="B162" s="1228"/>
      <c r="C162" s="1227"/>
      <c r="D162" s="1227"/>
      <c r="E162" s="1228"/>
      <c r="F162" s="1228"/>
      <c r="G162" s="1227"/>
      <c r="H162" s="1227"/>
    </row>
    <row r="163" spans="1:8" x14ac:dyDescent="0.3">
      <c r="A163" s="1227"/>
      <c r="B163" s="1228"/>
      <c r="C163" s="1227"/>
      <c r="D163" s="1227"/>
      <c r="E163" s="1228"/>
      <c r="F163" s="1228"/>
      <c r="G163" s="1227"/>
      <c r="H163" s="1227"/>
    </row>
    <row r="164" spans="1:8" x14ac:dyDescent="0.3">
      <c r="A164" s="1227"/>
      <c r="B164" s="1228"/>
      <c r="C164" s="1227"/>
      <c r="D164" s="1227"/>
      <c r="E164" s="1228"/>
      <c r="F164" s="1228"/>
      <c r="G164" s="1227"/>
      <c r="H164" s="1227"/>
    </row>
    <row r="165" spans="1:8" x14ac:dyDescent="0.3">
      <c r="A165" s="1227"/>
      <c r="B165" s="1228"/>
      <c r="C165" s="1227"/>
      <c r="D165" s="1227"/>
      <c r="E165" s="1228"/>
      <c r="F165" s="1228"/>
      <c r="G165" s="1227"/>
      <c r="H165" s="1227"/>
    </row>
    <row r="166" spans="1:8" x14ac:dyDescent="0.3">
      <c r="A166" s="1227"/>
      <c r="B166" s="1228"/>
      <c r="C166" s="1227"/>
      <c r="D166" s="1227"/>
      <c r="E166" s="1228"/>
      <c r="F166" s="1228"/>
      <c r="G166" s="1227"/>
      <c r="H166" s="1227"/>
    </row>
    <row r="167" spans="1:8" x14ac:dyDescent="0.3">
      <c r="A167" s="1227"/>
      <c r="B167" s="1228"/>
      <c r="C167" s="1227"/>
      <c r="D167" s="1227"/>
      <c r="E167" s="1228"/>
      <c r="F167" s="1228"/>
      <c r="G167" s="1227"/>
      <c r="H167" s="1227"/>
    </row>
    <row r="168" spans="1:8" x14ac:dyDescent="0.3">
      <c r="A168" s="1227"/>
      <c r="B168" s="1228"/>
      <c r="C168" s="1227"/>
      <c r="D168" s="1227"/>
      <c r="E168" s="1228"/>
      <c r="F168" s="1228"/>
      <c r="G168" s="1227"/>
      <c r="H168" s="1227"/>
    </row>
    <row r="169" spans="1:8" x14ac:dyDescent="0.3">
      <c r="A169" s="1227"/>
      <c r="B169" s="1228"/>
      <c r="C169" s="1227"/>
      <c r="D169" s="1227"/>
      <c r="E169" s="1228"/>
      <c r="F169" s="1228"/>
      <c r="G169" s="1227"/>
      <c r="H169" s="1227"/>
    </row>
    <row r="170" spans="1:8" x14ac:dyDescent="0.3">
      <c r="A170" s="1227"/>
      <c r="B170" s="1228"/>
      <c r="C170" s="1227"/>
      <c r="D170" s="1227"/>
      <c r="E170" s="1228"/>
      <c r="F170" s="1228"/>
      <c r="G170" s="1227"/>
      <c r="H170" s="1227"/>
    </row>
    <row r="171" spans="1:8" x14ac:dyDescent="0.3">
      <c r="A171" s="1227"/>
      <c r="B171" s="1228"/>
      <c r="C171" s="1227"/>
      <c r="D171" s="1227"/>
      <c r="E171" s="1228"/>
      <c r="F171" s="1228"/>
      <c r="G171" s="1227"/>
      <c r="H171" s="1227"/>
    </row>
    <row r="172" spans="1:8" x14ac:dyDescent="0.3">
      <c r="A172" s="1227"/>
      <c r="B172" s="1228"/>
      <c r="C172" s="1227"/>
      <c r="D172" s="1227"/>
      <c r="E172" s="1228"/>
      <c r="F172" s="1228"/>
      <c r="G172" s="1227"/>
      <c r="H172" s="1227"/>
    </row>
    <row r="173" spans="1:8" x14ac:dyDescent="0.3">
      <c r="A173" s="1227"/>
      <c r="B173" s="1228"/>
      <c r="C173" s="1227"/>
      <c r="D173" s="1227"/>
      <c r="E173" s="1228"/>
      <c r="F173" s="1228"/>
      <c r="G173" s="1227"/>
      <c r="H173" s="1227"/>
    </row>
    <row r="174" spans="1:8" x14ac:dyDescent="0.3">
      <c r="A174" s="1227"/>
      <c r="B174" s="1228"/>
      <c r="C174" s="1227"/>
      <c r="D174" s="1227"/>
      <c r="E174" s="1228"/>
      <c r="F174" s="1228"/>
      <c r="G174" s="1227"/>
      <c r="H174" s="1227"/>
    </row>
    <row r="175" spans="1:8" x14ac:dyDescent="0.3">
      <c r="A175" s="1227"/>
      <c r="B175" s="1228"/>
      <c r="C175" s="1227"/>
      <c r="D175" s="1227"/>
      <c r="E175" s="1228"/>
      <c r="F175" s="1228"/>
      <c r="G175" s="1227"/>
      <c r="H175" s="1227"/>
    </row>
    <row r="176" spans="1:8" x14ac:dyDescent="0.3">
      <c r="A176" s="1227"/>
      <c r="B176" s="1228"/>
      <c r="C176" s="1227"/>
      <c r="D176" s="1227"/>
      <c r="E176" s="1228"/>
      <c r="F176" s="1228"/>
      <c r="G176" s="1227"/>
      <c r="H176" s="1227"/>
    </row>
    <row r="177" spans="1:8" x14ac:dyDescent="0.3">
      <c r="A177" s="1227"/>
      <c r="B177" s="1228"/>
      <c r="C177" s="1227"/>
      <c r="D177" s="1227"/>
      <c r="E177" s="1228"/>
      <c r="F177" s="1228"/>
      <c r="G177" s="1227"/>
      <c r="H177" s="1227"/>
    </row>
    <row r="178" spans="1:8" x14ac:dyDescent="0.3">
      <c r="A178" s="1227"/>
      <c r="B178" s="1228"/>
      <c r="C178" s="1227"/>
      <c r="D178" s="1227"/>
      <c r="E178" s="1228"/>
      <c r="F178" s="1228"/>
      <c r="G178" s="1227"/>
      <c r="H178" s="1227"/>
    </row>
    <row r="179" spans="1:8" x14ac:dyDescent="0.3">
      <c r="A179" s="1227"/>
      <c r="B179" s="1228"/>
      <c r="C179" s="1227"/>
      <c r="D179" s="1227"/>
      <c r="E179" s="1228"/>
      <c r="F179" s="1228"/>
      <c r="G179" s="1227"/>
      <c r="H179" s="1227"/>
    </row>
    <row r="180" spans="1:8" x14ac:dyDescent="0.3">
      <c r="A180" s="1227"/>
      <c r="B180" s="1228"/>
      <c r="C180" s="1227"/>
      <c r="D180" s="1227"/>
      <c r="E180" s="1228"/>
      <c r="F180" s="1228"/>
      <c r="G180" s="1227"/>
      <c r="H180" s="1227"/>
    </row>
    <row r="181" spans="1:8" x14ac:dyDescent="0.3">
      <c r="A181" s="1227"/>
      <c r="B181" s="1228"/>
      <c r="C181" s="1227"/>
      <c r="D181" s="1227"/>
      <c r="E181" s="1228"/>
      <c r="F181" s="1228"/>
      <c r="G181" s="1227"/>
      <c r="H181" s="1227"/>
    </row>
    <row r="182" spans="1:8" x14ac:dyDescent="0.3">
      <c r="A182" s="1227"/>
      <c r="B182" s="1228"/>
      <c r="C182" s="1227"/>
      <c r="D182" s="1227"/>
      <c r="E182" s="1228"/>
      <c r="F182" s="1228"/>
      <c r="G182" s="1227"/>
      <c r="H182" s="1227"/>
    </row>
    <row r="183" spans="1:8" x14ac:dyDescent="0.3">
      <c r="A183" s="1227"/>
      <c r="B183" s="1228"/>
      <c r="C183" s="1227"/>
      <c r="D183" s="1227"/>
      <c r="E183" s="1228"/>
      <c r="F183" s="1228"/>
      <c r="G183" s="1227"/>
      <c r="H183" s="1227"/>
    </row>
    <row r="184" spans="1:8" x14ac:dyDescent="0.3">
      <c r="A184" s="1227"/>
      <c r="B184" s="1228"/>
      <c r="C184" s="1227"/>
      <c r="D184" s="1227"/>
      <c r="E184" s="1228"/>
      <c r="F184" s="1228"/>
      <c r="G184" s="1227"/>
      <c r="H184" s="1227"/>
    </row>
    <row r="185" spans="1:8" x14ac:dyDescent="0.3">
      <c r="A185" s="1227"/>
      <c r="B185" s="1228"/>
      <c r="C185" s="1227"/>
      <c r="D185" s="1227"/>
      <c r="E185" s="1228"/>
      <c r="F185" s="1228"/>
      <c r="G185" s="1227"/>
      <c r="H185" s="1227"/>
    </row>
    <row r="186" spans="1:8" x14ac:dyDescent="0.3">
      <c r="A186" s="1227"/>
      <c r="B186" s="1228"/>
      <c r="C186" s="1227"/>
      <c r="D186" s="1227"/>
      <c r="E186" s="1228"/>
      <c r="F186" s="1228"/>
      <c r="G186" s="1227"/>
      <c r="H186" s="1227"/>
    </row>
    <row r="187" spans="1:8" x14ac:dyDescent="0.3">
      <c r="A187" s="1227"/>
      <c r="B187" s="1228"/>
      <c r="C187" s="1227"/>
      <c r="D187" s="1227"/>
      <c r="E187" s="1228"/>
      <c r="F187" s="1228"/>
      <c r="G187" s="1227"/>
      <c r="H187" s="1227"/>
    </row>
    <row r="188" spans="1:8" x14ac:dyDescent="0.3">
      <c r="A188" s="1227"/>
      <c r="B188" s="1228"/>
      <c r="C188" s="1227"/>
      <c r="D188" s="1227"/>
      <c r="E188" s="1228"/>
      <c r="F188" s="1228"/>
      <c r="G188" s="1227"/>
      <c r="H188" s="1227"/>
    </row>
    <row r="189" spans="1:8" x14ac:dyDescent="0.3">
      <c r="B189" s="661"/>
      <c r="E189" s="661"/>
      <c r="F189" s="661"/>
    </row>
    <row r="190" spans="1:8" x14ac:dyDescent="0.3">
      <c r="B190" s="661"/>
      <c r="E190" s="661"/>
      <c r="F190" s="661"/>
    </row>
    <row r="191" spans="1:8" x14ac:dyDescent="0.3">
      <c r="B191" s="661"/>
      <c r="E191" s="661"/>
      <c r="F191" s="661"/>
    </row>
    <row r="192" spans="1:8" x14ac:dyDescent="0.3">
      <c r="B192" s="661"/>
      <c r="E192" s="661"/>
      <c r="F192" s="661"/>
    </row>
    <row r="193" spans="2:6" x14ac:dyDescent="0.3">
      <c r="B193" s="661"/>
      <c r="E193" s="661"/>
      <c r="F193" s="661"/>
    </row>
    <row r="194" spans="2:6" x14ac:dyDescent="0.3">
      <c r="B194" s="661"/>
      <c r="E194" s="661"/>
      <c r="F194" s="661"/>
    </row>
    <row r="195" spans="2:6" x14ac:dyDescent="0.3">
      <c r="B195" s="661"/>
      <c r="E195" s="661"/>
      <c r="F195" s="661"/>
    </row>
    <row r="196" spans="2:6" x14ac:dyDescent="0.3">
      <c r="B196" s="661"/>
      <c r="E196" s="661"/>
      <c r="F196" s="661"/>
    </row>
    <row r="197" spans="2:6" x14ac:dyDescent="0.3">
      <c r="B197" s="661"/>
      <c r="E197" s="661"/>
      <c r="F197" s="661"/>
    </row>
    <row r="198" spans="2:6" x14ac:dyDescent="0.3">
      <c r="B198" s="661"/>
      <c r="E198" s="661"/>
      <c r="F198" s="661"/>
    </row>
    <row r="199" spans="2:6" x14ac:dyDescent="0.3">
      <c r="B199" s="661"/>
      <c r="E199" s="661"/>
      <c r="F199" s="661"/>
    </row>
    <row r="200" spans="2:6" x14ac:dyDescent="0.3">
      <c r="B200" s="661"/>
      <c r="E200" s="661"/>
      <c r="F200" s="661"/>
    </row>
    <row r="201" spans="2:6" x14ac:dyDescent="0.3">
      <c r="B201" s="661"/>
      <c r="E201" s="661"/>
      <c r="F201" s="661"/>
    </row>
    <row r="202" spans="2:6" x14ac:dyDescent="0.3">
      <c r="B202" s="661"/>
      <c r="E202" s="661"/>
      <c r="F202" s="661"/>
    </row>
    <row r="203" spans="2:6" x14ac:dyDescent="0.3">
      <c r="B203" s="661"/>
      <c r="E203" s="661"/>
      <c r="F203" s="661"/>
    </row>
    <row r="204" spans="2:6" x14ac:dyDescent="0.3">
      <c r="B204" s="661"/>
      <c r="E204" s="661"/>
      <c r="F204" s="661"/>
    </row>
    <row r="205" spans="2:6" x14ac:dyDescent="0.3">
      <c r="B205" s="661"/>
      <c r="E205" s="661"/>
      <c r="F205" s="661"/>
    </row>
    <row r="206" spans="2:6" x14ac:dyDescent="0.3">
      <c r="B206" s="661"/>
      <c r="E206" s="661"/>
      <c r="F206" s="661"/>
    </row>
    <row r="207" spans="2:6" x14ac:dyDescent="0.3">
      <c r="B207" s="661"/>
      <c r="E207" s="661"/>
      <c r="F207" s="661"/>
    </row>
    <row r="208" spans="2:6" x14ac:dyDescent="0.3">
      <c r="B208" s="661"/>
      <c r="E208" s="661"/>
      <c r="F208" s="661"/>
    </row>
    <row r="209" spans="2:6" x14ac:dyDescent="0.3">
      <c r="B209" s="661"/>
      <c r="E209" s="661"/>
      <c r="F209" s="661"/>
    </row>
    <row r="210" spans="2:6" x14ac:dyDescent="0.3">
      <c r="B210" s="661"/>
      <c r="E210" s="661"/>
      <c r="F210" s="661"/>
    </row>
    <row r="211" spans="2:6" x14ac:dyDescent="0.3">
      <c r="B211" s="661"/>
      <c r="E211" s="661"/>
      <c r="F211" s="661"/>
    </row>
    <row r="212" spans="2:6" x14ac:dyDescent="0.3">
      <c r="B212" s="661"/>
      <c r="E212" s="661"/>
      <c r="F212" s="661"/>
    </row>
    <row r="213" spans="2:6" x14ac:dyDescent="0.3">
      <c r="B213" s="661"/>
      <c r="E213" s="661"/>
      <c r="F213" s="661"/>
    </row>
    <row r="214" spans="2:6" x14ac:dyDescent="0.3">
      <c r="B214" s="661"/>
      <c r="E214" s="661"/>
      <c r="F214" s="661"/>
    </row>
    <row r="215" spans="2:6" x14ac:dyDescent="0.3">
      <c r="B215" s="661"/>
      <c r="E215" s="661"/>
      <c r="F215" s="661"/>
    </row>
    <row r="216" spans="2:6" x14ac:dyDescent="0.3">
      <c r="B216" s="661"/>
      <c r="E216" s="661"/>
      <c r="F216" s="661"/>
    </row>
    <row r="217" spans="2:6" x14ac:dyDescent="0.3">
      <c r="B217" s="661"/>
      <c r="E217" s="661"/>
      <c r="F217" s="661"/>
    </row>
    <row r="218" spans="2:6" x14ac:dyDescent="0.3">
      <c r="B218" s="661"/>
      <c r="E218" s="661"/>
      <c r="F218" s="661"/>
    </row>
    <row r="219" spans="2:6" x14ac:dyDescent="0.3">
      <c r="B219" s="661"/>
      <c r="E219" s="661"/>
      <c r="F219" s="661"/>
    </row>
    <row r="220" spans="2:6" x14ac:dyDescent="0.3">
      <c r="B220" s="661"/>
      <c r="E220" s="661"/>
      <c r="F220" s="661"/>
    </row>
    <row r="221" spans="2:6" x14ac:dyDescent="0.3">
      <c r="B221" s="661"/>
      <c r="E221" s="661"/>
      <c r="F221" s="661"/>
    </row>
    <row r="222" spans="2:6" x14ac:dyDescent="0.3">
      <c r="B222" s="661"/>
      <c r="E222" s="661"/>
      <c r="F222" s="661"/>
    </row>
    <row r="223" spans="2:6" x14ac:dyDescent="0.3">
      <c r="B223" s="661"/>
      <c r="E223" s="661"/>
      <c r="F223" s="661"/>
    </row>
    <row r="224" spans="2:6" x14ac:dyDescent="0.3">
      <c r="B224" s="661"/>
      <c r="E224" s="661"/>
      <c r="F224" s="661"/>
    </row>
    <row r="225" spans="2:6" x14ac:dyDescent="0.3">
      <c r="B225" s="661"/>
      <c r="E225" s="661"/>
      <c r="F225" s="661"/>
    </row>
    <row r="226" spans="2:6" x14ac:dyDescent="0.3">
      <c r="B226" s="661"/>
      <c r="E226" s="661"/>
      <c r="F226" s="661"/>
    </row>
    <row r="227" spans="2:6" x14ac:dyDescent="0.3">
      <c r="B227" s="661"/>
      <c r="E227" s="661"/>
      <c r="F227" s="661"/>
    </row>
    <row r="228" spans="2:6" x14ac:dyDescent="0.3">
      <c r="B228" s="661"/>
      <c r="E228" s="661"/>
      <c r="F228" s="661"/>
    </row>
    <row r="229" spans="2:6" x14ac:dyDescent="0.3">
      <c r="B229" s="661"/>
      <c r="E229" s="661"/>
      <c r="F229" s="661"/>
    </row>
    <row r="230" spans="2:6" x14ac:dyDescent="0.3">
      <c r="B230" s="661"/>
      <c r="E230" s="661"/>
      <c r="F230" s="661"/>
    </row>
    <row r="231" spans="2:6" x14ac:dyDescent="0.3">
      <c r="B231" s="661"/>
      <c r="E231" s="661"/>
      <c r="F231" s="661"/>
    </row>
    <row r="232" spans="2:6" x14ac:dyDescent="0.3">
      <c r="B232" s="661"/>
      <c r="E232" s="661"/>
      <c r="F232" s="661"/>
    </row>
    <row r="233" spans="2:6" x14ac:dyDescent="0.3">
      <c r="B233" s="661"/>
      <c r="E233" s="661"/>
      <c r="F233" s="661"/>
    </row>
    <row r="234" spans="2:6" x14ac:dyDescent="0.3">
      <c r="B234" s="661"/>
      <c r="E234" s="661"/>
      <c r="F234" s="661"/>
    </row>
    <row r="235" spans="2:6" x14ac:dyDescent="0.3">
      <c r="B235" s="661"/>
      <c r="E235" s="661"/>
      <c r="F235" s="661"/>
    </row>
    <row r="236" spans="2:6" x14ac:dyDescent="0.3">
      <c r="B236" s="661"/>
      <c r="E236" s="661"/>
      <c r="F236" s="661"/>
    </row>
    <row r="237" spans="2:6" x14ac:dyDescent="0.3">
      <c r="B237" s="661"/>
      <c r="E237" s="661"/>
      <c r="F237" s="661"/>
    </row>
    <row r="238" spans="2:6" x14ac:dyDescent="0.3">
      <c r="B238" s="661"/>
      <c r="E238" s="661"/>
      <c r="F238" s="661"/>
    </row>
    <row r="239" spans="2:6" x14ac:dyDescent="0.3">
      <c r="B239" s="661"/>
      <c r="E239" s="661"/>
      <c r="F239" s="661"/>
    </row>
    <row r="240" spans="2:6" x14ac:dyDescent="0.3">
      <c r="B240" s="661"/>
      <c r="E240" s="661"/>
      <c r="F240" s="661"/>
    </row>
    <row r="241" spans="2:6" x14ac:dyDescent="0.3">
      <c r="B241" s="661"/>
      <c r="E241" s="661"/>
      <c r="F241" s="661"/>
    </row>
    <row r="242" spans="2:6" x14ac:dyDescent="0.3">
      <c r="B242" s="661"/>
      <c r="E242" s="661"/>
      <c r="F242" s="661"/>
    </row>
    <row r="243" spans="2:6" x14ac:dyDescent="0.3">
      <c r="B243" s="661"/>
      <c r="E243" s="661"/>
      <c r="F243" s="661"/>
    </row>
    <row r="244" spans="2:6" x14ac:dyDescent="0.3">
      <c r="B244" s="661"/>
      <c r="E244" s="661"/>
      <c r="F244" s="661"/>
    </row>
    <row r="245" spans="2:6" x14ac:dyDescent="0.3">
      <c r="B245" s="661"/>
      <c r="E245" s="661"/>
      <c r="F245" s="661"/>
    </row>
    <row r="246" spans="2:6" x14ac:dyDescent="0.3">
      <c r="B246" s="661"/>
      <c r="E246" s="661"/>
      <c r="F246" s="661"/>
    </row>
    <row r="247" spans="2:6" x14ac:dyDescent="0.3">
      <c r="B247" s="661"/>
      <c r="E247" s="661"/>
      <c r="F247" s="661"/>
    </row>
    <row r="248" spans="2:6" x14ac:dyDescent="0.3">
      <c r="B248" s="661"/>
      <c r="E248" s="661"/>
      <c r="F248" s="661"/>
    </row>
    <row r="249" spans="2:6" x14ac:dyDescent="0.3">
      <c r="B249" s="661"/>
      <c r="E249" s="661"/>
      <c r="F249" s="661"/>
    </row>
    <row r="250" spans="2:6" x14ac:dyDescent="0.3">
      <c r="B250" s="661"/>
      <c r="E250" s="661"/>
      <c r="F250" s="661"/>
    </row>
    <row r="251" spans="2:6" x14ac:dyDescent="0.3">
      <c r="B251" s="661"/>
      <c r="E251" s="661"/>
      <c r="F251" s="661"/>
    </row>
    <row r="252" spans="2:6" x14ac:dyDescent="0.3">
      <c r="B252" s="661"/>
      <c r="E252" s="661"/>
      <c r="F252" s="661"/>
    </row>
    <row r="253" spans="2:6" x14ac:dyDescent="0.3">
      <c r="B253" s="661"/>
      <c r="E253" s="661"/>
      <c r="F253" s="661"/>
    </row>
    <row r="254" spans="2:6" x14ac:dyDescent="0.3">
      <c r="B254" s="661"/>
      <c r="E254" s="661"/>
      <c r="F254" s="661"/>
    </row>
    <row r="255" spans="2:6" x14ac:dyDescent="0.3">
      <c r="B255" s="661"/>
      <c r="E255" s="661"/>
      <c r="F255" s="661"/>
    </row>
    <row r="256" spans="2:6" x14ac:dyDescent="0.3">
      <c r="B256" s="661"/>
      <c r="E256" s="661"/>
      <c r="F256" s="661"/>
    </row>
    <row r="257" spans="2:6" x14ac:dyDescent="0.3">
      <c r="B257" s="661"/>
      <c r="E257" s="661"/>
      <c r="F257" s="661"/>
    </row>
    <row r="258" spans="2:6" x14ac:dyDescent="0.3">
      <c r="B258" s="661"/>
      <c r="E258" s="661"/>
      <c r="F258" s="661"/>
    </row>
    <row r="259" spans="2:6" x14ac:dyDescent="0.3">
      <c r="B259" s="661"/>
      <c r="E259" s="661"/>
      <c r="F259" s="661"/>
    </row>
    <row r="260" spans="2:6" x14ac:dyDescent="0.3">
      <c r="B260" s="661"/>
      <c r="E260" s="661"/>
      <c r="F260" s="661"/>
    </row>
    <row r="261" spans="2:6" x14ac:dyDescent="0.3">
      <c r="B261" s="661"/>
      <c r="E261" s="661"/>
      <c r="F261" s="661"/>
    </row>
    <row r="262" spans="2:6" x14ac:dyDescent="0.3">
      <c r="B262" s="661"/>
      <c r="E262" s="661"/>
      <c r="F262" s="661"/>
    </row>
    <row r="263" spans="2:6" x14ac:dyDescent="0.3">
      <c r="B263" s="661"/>
      <c r="E263" s="661"/>
      <c r="F263" s="661"/>
    </row>
    <row r="264" spans="2:6" x14ac:dyDescent="0.3">
      <c r="B264" s="661"/>
      <c r="E264" s="661"/>
      <c r="F264" s="661"/>
    </row>
    <row r="265" spans="2:6" x14ac:dyDescent="0.3">
      <c r="B265" s="661"/>
      <c r="E265" s="661"/>
      <c r="F265" s="661"/>
    </row>
    <row r="266" spans="2:6" x14ac:dyDescent="0.3">
      <c r="B266" s="661"/>
      <c r="E266" s="661"/>
      <c r="F266" s="661"/>
    </row>
    <row r="267" spans="2:6" x14ac:dyDescent="0.3">
      <c r="B267" s="661"/>
      <c r="E267" s="661"/>
      <c r="F267" s="661"/>
    </row>
    <row r="268" spans="2:6" x14ac:dyDescent="0.3">
      <c r="B268" s="661"/>
      <c r="E268" s="661"/>
      <c r="F268" s="661"/>
    </row>
    <row r="269" spans="2:6" x14ac:dyDescent="0.3">
      <c r="B269" s="661"/>
      <c r="E269" s="661"/>
      <c r="F269" s="661"/>
    </row>
    <row r="270" spans="2:6" x14ac:dyDescent="0.3">
      <c r="B270" s="661"/>
      <c r="E270" s="661"/>
      <c r="F270" s="661"/>
    </row>
    <row r="271" spans="2:6" x14ac:dyDescent="0.3">
      <c r="B271" s="661"/>
      <c r="E271" s="661"/>
      <c r="F271" s="661"/>
    </row>
    <row r="272" spans="2:6" x14ac:dyDescent="0.3">
      <c r="B272" s="661"/>
      <c r="E272" s="661"/>
      <c r="F272" s="661"/>
    </row>
    <row r="273" spans="2:6" x14ac:dyDescent="0.3">
      <c r="B273" s="661"/>
      <c r="E273" s="661"/>
      <c r="F273" s="661"/>
    </row>
    <row r="274" spans="2:6" x14ac:dyDescent="0.3">
      <c r="B274" s="661"/>
      <c r="E274" s="661"/>
      <c r="F274" s="661"/>
    </row>
    <row r="275" spans="2:6" x14ac:dyDescent="0.3">
      <c r="B275" s="661"/>
      <c r="E275" s="661"/>
      <c r="F275" s="661"/>
    </row>
    <row r="276" spans="2:6" x14ac:dyDescent="0.3">
      <c r="B276" s="661"/>
      <c r="E276" s="661"/>
      <c r="F276" s="661"/>
    </row>
    <row r="277" spans="2:6" x14ac:dyDescent="0.3">
      <c r="B277" s="661"/>
      <c r="E277" s="661"/>
      <c r="F277" s="661"/>
    </row>
    <row r="278" spans="2:6" x14ac:dyDescent="0.3">
      <c r="B278" s="661"/>
      <c r="E278" s="661"/>
      <c r="F278" s="661"/>
    </row>
    <row r="279" spans="2:6" x14ac:dyDescent="0.3">
      <c r="B279" s="661"/>
      <c r="E279" s="661"/>
      <c r="F279" s="661"/>
    </row>
    <row r="280" spans="2:6" x14ac:dyDescent="0.3">
      <c r="B280" s="661"/>
      <c r="E280" s="661"/>
      <c r="F280" s="661"/>
    </row>
    <row r="281" spans="2:6" x14ac:dyDescent="0.3">
      <c r="B281" s="661"/>
      <c r="E281" s="661"/>
      <c r="F281" s="661"/>
    </row>
    <row r="282" spans="2:6" x14ac:dyDescent="0.3">
      <c r="B282" s="661"/>
      <c r="E282" s="661"/>
      <c r="F282" s="661"/>
    </row>
    <row r="283" spans="2:6" x14ac:dyDescent="0.3">
      <c r="B283" s="661"/>
      <c r="E283" s="661"/>
      <c r="F283" s="661"/>
    </row>
    <row r="284" spans="2:6" x14ac:dyDescent="0.3">
      <c r="B284" s="661"/>
      <c r="E284" s="661"/>
      <c r="F284" s="661"/>
    </row>
    <row r="285" spans="2:6" x14ac:dyDescent="0.3">
      <c r="B285" s="661"/>
      <c r="E285" s="661"/>
      <c r="F285" s="661"/>
    </row>
    <row r="286" spans="2:6" x14ac:dyDescent="0.3">
      <c r="B286" s="661"/>
      <c r="E286" s="661"/>
      <c r="F286" s="661"/>
    </row>
    <row r="287" spans="2:6" x14ac:dyDescent="0.3">
      <c r="B287" s="661"/>
      <c r="E287" s="661"/>
      <c r="F287" s="661"/>
    </row>
    <row r="288" spans="2:6" x14ac:dyDescent="0.3">
      <c r="B288" s="661"/>
      <c r="E288" s="661"/>
      <c r="F288" s="661"/>
    </row>
    <row r="289" spans="2:6" x14ac:dyDescent="0.3">
      <c r="B289" s="661"/>
      <c r="E289" s="661"/>
      <c r="F289" s="661"/>
    </row>
    <row r="290" spans="2:6" x14ac:dyDescent="0.3">
      <c r="B290" s="661"/>
      <c r="E290" s="661"/>
      <c r="F290" s="661"/>
    </row>
    <row r="291" spans="2:6" x14ac:dyDescent="0.3">
      <c r="B291" s="661"/>
      <c r="E291" s="661"/>
      <c r="F291" s="661"/>
    </row>
    <row r="292" spans="2:6" x14ac:dyDescent="0.3">
      <c r="B292" s="661"/>
      <c r="E292" s="661"/>
      <c r="F292" s="661"/>
    </row>
    <row r="293" spans="2:6" x14ac:dyDescent="0.3">
      <c r="B293" s="661"/>
      <c r="E293" s="661"/>
      <c r="F293" s="661"/>
    </row>
    <row r="294" spans="2:6" x14ac:dyDescent="0.3">
      <c r="B294" s="661"/>
      <c r="E294" s="661"/>
      <c r="F294" s="661"/>
    </row>
    <row r="295" spans="2:6" x14ac:dyDescent="0.3">
      <c r="B295" s="661"/>
      <c r="E295" s="661"/>
      <c r="F295" s="661"/>
    </row>
    <row r="296" spans="2:6" x14ac:dyDescent="0.3">
      <c r="B296" s="661"/>
      <c r="E296" s="661"/>
      <c r="F296" s="661"/>
    </row>
    <row r="297" spans="2:6" x14ac:dyDescent="0.3">
      <c r="B297" s="661"/>
      <c r="E297" s="661"/>
      <c r="F297" s="661"/>
    </row>
    <row r="298" spans="2:6" x14ac:dyDescent="0.3">
      <c r="B298" s="661"/>
      <c r="E298" s="661"/>
      <c r="F298" s="661"/>
    </row>
    <row r="299" spans="2:6" x14ac:dyDescent="0.3">
      <c r="B299" s="661"/>
      <c r="E299" s="661"/>
      <c r="F299" s="661"/>
    </row>
    <row r="300" spans="2:6" x14ac:dyDescent="0.3">
      <c r="B300" s="661"/>
      <c r="E300" s="661"/>
      <c r="F300" s="661"/>
    </row>
    <row r="301" spans="2:6" x14ac:dyDescent="0.3">
      <c r="B301" s="661"/>
      <c r="E301" s="661"/>
      <c r="F301" s="661"/>
    </row>
    <row r="302" spans="2:6" x14ac:dyDescent="0.3">
      <c r="B302" s="661"/>
      <c r="E302" s="661"/>
      <c r="F302" s="661"/>
    </row>
    <row r="303" spans="2:6" x14ac:dyDescent="0.3">
      <c r="B303" s="661"/>
      <c r="E303" s="661"/>
      <c r="F303" s="661"/>
    </row>
    <row r="304" spans="2:6" x14ac:dyDescent="0.3">
      <c r="B304" s="661"/>
      <c r="E304" s="661"/>
      <c r="F304" s="661"/>
    </row>
    <row r="305" spans="2:6" x14ac:dyDescent="0.3">
      <c r="B305" s="661"/>
      <c r="E305" s="661"/>
      <c r="F305" s="661"/>
    </row>
    <row r="306" spans="2:6" x14ac:dyDescent="0.3">
      <c r="B306" s="661"/>
      <c r="E306" s="661"/>
      <c r="F306" s="661"/>
    </row>
    <row r="307" spans="2:6" x14ac:dyDescent="0.3">
      <c r="B307" s="661"/>
      <c r="E307" s="661"/>
      <c r="F307" s="661"/>
    </row>
    <row r="308" spans="2:6" x14ac:dyDescent="0.3">
      <c r="B308" s="661"/>
      <c r="E308" s="661"/>
      <c r="F308" s="661"/>
    </row>
    <row r="309" spans="2:6" x14ac:dyDescent="0.3">
      <c r="B309" s="661"/>
      <c r="E309" s="661"/>
      <c r="F309" s="661"/>
    </row>
    <row r="310" spans="2:6" x14ac:dyDescent="0.3">
      <c r="B310" s="661"/>
      <c r="E310" s="661"/>
      <c r="F310" s="661"/>
    </row>
    <row r="311" spans="2:6" x14ac:dyDescent="0.3">
      <c r="B311" s="661"/>
      <c r="E311" s="661"/>
      <c r="F311" s="661"/>
    </row>
    <row r="312" spans="2:6" x14ac:dyDescent="0.3">
      <c r="B312" s="661"/>
      <c r="E312" s="661"/>
      <c r="F312" s="661"/>
    </row>
    <row r="313" spans="2:6" x14ac:dyDescent="0.3">
      <c r="B313" s="661"/>
      <c r="E313" s="661"/>
      <c r="F313" s="661"/>
    </row>
    <row r="314" spans="2:6" x14ac:dyDescent="0.3">
      <c r="B314" s="661"/>
      <c r="E314" s="661"/>
      <c r="F314" s="661"/>
    </row>
    <row r="315" spans="2:6" x14ac:dyDescent="0.3">
      <c r="B315" s="661"/>
      <c r="E315" s="661"/>
      <c r="F315" s="661"/>
    </row>
    <row r="316" spans="2:6" x14ac:dyDescent="0.3">
      <c r="B316" s="661"/>
      <c r="E316" s="661"/>
      <c r="F316" s="661"/>
    </row>
    <row r="317" spans="2:6" x14ac:dyDescent="0.3">
      <c r="B317" s="661"/>
      <c r="E317" s="661"/>
      <c r="F317" s="661"/>
    </row>
    <row r="318" spans="2:6" x14ac:dyDescent="0.3">
      <c r="B318" s="661"/>
      <c r="E318" s="661"/>
      <c r="F318" s="661"/>
    </row>
    <row r="319" spans="2:6" x14ac:dyDescent="0.3">
      <c r="B319" s="661"/>
      <c r="E319" s="661"/>
      <c r="F319" s="661"/>
    </row>
    <row r="320" spans="2:6" x14ac:dyDescent="0.3">
      <c r="B320" s="661"/>
      <c r="E320" s="661"/>
      <c r="F320" s="661"/>
    </row>
    <row r="321" spans="2:6" x14ac:dyDescent="0.3">
      <c r="B321" s="661"/>
      <c r="E321" s="661"/>
      <c r="F321" s="661"/>
    </row>
    <row r="322" spans="2:6" x14ac:dyDescent="0.3">
      <c r="B322" s="661"/>
      <c r="E322" s="661"/>
      <c r="F322" s="661"/>
    </row>
    <row r="323" spans="2:6" x14ac:dyDescent="0.3">
      <c r="B323" s="661"/>
      <c r="E323" s="661"/>
      <c r="F323" s="661"/>
    </row>
    <row r="324" spans="2:6" x14ac:dyDescent="0.3">
      <c r="B324" s="661"/>
      <c r="E324" s="661"/>
      <c r="F324" s="661"/>
    </row>
    <row r="325" spans="2:6" x14ac:dyDescent="0.3">
      <c r="B325" s="661"/>
      <c r="E325" s="661"/>
      <c r="F325" s="661"/>
    </row>
    <row r="326" spans="2:6" x14ac:dyDescent="0.3">
      <c r="B326" s="661"/>
      <c r="E326" s="661"/>
      <c r="F326" s="661"/>
    </row>
    <row r="327" spans="2:6" x14ac:dyDescent="0.3">
      <c r="B327" s="661"/>
      <c r="E327" s="661"/>
      <c r="F327" s="661"/>
    </row>
    <row r="328" spans="2:6" x14ac:dyDescent="0.3">
      <c r="B328" s="661"/>
      <c r="E328" s="661"/>
      <c r="F328" s="661"/>
    </row>
    <row r="329" spans="2:6" x14ac:dyDescent="0.3">
      <c r="B329" s="661"/>
      <c r="E329" s="661"/>
      <c r="F329" s="661"/>
    </row>
    <row r="330" spans="2:6" x14ac:dyDescent="0.3">
      <c r="B330" s="661"/>
      <c r="E330" s="661"/>
      <c r="F330" s="661"/>
    </row>
    <row r="331" spans="2:6" x14ac:dyDescent="0.3">
      <c r="B331" s="661"/>
      <c r="E331" s="661"/>
      <c r="F331" s="661"/>
    </row>
    <row r="332" spans="2:6" x14ac:dyDescent="0.3">
      <c r="B332" s="661"/>
      <c r="E332" s="661"/>
      <c r="F332" s="661"/>
    </row>
    <row r="333" spans="2:6" x14ac:dyDescent="0.3">
      <c r="B333" s="661"/>
      <c r="E333" s="661"/>
      <c r="F333" s="661"/>
    </row>
    <row r="334" spans="2:6" x14ac:dyDescent="0.3">
      <c r="B334" s="661"/>
      <c r="E334" s="661"/>
      <c r="F334" s="661"/>
    </row>
    <row r="335" spans="2:6" x14ac:dyDescent="0.3">
      <c r="B335" s="661"/>
      <c r="E335" s="661"/>
      <c r="F335" s="661"/>
    </row>
    <row r="336" spans="2:6" x14ac:dyDescent="0.3">
      <c r="B336" s="661"/>
      <c r="E336" s="661"/>
      <c r="F336" s="661"/>
    </row>
    <row r="337" spans="2:6" x14ac:dyDescent="0.3">
      <c r="B337" s="661"/>
      <c r="E337" s="661"/>
      <c r="F337" s="661"/>
    </row>
    <row r="338" spans="2:6" x14ac:dyDescent="0.3">
      <c r="B338" s="661"/>
      <c r="E338" s="661"/>
      <c r="F338" s="661"/>
    </row>
    <row r="339" spans="2:6" x14ac:dyDescent="0.3">
      <c r="B339" s="661"/>
      <c r="E339" s="661"/>
      <c r="F339" s="661"/>
    </row>
    <row r="340" spans="2:6" x14ac:dyDescent="0.3">
      <c r="B340" s="661"/>
      <c r="E340" s="661"/>
      <c r="F340" s="661"/>
    </row>
    <row r="341" spans="2:6" x14ac:dyDescent="0.3">
      <c r="B341" s="661"/>
      <c r="E341" s="661"/>
      <c r="F341" s="661"/>
    </row>
    <row r="342" spans="2:6" x14ac:dyDescent="0.3">
      <c r="B342" s="661"/>
      <c r="E342" s="661"/>
      <c r="F342" s="661"/>
    </row>
    <row r="343" spans="2:6" x14ac:dyDescent="0.3">
      <c r="B343" s="661"/>
      <c r="E343" s="661"/>
      <c r="F343" s="661"/>
    </row>
    <row r="344" spans="2:6" x14ac:dyDescent="0.3">
      <c r="B344" s="661"/>
      <c r="E344" s="661"/>
      <c r="F344" s="661"/>
    </row>
    <row r="345" spans="2:6" x14ac:dyDescent="0.3">
      <c r="B345" s="661"/>
      <c r="E345" s="661"/>
      <c r="F345" s="661"/>
    </row>
    <row r="346" spans="2:6" x14ac:dyDescent="0.3">
      <c r="B346" s="661"/>
      <c r="E346" s="661"/>
      <c r="F346" s="661"/>
    </row>
    <row r="347" spans="2:6" x14ac:dyDescent="0.3">
      <c r="B347" s="661"/>
      <c r="E347" s="661"/>
      <c r="F347" s="661"/>
    </row>
    <row r="348" spans="2:6" x14ac:dyDescent="0.3">
      <c r="B348" s="661"/>
      <c r="E348" s="661"/>
      <c r="F348" s="661"/>
    </row>
    <row r="349" spans="2:6" x14ac:dyDescent="0.3">
      <c r="B349" s="661"/>
      <c r="E349" s="661"/>
      <c r="F349" s="661"/>
    </row>
    <row r="350" spans="2:6" x14ac:dyDescent="0.3">
      <c r="B350" s="661"/>
      <c r="E350" s="661"/>
      <c r="F350" s="661"/>
    </row>
    <row r="351" spans="2:6" x14ac:dyDescent="0.3">
      <c r="B351" s="661"/>
      <c r="E351" s="661"/>
      <c r="F351" s="661"/>
    </row>
    <row r="352" spans="2:6" x14ac:dyDescent="0.3">
      <c r="B352" s="661"/>
      <c r="E352" s="661"/>
      <c r="F352" s="661"/>
    </row>
    <row r="353" spans="2:6" x14ac:dyDescent="0.3">
      <c r="B353" s="661"/>
      <c r="E353" s="661"/>
      <c r="F353" s="661"/>
    </row>
    <row r="354" spans="2:6" x14ac:dyDescent="0.3">
      <c r="B354" s="661"/>
      <c r="E354" s="661"/>
      <c r="F354" s="661"/>
    </row>
    <row r="355" spans="2:6" x14ac:dyDescent="0.3">
      <c r="B355" s="661"/>
      <c r="E355" s="661"/>
      <c r="F355" s="661"/>
    </row>
    <row r="356" spans="2:6" x14ac:dyDescent="0.3">
      <c r="B356" s="661"/>
      <c r="E356" s="661"/>
      <c r="F356" s="661"/>
    </row>
    <row r="357" spans="2:6" x14ac:dyDescent="0.3">
      <c r="B357" s="661"/>
      <c r="E357" s="661"/>
      <c r="F357" s="661"/>
    </row>
    <row r="358" spans="2:6" x14ac:dyDescent="0.3">
      <c r="B358" s="661"/>
      <c r="E358" s="661"/>
      <c r="F358" s="661"/>
    </row>
    <row r="359" spans="2:6" x14ac:dyDescent="0.3">
      <c r="B359" s="661"/>
      <c r="E359" s="661"/>
      <c r="F359" s="661"/>
    </row>
    <row r="360" spans="2:6" x14ac:dyDescent="0.3">
      <c r="B360" s="661"/>
      <c r="E360" s="661"/>
      <c r="F360" s="661"/>
    </row>
    <row r="361" spans="2:6" x14ac:dyDescent="0.3">
      <c r="B361" s="661"/>
      <c r="E361" s="661"/>
      <c r="F361" s="661"/>
    </row>
    <row r="362" spans="2:6" x14ac:dyDescent="0.3">
      <c r="B362" s="661"/>
      <c r="E362" s="661"/>
      <c r="F362" s="661"/>
    </row>
    <row r="363" spans="2:6" x14ac:dyDescent="0.3">
      <c r="B363" s="661"/>
      <c r="E363" s="661"/>
      <c r="F363" s="661"/>
    </row>
    <row r="364" spans="2:6" x14ac:dyDescent="0.3">
      <c r="B364" s="661"/>
      <c r="E364" s="661"/>
      <c r="F364" s="661"/>
    </row>
    <row r="365" spans="2:6" x14ac:dyDescent="0.3">
      <c r="B365" s="661"/>
      <c r="E365" s="661"/>
      <c r="F365" s="661"/>
    </row>
    <row r="366" spans="2:6" x14ac:dyDescent="0.3">
      <c r="B366" s="661"/>
      <c r="E366" s="661"/>
      <c r="F366" s="661"/>
    </row>
    <row r="367" spans="2:6" x14ac:dyDescent="0.3">
      <c r="B367" s="661"/>
      <c r="E367" s="661"/>
      <c r="F367" s="661"/>
    </row>
    <row r="368" spans="2:6" x14ac:dyDescent="0.3">
      <c r="B368" s="661"/>
      <c r="E368" s="661"/>
      <c r="F368" s="661"/>
    </row>
    <row r="369" spans="2:6" x14ac:dyDescent="0.3">
      <c r="B369" s="661"/>
      <c r="E369" s="661"/>
      <c r="F369" s="661"/>
    </row>
    <row r="370" spans="2:6" x14ac:dyDescent="0.3">
      <c r="B370" s="661"/>
      <c r="E370" s="661"/>
      <c r="F370" s="661"/>
    </row>
    <row r="371" spans="2:6" x14ac:dyDescent="0.3">
      <c r="B371" s="661"/>
      <c r="E371" s="661"/>
      <c r="F371" s="661"/>
    </row>
    <row r="372" spans="2:6" x14ac:dyDescent="0.3">
      <c r="B372" s="661"/>
      <c r="E372" s="661"/>
      <c r="F372" s="661"/>
    </row>
    <row r="373" spans="2:6" x14ac:dyDescent="0.3">
      <c r="B373" s="661"/>
      <c r="E373" s="661"/>
      <c r="F373" s="661"/>
    </row>
    <row r="374" spans="2:6" x14ac:dyDescent="0.3">
      <c r="B374" s="661"/>
      <c r="E374" s="661"/>
      <c r="F374" s="661"/>
    </row>
    <row r="375" spans="2:6" x14ac:dyDescent="0.3">
      <c r="B375" s="661"/>
      <c r="E375" s="661"/>
      <c r="F375" s="661"/>
    </row>
    <row r="376" spans="2:6" x14ac:dyDescent="0.3">
      <c r="B376" s="661"/>
      <c r="E376" s="661"/>
      <c r="F376" s="661"/>
    </row>
    <row r="377" spans="2:6" x14ac:dyDescent="0.3">
      <c r="B377" s="661"/>
      <c r="E377" s="661"/>
      <c r="F377" s="661"/>
    </row>
    <row r="378" spans="2:6" x14ac:dyDescent="0.3">
      <c r="B378" s="661"/>
      <c r="E378" s="661"/>
      <c r="F378" s="661"/>
    </row>
    <row r="379" spans="2:6" x14ac:dyDescent="0.3">
      <c r="B379" s="661"/>
      <c r="E379" s="661"/>
      <c r="F379" s="661"/>
    </row>
    <row r="380" spans="2:6" x14ac:dyDescent="0.3">
      <c r="B380" s="661"/>
      <c r="E380" s="661"/>
      <c r="F380" s="661"/>
    </row>
    <row r="381" spans="2:6" x14ac:dyDescent="0.3">
      <c r="B381" s="661"/>
      <c r="E381" s="661"/>
      <c r="F381" s="661"/>
    </row>
    <row r="382" spans="2:6" x14ac:dyDescent="0.3">
      <c r="B382" s="661"/>
      <c r="E382" s="661"/>
      <c r="F382" s="661"/>
    </row>
    <row r="383" spans="2:6" x14ac:dyDescent="0.3">
      <c r="B383" s="661"/>
      <c r="E383" s="661"/>
      <c r="F383" s="661"/>
    </row>
    <row r="384" spans="2:6" x14ac:dyDescent="0.3">
      <c r="B384" s="661"/>
      <c r="E384" s="661"/>
      <c r="F384" s="661"/>
    </row>
    <row r="385" spans="2:6" x14ac:dyDescent="0.3">
      <c r="B385" s="661"/>
      <c r="E385" s="661"/>
      <c r="F385" s="661"/>
    </row>
    <row r="386" spans="2:6" x14ac:dyDescent="0.3">
      <c r="B386" s="661"/>
      <c r="E386" s="661"/>
      <c r="F386" s="661"/>
    </row>
    <row r="387" spans="2:6" x14ac:dyDescent="0.3">
      <c r="B387" s="661"/>
      <c r="E387" s="661"/>
      <c r="F387" s="661"/>
    </row>
    <row r="388" spans="2:6" x14ac:dyDescent="0.3">
      <c r="B388" s="661"/>
      <c r="E388" s="661"/>
      <c r="F388" s="661"/>
    </row>
    <row r="389" spans="2:6" x14ac:dyDescent="0.3">
      <c r="B389" s="661"/>
      <c r="E389" s="661"/>
      <c r="F389" s="661"/>
    </row>
    <row r="390" spans="2:6" x14ac:dyDescent="0.3">
      <c r="B390" s="661"/>
      <c r="E390" s="661"/>
      <c r="F390" s="661"/>
    </row>
    <row r="391" spans="2:6" x14ac:dyDescent="0.3">
      <c r="B391" s="661"/>
      <c r="E391" s="661"/>
      <c r="F391" s="661"/>
    </row>
    <row r="392" spans="2:6" x14ac:dyDescent="0.3">
      <c r="B392" s="661"/>
      <c r="E392" s="661"/>
      <c r="F392" s="661"/>
    </row>
    <row r="393" spans="2:6" x14ac:dyDescent="0.3">
      <c r="B393" s="661"/>
      <c r="E393" s="661"/>
      <c r="F393" s="661"/>
    </row>
    <row r="394" spans="2:6" x14ac:dyDescent="0.3">
      <c r="B394" s="661"/>
      <c r="E394" s="661"/>
      <c r="F394" s="661"/>
    </row>
    <row r="395" spans="2:6" x14ac:dyDescent="0.3">
      <c r="B395" s="661"/>
      <c r="E395" s="661"/>
      <c r="F395" s="661"/>
    </row>
    <row r="396" spans="2:6" x14ac:dyDescent="0.3">
      <c r="B396" s="661"/>
      <c r="E396" s="661"/>
      <c r="F396" s="661"/>
    </row>
    <row r="397" spans="2:6" x14ac:dyDescent="0.3">
      <c r="B397" s="661"/>
      <c r="E397" s="661"/>
      <c r="F397" s="661"/>
    </row>
    <row r="398" spans="2:6" x14ac:dyDescent="0.3">
      <c r="B398" s="661"/>
      <c r="E398" s="661"/>
      <c r="F398" s="661"/>
    </row>
    <row r="399" spans="2:6" x14ac:dyDescent="0.3">
      <c r="B399" s="661"/>
      <c r="E399" s="661"/>
      <c r="F399" s="661"/>
    </row>
    <row r="400" spans="2:6" x14ac:dyDescent="0.3">
      <c r="B400" s="661"/>
      <c r="E400" s="661"/>
      <c r="F400" s="661"/>
    </row>
    <row r="401" spans="2:6" x14ac:dyDescent="0.3">
      <c r="B401" s="661"/>
      <c r="E401" s="661"/>
      <c r="F401" s="661"/>
    </row>
    <row r="402" spans="2:6" x14ac:dyDescent="0.3">
      <c r="B402" s="661"/>
      <c r="E402" s="661"/>
      <c r="F402" s="661"/>
    </row>
    <row r="403" spans="2:6" x14ac:dyDescent="0.3">
      <c r="B403" s="661"/>
      <c r="E403" s="661"/>
      <c r="F403" s="661"/>
    </row>
    <row r="404" spans="2:6" x14ac:dyDescent="0.3">
      <c r="B404" s="661"/>
      <c r="E404" s="661"/>
      <c r="F404" s="661"/>
    </row>
    <row r="405" spans="2:6" x14ac:dyDescent="0.3">
      <c r="B405" s="661"/>
      <c r="E405" s="661"/>
      <c r="F405" s="661"/>
    </row>
    <row r="406" spans="2:6" x14ac:dyDescent="0.3">
      <c r="B406" s="661"/>
      <c r="E406" s="661"/>
      <c r="F406" s="661"/>
    </row>
    <row r="407" spans="2:6" x14ac:dyDescent="0.3">
      <c r="B407" s="661"/>
      <c r="E407" s="661"/>
      <c r="F407" s="661"/>
    </row>
    <row r="408" spans="2:6" x14ac:dyDescent="0.3">
      <c r="B408" s="661"/>
      <c r="E408" s="661"/>
      <c r="F408" s="661"/>
    </row>
    <row r="409" spans="2:6" x14ac:dyDescent="0.3">
      <c r="B409" s="661"/>
      <c r="E409" s="661"/>
      <c r="F409" s="661"/>
    </row>
    <row r="410" spans="2:6" x14ac:dyDescent="0.3">
      <c r="B410" s="661"/>
      <c r="E410" s="661"/>
      <c r="F410" s="661"/>
    </row>
    <row r="411" spans="2:6" x14ac:dyDescent="0.3">
      <c r="B411" s="661"/>
      <c r="E411" s="661"/>
      <c r="F411" s="661"/>
    </row>
    <row r="412" spans="2:6" x14ac:dyDescent="0.3">
      <c r="B412" s="661"/>
      <c r="E412" s="661"/>
      <c r="F412" s="661"/>
    </row>
    <row r="413" spans="2:6" x14ac:dyDescent="0.3">
      <c r="B413" s="661"/>
      <c r="E413" s="661"/>
      <c r="F413" s="661"/>
    </row>
    <row r="414" spans="2:6" x14ac:dyDescent="0.3">
      <c r="B414" s="661"/>
      <c r="E414" s="661"/>
      <c r="F414" s="661"/>
    </row>
    <row r="415" spans="2:6" x14ac:dyDescent="0.3">
      <c r="B415" s="661"/>
      <c r="E415" s="661"/>
      <c r="F415" s="661"/>
    </row>
    <row r="416" spans="2:6" x14ac:dyDescent="0.3">
      <c r="B416" s="661"/>
      <c r="E416" s="661"/>
      <c r="F416" s="661"/>
    </row>
    <row r="417" spans="2:6" x14ac:dyDescent="0.3">
      <c r="B417" s="661"/>
      <c r="E417" s="661"/>
      <c r="F417" s="661"/>
    </row>
    <row r="418" spans="2:6" x14ac:dyDescent="0.3">
      <c r="B418" s="661"/>
      <c r="E418" s="661"/>
      <c r="F418" s="661"/>
    </row>
    <row r="419" spans="2:6" x14ac:dyDescent="0.3">
      <c r="B419" s="661"/>
      <c r="E419" s="661"/>
      <c r="F419" s="661"/>
    </row>
    <row r="420" spans="2:6" x14ac:dyDescent="0.3">
      <c r="B420" s="661"/>
      <c r="E420" s="661"/>
      <c r="F420" s="661"/>
    </row>
    <row r="421" spans="2:6" x14ac:dyDescent="0.3">
      <c r="B421" s="661"/>
      <c r="E421" s="661"/>
      <c r="F421" s="661"/>
    </row>
    <row r="422" spans="2:6" x14ac:dyDescent="0.3">
      <c r="B422" s="661"/>
      <c r="E422" s="661"/>
      <c r="F422" s="661"/>
    </row>
    <row r="423" spans="2:6" x14ac:dyDescent="0.3">
      <c r="B423" s="661"/>
      <c r="E423" s="661"/>
      <c r="F423" s="661"/>
    </row>
    <row r="424" spans="2:6" x14ac:dyDescent="0.3">
      <c r="B424" s="661"/>
      <c r="E424" s="661"/>
      <c r="F424" s="661"/>
    </row>
    <row r="425" spans="2:6" x14ac:dyDescent="0.3">
      <c r="B425" s="661"/>
      <c r="E425" s="661"/>
      <c r="F425" s="661"/>
    </row>
    <row r="426" spans="2:6" x14ac:dyDescent="0.3">
      <c r="B426" s="661"/>
      <c r="E426" s="661"/>
      <c r="F426" s="661"/>
    </row>
    <row r="427" spans="2:6" x14ac:dyDescent="0.3">
      <c r="B427" s="661"/>
      <c r="E427" s="661"/>
      <c r="F427" s="661"/>
    </row>
    <row r="428" spans="2:6" x14ac:dyDescent="0.3">
      <c r="B428" s="661"/>
      <c r="E428" s="661"/>
      <c r="F428" s="661"/>
    </row>
    <row r="429" spans="2:6" x14ac:dyDescent="0.3">
      <c r="B429" s="661"/>
      <c r="E429" s="661"/>
      <c r="F429" s="661"/>
    </row>
    <row r="430" spans="2:6" x14ac:dyDescent="0.3">
      <c r="B430" s="661"/>
      <c r="E430" s="661"/>
      <c r="F430" s="661"/>
    </row>
    <row r="431" spans="2:6" x14ac:dyDescent="0.3">
      <c r="B431" s="661"/>
      <c r="E431" s="661"/>
      <c r="F431" s="661"/>
    </row>
    <row r="432" spans="2:6" x14ac:dyDescent="0.3">
      <c r="B432" s="661"/>
      <c r="E432" s="661"/>
      <c r="F432" s="661"/>
    </row>
    <row r="433" spans="2:6" x14ac:dyDescent="0.3">
      <c r="B433" s="661"/>
      <c r="E433" s="661"/>
      <c r="F433" s="661"/>
    </row>
    <row r="434" spans="2:6" x14ac:dyDescent="0.3">
      <c r="B434" s="661"/>
      <c r="E434" s="661"/>
      <c r="F434" s="661"/>
    </row>
    <row r="435" spans="2:6" x14ac:dyDescent="0.3">
      <c r="B435" s="661"/>
      <c r="E435" s="661"/>
      <c r="F435" s="661"/>
    </row>
    <row r="436" spans="2:6" x14ac:dyDescent="0.3">
      <c r="B436" s="661"/>
      <c r="E436" s="661"/>
      <c r="F436" s="661"/>
    </row>
    <row r="437" spans="2:6" x14ac:dyDescent="0.3">
      <c r="B437" s="661"/>
      <c r="E437" s="661"/>
      <c r="F437" s="661"/>
    </row>
    <row r="438" spans="2:6" x14ac:dyDescent="0.3">
      <c r="B438" s="661"/>
      <c r="E438" s="661"/>
      <c r="F438" s="661"/>
    </row>
    <row r="439" spans="2:6" x14ac:dyDescent="0.3">
      <c r="B439" s="661"/>
      <c r="E439" s="661"/>
      <c r="F439" s="661"/>
    </row>
    <row r="440" spans="2:6" x14ac:dyDescent="0.3">
      <c r="B440" s="661"/>
      <c r="E440" s="661"/>
      <c r="F440" s="661"/>
    </row>
    <row r="441" spans="2:6" x14ac:dyDescent="0.3">
      <c r="B441" s="661"/>
      <c r="E441" s="661"/>
      <c r="F441" s="661"/>
    </row>
    <row r="442" spans="2:6" x14ac:dyDescent="0.3">
      <c r="B442" s="661"/>
      <c r="E442" s="661"/>
      <c r="F442" s="661"/>
    </row>
    <row r="443" spans="2:6" x14ac:dyDescent="0.3">
      <c r="B443" s="661"/>
      <c r="E443" s="661"/>
      <c r="F443" s="661"/>
    </row>
    <row r="444" spans="2:6" x14ac:dyDescent="0.3">
      <c r="B444" s="661"/>
      <c r="E444" s="661"/>
      <c r="F444" s="661"/>
    </row>
    <row r="445" spans="2:6" x14ac:dyDescent="0.3">
      <c r="B445" s="661"/>
      <c r="E445" s="661"/>
      <c r="F445" s="661"/>
    </row>
    <row r="446" spans="2:6" x14ac:dyDescent="0.3">
      <c r="B446" s="661"/>
      <c r="E446" s="661"/>
      <c r="F446" s="661"/>
    </row>
    <row r="447" spans="2:6" x14ac:dyDescent="0.3">
      <c r="B447" s="661"/>
      <c r="E447" s="661"/>
      <c r="F447" s="661"/>
    </row>
    <row r="448" spans="2:6" x14ac:dyDescent="0.3">
      <c r="B448" s="661"/>
      <c r="E448" s="661"/>
      <c r="F448" s="661"/>
    </row>
    <row r="449" spans="2:6" x14ac:dyDescent="0.3">
      <c r="B449" s="661"/>
      <c r="E449" s="661"/>
      <c r="F449" s="661"/>
    </row>
    <row r="450" spans="2:6" x14ac:dyDescent="0.3">
      <c r="B450" s="661"/>
      <c r="E450" s="661"/>
      <c r="F450" s="661"/>
    </row>
    <row r="451" spans="2:6" x14ac:dyDescent="0.3">
      <c r="B451" s="661"/>
      <c r="E451" s="661"/>
      <c r="F451" s="661"/>
    </row>
    <row r="452" spans="2:6" x14ac:dyDescent="0.3">
      <c r="B452" s="661"/>
      <c r="E452" s="661"/>
      <c r="F452" s="661"/>
    </row>
    <row r="453" spans="2:6" x14ac:dyDescent="0.3">
      <c r="B453" s="661"/>
      <c r="E453" s="661"/>
      <c r="F453" s="661"/>
    </row>
    <row r="454" spans="2:6" x14ac:dyDescent="0.3">
      <c r="B454" s="661"/>
      <c r="E454" s="661"/>
      <c r="F454" s="661"/>
    </row>
    <row r="455" spans="2:6" x14ac:dyDescent="0.3">
      <c r="B455" s="661"/>
      <c r="E455" s="661"/>
      <c r="F455" s="661"/>
    </row>
    <row r="456" spans="2:6" x14ac:dyDescent="0.3">
      <c r="B456" s="661"/>
      <c r="E456" s="661"/>
      <c r="F456" s="661"/>
    </row>
    <row r="457" spans="2:6" x14ac:dyDescent="0.3">
      <c r="B457" s="661"/>
      <c r="E457" s="661"/>
      <c r="F457" s="661"/>
    </row>
    <row r="458" spans="2:6" x14ac:dyDescent="0.3">
      <c r="B458" s="661"/>
      <c r="E458" s="661"/>
      <c r="F458" s="661"/>
    </row>
    <row r="459" spans="2:6" x14ac:dyDescent="0.3">
      <c r="B459" s="661"/>
      <c r="E459" s="661"/>
      <c r="F459" s="661"/>
    </row>
    <row r="460" spans="2:6" x14ac:dyDescent="0.3">
      <c r="B460" s="661"/>
      <c r="E460" s="661"/>
      <c r="F460" s="661"/>
    </row>
    <row r="461" spans="2:6" x14ac:dyDescent="0.3">
      <c r="B461" s="661"/>
      <c r="E461" s="661"/>
      <c r="F461" s="661"/>
    </row>
    <row r="462" spans="2:6" x14ac:dyDescent="0.3">
      <c r="B462" s="661"/>
      <c r="E462" s="661"/>
      <c r="F462" s="661"/>
    </row>
    <row r="463" spans="2:6" x14ac:dyDescent="0.3">
      <c r="B463" s="661"/>
      <c r="E463" s="661"/>
      <c r="F463" s="661"/>
    </row>
    <row r="464" spans="2:6" x14ac:dyDescent="0.3">
      <c r="B464" s="661"/>
      <c r="E464" s="661"/>
      <c r="F464" s="661"/>
    </row>
    <row r="465" spans="2:6" x14ac:dyDescent="0.3">
      <c r="B465" s="661"/>
      <c r="E465" s="661"/>
      <c r="F465" s="661"/>
    </row>
    <row r="466" spans="2:6" x14ac:dyDescent="0.3">
      <c r="B466" s="661"/>
      <c r="E466" s="661"/>
      <c r="F466" s="661"/>
    </row>
    <row r="467" spans="2:6" x14ac:dyDescent="0.3">
      <c r="B467" s="661"/>
      <c r="E467" s="661"/>
      <c r="F467" s="661"/>
    </row>
    <row r="468" spans="2:6" x14ac:dyDescent="0.3">
      <c r="B468" s="661"/>
      <c r="E468" s="661"/>
      <c r="F468" s="661"/>
    </row>
    <row r="469" spans="2:6" x14ac:dyDescent="0.3">
      <c r="B469" s="661"/>
      <c r="E469" s="661"/>
      <c r="F469" s="661"/>
    </row>
    <row r="470" spans="2:6" x14ac:dyDescent="0.3">
      <c r="B470" s="661"/>
      <c r="E470" s="661"/>
      <c r="F470" s="661"/>
    </row>
    <row r="471" spans="2:6" x14ac:dyDescent="0.3">
      <c r="B471" s="661"/>
      <c r="E471" s="661"/>
      <c r="F471" s="661"/>
    </row>
    <row r="472" spans="2:6" x14ac:dyDescent="0.3">
      <c r="B472" s="661"/>
      <c r="E472" s="661"/>
      <c r="F472" s="661"/>
    </row>
    <row r="473" spans="2:6" x14ac:dyDescent="0.3">
      <c r="B473" s="661"/>
      <c r="E473" s="661"/>
      <c r="F473" s="661"/>
    </row>
    <row r="474" spans="2:6" x14ac:dyDescent="0.3">
      <c r="B474" s="661"/>
      <c r="E474" s="661"/>
      <c r="F474" s="661"/>
    </row>
    <row r="475" spans="2:6" x14ac:dyDescent="0.3">
      <c r="B475" s="661"/>
      <c r="E475" s="661"/>
      <c r="F475" s="661"/>
    </row>
    <row r="476" spans="2:6" x14ac:dyDescent="0.3">
      <c r="B476" s="661"/>
      <c r="E476" s="661"/>
      <c r="F476" s="661"/>
    </row>
    <row r="477" spans="2:6" x14ac:dyDescent="0.3">
      <c r="B477" s="661"/>
      <c r="E477" s="661"/>
      <c r="F477" s="661"/>
    </row>
    <row r="478" spans="2:6" x14ac:dyDescent="0.3">
      <c r="B478" s="661"/>
      <c r="E478" s="661"/>
      <c r="F478" s="661"/>
    </row>
    <row r="479" spans="2:6" x14ac:dyDescent="0.3">
      <c r="B479" s="661"/>
      <c r="E479" s="661"/>
      <c r="F479" s="661"/>
    </row>
    <row r="480" spans="2:6" x14ac:dyDescent="0.3">
      <c r="B480" s="661"/>
      <c r="E480" s="661"/>
      <c r="F480" s="661"/>
    </row>
    <row r="481" spans="2:6" x14ac:dyDescent="0.3">
      <c r="B481" s="661"/>
      <c r="E481" s="661"/>
      <c r="F481" s="661"/>
    </row>
    <row r="482" spans="2:6" x14ac:dyDescent="0.3">
      <c r="B482" s="661"/>
      <c r="E482" s="661"/>
      <c r="F482" s="661"/>
    </row>
    <row r="483" spans="2:6" x14ac:dyDescent="0.3">
      <c r="B483" s="661"/>
      <c r="E483" s="661"/>
      <c r="F483" s="661"/>
    </row>
    <row r="484" spans="2:6" x14ac:dyDescent="0.3">
      <c r="B484" s="661"/>
      <c r="E484" s="661"/>
      <c r="F484" s="661"/>
    </row>
    <row r="485" spans="2:6" x14ac:dyDescent="0.3">
      <c r="B485" s="661"/>
      <c r="E485" s="661"/>
      <c r="F485" s="661"/>
    </row>
    <row r="486" spans="2:6" x14ac:dyDescent="0.3">
      <c r="B486" s="661"/>
      <c r="E486" s="661"/>
      <c r="F486" s="661"/>
    </row>
    <row r="487" spans="2:6" x14ac:dyDescent="0.3">
      <c r="B487" s="661"/>
      <c r="E487" s="661"/>
      <c r="F487" s="661"/>
    </row>
    <row r="488" spans="2:6" x14ac:dyDescent="0.3">
      <c r="B488" s="661"/>
      <c r="E488" s="661"/>
      <c r="F488" s="661"/>
    </row>
    <row r="489" spans="2:6" x14ac:dyDescent="0.3">
      <c r="B489" s="661"/>
      <c r="E489" s="661"/>
      <c r="F489" s="661"/>
    </row>
    <row r="490" spans="2:6" x14ac:dyDescent="0.3">
      <c r="B490" s="661"/>
      <c r="E490" s="661"/>
      <c r="F490" s="661"/>
    </row>
    <row r="491" spans="2:6" x14ac:dyDescent="0.3">
      <c r="B491" s="661"/>
      <c r="E491" s="661"/>
      <c r="F491" s="661"/>
    </row>
    <row r="492" spans="2:6" x14ac:dyDescent="0.3">
      <c r="B492" s="661"/>
      <c r="E492" s="661"/>
      <c r="F492" s="661"/>
    </row>
    <row r="493" spans="2:6" x14ac:dyDescent="0.3">
      <c r="B493" s="661"/>
      <c r="E493" s="661"/>
      <c r="F493" s="661"/>
    </row>
    <row r="494" spans="2:6" x14ac:dyDescent="0.3">
      <c r="B494" s="661"/>
      <c r="E494" s="661"/>
      <c r="F494" s="661"/>
    </row>
    <row r="495" spans="2:6" x14ac:dyDescent="0.3">
      <c r="B495" s="661"/>
      <c r="E495" s="661"/>
      <c r="F495" s="661"/>
    </row>
    <row r="496" spans="2:6" x14ac:dyDescent="0.3">
      <c r="B496" s="661"/>
      <c r="E496" s="661"/>
      <c r="F496" s="661"/>
    </row>
    <row r="497" spans="2:6" x14ac:dyDescent="0.3">
      <c r="B497" s="661"/>
      <c r="E497" s="661"/>
      <c r="F497" s="661"/>
    </row>
    <row r="498" spans="2:6" x14ac:dyDescent="0.3">
      <c r="B498" s="661"/>
      <c r="E498" s="661"/>
      <c r="F498" s="661"/>
    </row>
    <row r="499" spans="2:6" x14ac:dyDescent="0.3">
      <c r="B499" s="661"/>
      <c r="E499" s="661"/>
      <c r="F499" s="661"/>
    </row>
    <row r="500" spans="2:6" x14ac:dyDescent="0.3">
      <c r="B500" s="661"/>
      <c r="E500" s="661"/>
      <c r="F500" s="661"/>
    </row>
    <row r="501" spans="2:6" x14ac:dyDescent="0.3">
      <c r="B501" s="661"/>
      <c r="E501" s="661"/>
      <c r="F501" s="661"/>
    </row>
    <row r="502" spans="2:6" x14ac:dyDescent="0.3">
      <c r="B502" s="661"/>
      <c r="E502" s="661"/>
      <c r="F502" s="661"/>
    </row>
    <row r="503" spans="2:6" x14ac:dyDescent="0.3">
      <c r="B503" s="661"/>
      <c r="E503" s="661"/>
      <c r="F503" s="661"/>
    </row>
    <row r="504" spans="2:6" x14ac:dyDescent="0.3">
      <c r="B504" s="661"/>
      <c r="E504" s="661"/>
      <c r="F504" s="661"/>
    </row>
    <row r="505" spans="2:6" x14ac:dyDescent="0.3">
      <c r="B505" s="661"/>
      <c r="E505" s="661"/>
      <c r="F505" s="661"/>
    </row>
    <row r="506" spans="2:6" x14ac:dyDescent="0.3">
      <c r="B506" s="661"/>
      <c r="E506" s="661"/>
      <c r="F506" s="661"/>
    </row>
    <row r="507" spans="2:6" x14ac:dyDescent="0.3">
      <c r="B507" s="661"/>
      <c r="E507" s="661"/>
      <c r="F507" s="661"/>
    </row>
    <row r="508" spans="2:6" x14ac:dyDescent="0.3">
      <c r="B508" s="661"/>
      <c r="E508" s="661"/>
      <c r="F508" s="661"/>
    </row>
    <row r="509" spans="2:6" x14ac:dyDescent="0.3">
      <c r="B509" s="661"/>
      <c r="E509" s="661"/>
      <c r="F509" s="661"/>
    </row>
    <row r="510" spans="2:6" x14ac:dyDescent="0.3">
      <c r="B510" s="661"/>
      <c r="E510" s="661"/>
      <c r="F510" s="661"/>
    </row>
    <row r="511" spans="2:6" x14ac:dyDescent="0.3">
      <c r="B511" s="661"/>
      <c r="E511" s="661"/>
      <c r="F511" s="661"/>
    </row>
    <row r="512" spans="2:6" x14ac:dyDescent="0.3">
      <c r="B512" s="661"/>
      <c r="E512" s="661"/>
      <c r="F512" s="661"/>
    </row>
    <row r="513" spans="2:6" x14ac:dyDescent="0.3">
      <c r="B513" s="661"/>
      <c r="E513" s="661"/>
      <c r="F513" s="661"/>
    </row>
    <row r="514" spans="2:6" x14ac:dyDescent="0.3">
      <c r="B514" s="661"/>
      <c r="E514" s="661"/>
      <c r="F514" s="661"/>
    </row>
    <row r="515" spans="2:6" x14ac:dyDescent="0.3">
      <c r="B515" s="661"/>
      <c r="E515" s="661"/>
      <c r="F515" s="661"/>
    </row>
    <row r="516" spans="2:6" x14ac:dyDescent="0.3">
      <c r="B516" s="661"/>
      <c r="E516" s="661"/>
      <c r="F516" s="661"/>
    </row>
    <row r="517" spans="2:6" x14ac:dyDescent="0.3">
      <c r="B517" s="661"/>
      <c r="E517" s="661"/>
      <c r="F517" s="661"/>
    </row>
    <row r="518" spans="2:6" x14ac:dyDescent="0.3">
      <c r="B518" s="661"/>
      <c r="E518" s="661"/>
      <c r="F518" s="661"/>
    </row>
    <row r="519" spans="2:6" x14ac:dyDescent="0.3">
      <c r="B519" s="661"/>
      <c r="E519" s="661"/>
      <c r="F519" s="661"/>
    </row>
    <row r="520" spans="2:6" x14ac:dyDescent="0.3">
      <c r="B520" s="661"/>
      <c r="E520" s="661"/>
      <c r="F520" s="661"/>
    </row>
    <row r="521" spans="2:6" x14ac:dyDescent="0.3">
      <c r="B521" s="661"/>
      <c r="E521" s="661"/>
      <c r="F521" s="661"/>
    </row>
    <row r="522" spans="2:6" x14ac:dyDescent="0.3">
      <c r="B522" s="661"/>
      <c r="E522" s="661"/>
      <c r="F522" s="661"/>
    </row>
    <row r="523" spans="2:6" x14ac:dyDescent="0.3">
      <c r="B523" s="661"/>
      <c r="E523" s="661"/>
      <c r="F523" s="661"/>
    </row>
    <row r="524" spans="2:6" x14ac:dyDescent="0.3">
      <c r="B524" s="661"/>
      <c r="E524" s="661"/>
      <c r="F524" s="661"/>
    </row>
    <row r="525" spans="2:6" x14ac:dyDescent="0.3">
      <c r="B525" s="661"/>
      <c r="E525" s="661"/>
      <c r="F525" s="661"/>
    </row>
    <row r="526" spans="2:6" x14ac:dyDescent="0.3">
      <c r="B526" s="661"/>
      <c r="E526" s="661"/>
      <c r="F526" s="661"/>
    </row>
    <row r="527" spans="2:6" x14ac:dyDescent="0.3">
      <c r="B527" s="661"/>
      <c r="E527" s="661"/>
      <c r="F527" s="661"/>
    </row>
    <row r="528" spans="2:6" x14ac:dyDescent="0.3">
      <c r="B528" s="661"/>
      <c r="E528" s="661"/>
      <c r="F528" s="661"/>
    </row>
    <row r="529" spans="2:6" x14ac:dyDescent="0.3">
      <c r="B529" s="661"/>
      <c r="E529" s="661"/>
      <c r="F529" s="661"/>
    </row>
    <row r="530" spans="2:6" x14ac:dyDescent="0.3">
      <c r="B530" s="661"/>
      <c r="E530" s="661"/>
      <c r="F530" s="661"/>
    </row>
    <row r="531" spans="2:6" x14ac:dyDescent="0.3">
      <c r="B531" s="661"/>
      <c r="E531" s="661"/>
      <c r="F531" s="661"/>
    </row>
    <row r="532" spans="2:6" x14ac:dyDescent="0.3">
      <c r="B532" s="661"/>
      <c r="E532" s="661"/>
      <c r="F532" s="661"/>
    </row>
    <row r="533" spans="2:6" x14ac:dyDescent="0.3">
      <c r="B533" s="661"/>
      <c r="E533" s="661"/>
      <c r="F533" s="661"/>
    </row>
    <row r="534" spans="2:6" x14ac:dyDescent="0.3">
      <c r="B534" s="661"/>
      <c r="E534" s="661"/>
      <c r="F534" s="661"/>
    </row>
    <row r="535" spans="2:6" x14ac:dyDescent="0.3">
      <c r="B535" s="661"/>
      <c r="E535" s="661"/>
      <c r="F535" s="661"/>
    </row>
    <row r="536" spans="2:6" x14ac:dyDescent="0.3">
      <c r="B536" s="661"/>
      <c r="E536" s="661"/>
      <c r="F536" s="661"/>
    </row>
    <row r="537" spans="2:6" x14ac:dyDescent="0.3">
      <c r="B537" s="661"/>
      <c r="E537" s="661"/>
      <c r="F537" s="661"/>
    </row>
    <row r="538" spans="2:6" x14ac:dyDescent="0.3">
      <c r="B538" s="661"/>
      <c r="E538" s="661"/>
      <c r="F538" s="661"/>
    </row>
    <row r="539" spans="2:6" x14ac:dyDescent="0.3">
      <c r="B539" s="661"/>
      <c r="E539" s="661"/>
      <c r="F539" s="661"/>
    </row>
    <row r="540" spans="2:6" x14ac:dyDescent="0.3">
      <c r="B540" s="661"/>
      <c r="E540" s="661"/>
      <c r="F540" s="661"/>
    </row>
    <row r="541" spans="2:6" x14ac:dyDescent="0.3">
      <c r="B541" s="661"/>
      <c r="E541" s="661"/>
      <c r="F541" s="661"/>
    </row>
    <row r="542" spans="2:6" x14ac:dyDescent="0.3">
      <c r="B542" s="661"/>
      <c r="E542" s="661"/>
      <c r="F542" s="661"/>
    </row>
    <row r="543" spans="2:6" x14ac:dyDescent="0.3">
      <c r="B543" s="661"/>
      <c r="E543" s="661"/>
      <c r="F543" s="661"/>
    </row>
    <row r="544" spans="2:6" x14ac:dyDescent="0.3">
      <c r="B544" s="661"/>
      <c r="E544" s="661"/>
      <c r="F544" s="661"/>
    </row>
    <row r="545" spans="2:6" x14ac:dyDescent="0.3">
      <c r="B545" s="661"/>
      <c r="E545" s="661"/>
      <c r="F545" s="661"/>
    </row>
    <row r="546" spans="2:6" x14ac:dyDescent="0.3">
      <c r="B546" s="661"/>
      <c r="E546" s="661"/>
      <c r="F546" s="661"/>
    </row>
    <row r="547" spans="2:6" x14ac:dyDescent="0.3">
      <c r="B547" s="661"/>
      <c r="E547" s="661"/>
      <c r="F547" s="661"/>
    </row>
    <row r="548" spans="2:6" x14ac:dyDescent="0.3">
      <c r="B548" s="661"/>
      <c r="E548" s="661"/>
      <c r="F548" s="661"/>
    </row>
    <row r="549" spans="2:6" x14ac:dyDescent="0.3">
      <c r="B549" s="661"/>
      <c r="E549" s="661"/>
      <c r="F549" s="661"/>
    </row>
    <row r="550" spans="2:6" x14ac:dyDescent="0.3">
      <c r="B550" s="661"/>
      <c r="E550" s="661"/>
      <c r="F550" s="661"/>
    </row>
    <row r="551" spans="2:6" x14ac:dyDescent="0.3">
      <c r="B551" s="661"/>
      <c r="E551" s="661"/>
      <c r="F551" s="661"/>
    </row>
    <row r="552" spans="2:6" x14ac:dyDescent="0.3">
      <c r="B552" s="661"/>
      <c r="E552" s="661"/>
      <c r="F552" s="661"/>
    </row>
    <row r="553" spans="2:6" x14ac:dyDescent="0.3">
      <c r="B553" s="661"/>
      <c r="E553" s="661"/>
      <c r="F553" s="661"/>
    </row>
    <row r="554" spans="2:6" x14ac:dyDescent="0.3">
      <c r="B554" s="661"/>
      <c r="E554" s="661"/>
      <c r="F554" s="661"/>
    </row>
    <row r="555" spans="2:6" x14ac:dyDescent="0.3">
      <c r="B555" s="661"/>
      <c r="E555" s="661"/>
      <c r="F555" s="661"/>
    </row>
    <row r="556" spans="2:6" x14ac:dyDescent="0.3">
      <c r="B556" s="661"/>
      <c r="E556" s="661"/>
      <c r="F556" s="661"/>
    </row>
    <row r="557" spans="2:6" x14ac:dyDescent="0.3">
      <c r="B557" s="661"/>
      <c r="E557" s="661"/>
      <c r="F557" s="661"/>
    </row>
    <row r="558" spans="2:6" x14ac:dyDescent="0.3">
      <c r="B558" s="661"/>
      <c r="E558" s="661"/>
      <c r="F558" s="661"/>
    </row>
    <row r="559" spans="2:6" x14ac:dyDescent="0.3">
      <c r="B559" s="661"/>
      <c r="E559" s="661"/>
      <c r="F559" s="661"/>
    </row>
    <row r="560" spans="2:6" x14ac:dyDescent="0.3">
      <c r="B560" s="661"/>
      <c r="E560" s="661"/>
      <c r="F560" s="661"/>
    </row>
    <row r="561" spans="2:6" x14ac:dyDescent="0.3">
      <c r="B561" s="661"/>
      <c r="E561" s="661"/>
      <c r="F561" s="661"/>
    </row>
    <row r="562" spans="2:6" x14ac:dyDescent="0.3">
      <c r="B562" s="661"/>
      <c r="E562" s="661"/>
      <c r="F562" s="661"/>
    </row>
    <row r="563" spans="2:6" x14ac:dyDescent="0.3">
      <c r="B563" s="661"/>
      <c r="E563" s="661"/>
      <c r="F563" s="661"/>
    </row>
    <row r="564" spans="2:6" x14ac:dyDescent="0.3">
      <c r="B564" s="661"/>
      <c r="E564" s="661"/>
      <c r="F564" s="661"/>
    </row>
    <row r="565" spans="2:6" x14ac:dyDescent="0.3">
      <c r="B565" s="661"/>
      <c r="E565" s="661"/>
      <c r="F565" s="661"/>
    </row>
    <row r="566" spans="2:6" x14ac:dyDescent="0.3">
      <c r="B566" s="661"/>
      <c r="E566" s="661"/>
      <c r="F566" s="661"/>
    </row>
    <row r="567" spans="2:6" x14ac:dyDescent="0.3">
      <c r="B567" s="661"/>
      <c r="E567" s="661"/>
      <c r="F567" s="661"/>
    </row>
    <row r="568" spans="2:6" x14ac:dyDescent="0.3">
      <c r="B568" s="661"/>
      <c r="E568" s="661"/>
      <c r="F568" s="661"/>
    </row>
    <row r="569" spans="2:6" x14ac:dyDescent="0.3">
      <c r="B569" s="661"/>
      <c r="E569" s="661"/>
      <c r="F569" s="661"/>
    </row>
    <row r="570" spans="2:6" x14ac:dyDescent="0.3">
      <c r="B570" s="661"/>
      <c r="E570" s="661"/>
      <c r="F570" s="661"/>
    </row>
    <row r="571" spans="2:6" x14ac:dyDescent="0.3">
      <c r="B571" s="661"/>
      <c r="E571" s="661"/>
      <c r="F571" s="661"/>
    </row>
    <row r="572" spans="2:6" x14ac:dyDescent="0.3">
      <c r="B572" s="661"/>
      <c r="E572" s="661"/>
      <c r="F572" s="661"/>
    </row>
    <row r="573" spans="2:6" x14ac:dyDescent="0.3">
      <c r="B573" s="661"/>
      <c r="E573" s="661"/>
      <c r="F573" s="661"/>
    </row>
    <row r="574" spans="2:6" x14ac:dyDescent="0.3">
      <c r="B574" s="661"/>
      <c r="E574" s="661"/>
      <c r="F574" s="661"/>
    </row>
    <row r="575" spans="2:6" x14ac:dyDescent="0.3">
      <c r="B575" s="661"/>
      <c r="E575" s="661"/>
      <c r="F575" s="661"/>
    </row>
    <row r="576" spans="2:6" x14ac:dyDescent="0.3">
      <c r="B576" s="661"/>
      <c r="E576" s="661"/>
      <c r="F576" s="661"/>
    </row>
    <row r="577" spans="2:6" x14ac:dyDescent="0.3">
      <c r="B577" s="661"/>
      <c r="E577" s="661"/>
      <c r="F577" s="661"/>
    </row>
    <row r="578" spans="2:6" x14ac:dyDescent="0.3">
      <c r="B578" s="661"/>
      <c r="E578" s="661"/>
      <c r="F578" s="661"/>
    </row>
    <row r="579" spans="2:6" x14ac:dyDescent="0.3">
      <c r="B579" s="661"/>
      <c r="E579" s="661"/>
      <c r="F579" s="661"/>
    </row>
    <row r="580" spans="2:6" x14ac:dyDescent="0.3">
      <c r="B580" s="661"/>
      <c r="E580" s="661"/>
      <c r="F580" s="661"/>
    </row>
    <row r="581" spans="2:6" x14ac:dyDescent="0.3">
      <c r="B581" s="661"/>
      <c r="E581" s="661"/>
      <c r="F581" s="661"/>
    </row>
    <row r="582" spans="2:6" x14ac:dyDescent="0.3">
      <c r="B582" s="661"/>
      <c r="E582" s="661"/>
      <c r="F582" s="661"/>
    </row>
    <row r="583" spans="2:6" x14ac:dyDescent="0.3">
      <c r="B583" s="661"/>
      <c r="E583" s="661"/>
      <c r="F583" s="661"/>
    </row>
    <row r="584" spans="2:6" x14ac:dyDescent="0.3">
      <c r="B584" s="661"/>
      <c r="E584" s="661"/>
      <c r="F584" s="661"/>
    </row>
    <row r="585" spans="2:6" x14ac:dyDescent="0.3">
      <c r="B585" s="661"/>
      <c r="E585" s="661"/>
      <c r="F585" s="661"/>
    </row>
    <row r="586" spans="2:6" x14ac:dyDescent="0.3">
      <c r="B586" s="661"/>
      <c r="E586" s="661"/>
      <c r="F586" s="661"/>
    </row>
    <row r="587" spans="2:6" x14ac:dyDescent="0.3">
      <c r="B587" s="661"/>
      <c r="E587" s="661"/>
      <c r="F587" s="661"/>
    </row>
    <row r="588" spans="2:6" x14ac:dyDescent="0.3">
      <c r="B588" s="661"/>
      <c r="E588" s="661"/>
      <c r="F588" s="661"/>
    </row>
    <row r="589" spans="2:6" x14ac:dyDescent="0.3">
      <c r="B589" s="661"/>
      <c r="E589" s="661"/>
      <c r="F589" s="661"/>
    </row>
    <row r="590" spans="2:6" x14ac:dyDescent="0.3">
      <c r="B590" s="661"/>
      <c r="E590" s="661"/>
      <c r="F590" s="661"/>
    </row>
    <row r="591" spans="2:6" x14ac:dyDescent="0.3">
      <c r="B591" s="661"/>
      <c r="E591" s="661"/>
      <c r="F591" s="661"/>
    </row>
    <row r="592" spans="2:6" x14ac:dyDescent="0.3">
      <c r="B592" s="661"/>
      <c r="E592" s="661"/>
      <c r="F592" s="661"/>
    </row>
    <row r="593" spans="2:6" x14ac:dyDescent="0.3">
      <c r="B593" s="661"/>
      <c r="E593" s="661"/>
      <c r="F593" s="661"/>
    </row>
    <row r="594" spans="2:6" x14ac:dyDescent="0.3">
      <c r="B594" s="661"/>
      <c r="E594" s="661"/>
      <c r="F594" s="661"/>
    </row>
    <row r="595" spans="2:6" x14ac:dyDescent="0.3">
      <c r="B595" s="661"/>
      <c r="E595" s="661"/>
      <c r="F595" s="661"/>
    </row>
    <row r="596" spans="2:6" x14ac:dyDescent="0.3">
      <c r="B596" s="661"/>
      <c r="E596" s="661"/>
      <c r="F596" s="661"/>
    </row>
    <row r="597" spans="2:6" x14ac:dyDescent="0.3">
      <c r="B597" s="661"/>
      <c r="E597" s="661"/>
      <c r="F597" s="661"/>
    </row>
    <row r="598" spans="2:6" x14ac:dyDescent="0.3">
      <c r="B598" s="661"/>
      <c r="E598" s="661"/>
      <c r="F598" s="661"/>
    </row>
    <row r="599" spans="2:6" x14ac:dyDescent="0.3">
      <c r="B599" s="661"/>
      <c r="E599" s="661"/>
      <c r="F599" s="661"/>
    </row>
    <row r="600" spans="2:6" x14ac:dyDescent="0.3">
      <c r="B600" s="661"/>
      <c r="E600" s="661"/>
      <c r="F600" s="661"/>
    </row>
    <row r="601" spans="2:6" x14ac:dyDescent="0.3">
      <c r="B601" s="661"/>
      <c r="E601" s="661"/>
      <c r="F601" s="661"/>
    </row>
    <row r="602" spans="2:6" x14ac:dyDescent="0.3">
      <c r="B602" s="661"/>
      <c r="E602" s="661"/>
      <c r="F602" s="661"/>
    </row>
    <row r="603" spans="2:6" x14ac:dyDescent="0.3">
      <c r="B603" s="661"/>
      <c r="E603" s="661"/>
      <c r="F603" s="661"/>
    </row>
    <row r="604" spans="2:6" x14ac:dyDescent="0.3">
      <c r="B604" s="661"/>
      <c r="E604" s="661"/>
      <c r="F604" s="661"/>
    </row>
    <row r="605" spans="2:6" x14ac:dyDescent="0.3">
      <c r="B605" s="661"/>
      <c r="E605" s="661"/>
      <c r="F605" s="661"/>
    </row>
    <row r="606" spans="2:6" x14ac:dyDescent="0.3">
      <c r="B606" s="661"/>
      <c r="E606" s="661"/>
      <c r="F606" s="661"/>
    </row>
    <row r="607" spans="2:6" x14ac:dyDescent="0.3">
      <c r="B607" s="661"/>
      <c r="E607" s="661"/>
      <c r="F607" s="661"/>
    </row>
    <row r="608" spans="2:6" x14ac:dyDescent="0.3">
      <c r="B608" s="661"/>
      <c r="E608" s="661"/>
      <c r="F608" s="661"/>
    </row>
    <row r="609" spans="2:6" x14ac:dyDescent="0.3">
      <c r="B609" s="661"/>
      <c r="E609" s="661"/>
      <c r="F609" s="661"/>
    </row>
    <row r="610" spans="2:6" x14ac:dyDescent="0.3">
      <c r="B610" s="661"/>
      <c r="E610" s="661"/>
      <c r="F610" s="661"/>
    </row>
    <row r="611" spans="2:6" x14ac:dyDescent="0.3">
      <c r="B611" s="661"/>
      <c r="E611" s="661"/>
      <c r="F611" s="661"/>
    </row>
    <row r="612" spans="2:6" x14ac:dyDescent="0.3">
      <c r="B612" s="661"/>
      <c r="E612" s="661"/>
      <c r="F612" s="661"/>
    </row>
    <row r="613" spans="2:6" x14ac:dyDescent="0.3">
      <c r="B613" s="661"/>
      <c r="E613" s="661"/>
      <c r="F613" s="661"/>
    </row>
    <row r="614" spans="2:6" x14ac:dyDescent="0.3">
      <c r="B614" s="661"/>
      <c r="E614" s="661"/>
      <c r="F614" s="661"/>
    </row>
    <row r="615" spans="2:6" x14ac:dyDescent="0.3">
      <c r="B615" s="661"/>
      <c r="E615" s="661"/>
      <c r="F615" s="661"/>
    </row>
    <row r="616" spans="2:6" x14ac:dyDescent="0.3">
      <c r="B616" s="661"/>
      <c r="E616" s="661"/>
      <c r="F616" s="661"/>
    </row>
    <row r="617" spans="2:6" x14ac:dyDescent="0.3">
      <c r="B617" s="661"/>
      <c r="E617" s="661"/>
      <c r="F617" s="661"/>
    </row>
    <row r="618" spans="2:6" x14ac:dyDescent="0.3">
      <c r="B618" s="661"/>
      <c r="E618" s="661"/>
      <c r="F618" s="661"/>
    </row>
    <row r="619" spans="2:6" x14ac:dyDescent="0.3">
      <c r="B619" s="661"/>
      <c r="E619" s="661"/>
      <c r="F619" s="661"/>
    </row>
    <row r="620" spans="2:6" x14ac:dyDescent="0.3">
      <c r="B620" s="661"/>
      <c r="E620" s="661"/>
      <c r="F620" s="661"/>
    </row>
    <row r="621" spans="2:6" x14ac:dyDescent="0.3">
      <c r="B621" s="661"/>
      <c r="E621" s="661"/>
      <c r="F621" s="661"/>
    </row>
    <row r="622" spans="2:6" x14ac:dyDescent="0.3">
      <c r="B622" s="661"/>
      <c r="E622" s="661"/>
      <c r="F622" s="661"/>
    </row>
    <row r="623" spans="2:6" x14ac:dyDescent="0.3">
      <c r="B623" s="661"/>
      <c r="E623" s="661"/>
      <c r="F623" s="661"/>
    </row>
    <row r="624" spans="2:6" x14ac:dyDescent="0.3">
      <c r="B624" s="661"/>
      <c r="E624" s="661"/>
      <c r="F624" s="661"/>
    </row>
    <row r="625" spans="2:6" x14ac:dyDescent="0.3">
      <c r="B625" s="661"/>
      <c r="E625" s="661"/>
      <c r="F625" s="661"/>
    </row>
    <row r="626" spans="2:6" x14ac:dyDescent="0.3">
      <c r="B626" s="661"/>
      <c r="E626" s="661"/>
      <c r="F626" s="661"/>
    </row>
    <row r="627" spans="2:6" x14ac:dyDescent="0.3">
      <c r="B627" s="661"/>
      <c r="E627" s="661"/>
      <c r="F627" s="661"/>
    </row>
    <row r="628" spans="2:6" x14ac:dyDescent="0.3">
      <c r="B628" s="661"/>
      <c r="E628" s="661"/>
      <c r="F628" s="661"/>
    </row>
    <row r="629" spans="2:6" x14ac:dyDescent="0.3">
      <c r="B629" s="661"/>
      <c r="E629" s="661"/>
      <c r="F629" s="661"/>
    </row>
    <row r="630" spans="2:6" x14ac:dyDescent="0.3">
      <c r="B630" s="661"/>
      <c r="E630" s="661"/>
      <c r="F630" s="661"/>
    </row>
    <row r="631" spans="2:6" x14ac:dyDescent="0.3">
      <c r="B631" s="661"/>
      <c r="E631" s="661"/>
      <c r="F631" s="661"/>
    </row>
    <row r="632" spans="2:6" x14ac:dyDescent="0.3">
      <c r="B632" s="661"/>
      <c r="E632" s="661"/>
      <c r="F632" s="661"/>
    </row>
    <row r="633" spans="2:6" x14ac:dyDescent="0.3">
      <c r="B633" s="661"/>
      <c r="E633" s="661"/>
      <c r="F633" s="661"/>
    </row>
    <row r="634" spans="2:6" x14ac:dyDescent="0.3">
      <c r="B634" s="661"/>
      <c r="E634" s="661"/>
      <c r="F634" s="661"/>
    </row>
    <row r="635" spans="2:6" x14ac:dyDescent="0.3">
      <c r="B635" s="661"/>
      <c r="E635" s="661"/>
      <c r="F635" s="661"/>
    </row>
    <row r="636" spans="2:6" x14ac:dyDescent="0.3">
      <c r="B636" s="661"/>
      <c r="E636" s="661"/>
      <c r="F636" s="661"/>
    </row>
    <row r="637" spans="2:6" x14ac:dyDescent="0.3">
      <c r="B637" s="661"/>
      <c r="E637" s="661"/>
      <c r="F637" s="661"/>
    </row>
    <row r="638" spans="2:6" x14ac:dyDescent="0.3">
      <c r="B638" s="661"/>
      <c r="E638" s="661"/>
      <c r="F638" s="661"/>
    </row>
    <row r="639" spans="2:6" x14ac:dyDescent="0.3">
      <c r="B639" s="661"/>
      <c r="E639" s="661"/>
      <c r="F639" s="661"/>
    </row>
    <row r="640" spans="2:6" x14ac:dyDescent="0.3">
      <c r="B640" s="661"/>
      <c r="E640" s="661"/>
      <c r="F640" s="661"/>
    </row>
    <row r="641" spans="2:6" x14ac:dyDescent="0.3">
      <c r="B641" s="661"/>
      <c r="E641" s="661"/>
      <c r="F641" s="661"/>
    </row>
    <row r="642" spans="2:6" x14ac:dyDescent="0.3">
      <c r="B642" s="661"/>
      <c r="E642" s="661"/>
      <c r="F642" s="661"/>
    </row>
    <row r="643" spans="2:6" x14ac:dyDescent="0.3">
      <c r="B643" s="661"/>
      <c r="E643" s="661"/>
      <c r="F643" s="661"/>
    </row>
    <row r="644" spans="2:6" x14ac:dyDescent="0.3">
      <c r="B644" s="661"/>
      <c r="E644" s="661"/>
      <c r="F644" s="661"/>
    </row>
    <row r="645" spans="2:6" x14ac:dyDescent="0.3">
      <c r="B645" s="661"/>
      <c r="E645" s="661"/>
      <c r="F645" s="661"/>
    </row>
    <row r="646" spans="2:6" x14ac:dyDescent="0.3">
      <c r="B646" s="661"/>
      <c r="E646" s="661"/>
      <c r="F646" s="661"/>
    </row>
    <row r="647" spans="2:6" x14ac:dyDescent="0.3">
      <c r="B647" s="661"/>
      <c r="E647" s="661"/>
      <c r="F647" s="661"/>
    </row>
    <row r="648" spans="2:6" x14ac:dyDescent="0.3">
      <c r="B648" s="661"/>
      <c r="E648" s="661"/>
      <c r="F648" s="661"/>
    </row>
    <row r="649" spans="2:6" x14ac:dyDescent="0.3">
      <c r="B649" s="661"/>
      <c r="E649" s="661"/>
      <c r="F649" s="661"/>
    </row>
    <row r="650" spans="2:6" x14ac:dyDescent="0.3">
      <c r="B650" s="661"/>
      <c r="E650" s="661"/>
      <c r="F650" s="661"/>
    </row>
    <row r="651" spans="2:6" x14ac:dyDescent="0.3">
      <c r="B651" s="661"/>
      <c r="E651" s="661"/>
      <c r="F651" s="661"/>
    </row>
    <row r="652" spans="2:6" x14ac:dyDescent="0.3">
      <c r="B652" s="661"/>
      <c r="E652" s="661"/>
      <c r="F652" s="661"/>
    </row>
    <row r="653" spans="2:6" x14ac:dyDescent="0.3">
      <c r="B653" s="661"/>
      <c r="E653" s="661"/>
      <c r="F653" s="661"/>
    </row>
    <row r="654" spans="2:6" x14ac:dyDescent="0.3">
      <c r="B654" s="661"/>
      <c r="E654" s="661"/>
      <c r="F654" s="661"/>
    </row>
    <row r="655" spans="2:6" x14ac:dyDescent="0.3">
      <c r="B655" s="661"/>
      <c r="E655" s="661"/>
      <c r="F655" s="661"/>
    </row>
    <row r="656" spans="2:6" x14ac:dyDescent="0.3">
      <c r="B656" s="661"/>
      <c r="E656" s="661"/>
      <c r="F656" s="661"/>
    </row>
    <row r="657" spans="2:6" x14ac:dyDescent="0.3">
      <c r="B657" s="661"/>
      <c r="E657" s="661"/>
      <c r="F657" s="661"/>
    </row>
    <row r="658" spans="2:6" x14ac:dyDescent="0.3">
      <c r="B658" s="661"/>
      <c r="E658" s="661"/>
      <c r="F658" s="661"/>
    </row>
    <row r="659" spans="2:6" x14ac:dyDescent="0.3">
      <c r="B659" s="661"/>
      <c r="E659" s="661"/>
      <c r="F659" s="661"/>
    </row>
    <row r="660" spans="2:6" x14ac:dyDescent="0.3">
      <c r="B660" s="661"/>
      <c r="E660" s="661"/>
      <c r="F660" s="661"/>
    </row>
    <row r="661" spans="2:6" x14ac:dyDescent="0.3">
      <c r="B661" s="661"/>
      <c r="E661" s="661"/>
      <c r="F661" s="661"/>
    </row>
    <row r="662" spans="2:6" x14ac:dyDescent="0.3">
      <c r="B662" s="661"/>
      <c r="E662" s="661"/>
      <c r="F662" s="661"/>
    </row>
    <row r="663" spans="2:6" x14ac:dyDescent="0.3">
      <c r="B663" s="661"/>
      <c r="E663" s="661"/>
      <c r="F663" s="661"/>
    </row>
    <row r="664" spans="2:6" x14ac:dyDescent="0.3">
      <c r="B664" s="661"/>
      <c r="E664" s="661"/>
      <c r="F664" s="661"/>
    </row>
    <row r="665" spans="2:6" x14ac:dyDescent="0.3">
      <c r="B665" s="661"/>
      <c r="E665" s="661"/>
      <c r="F665" s="661"/>
    </row>
    <row r="666" spans="2:6" x14ac:dyDescent="0.3">
      <c r="B666" s="661"/>
      <c r="E666" s="661"/>
      <c r="F666" s="661"/>
    </row>
    <row r="667" spans="2:6" x14ac:dyDescent="0.3">
      <c r="B667" s="661"/>
      <c r="E667" s="661"/>
      <c r="F667" s="661"/>
    </row>
    <row r="668" spans="2:6" x14ac:dyDescent="0.3">
      <c r="B668" s="661"/>
      <c r="E668" s="661"/>
      <c r="F668" s="661"/>
    </row>
    <row r="669" spans="2:6" x14ac:dyDescent="0.3">
      <c r="B669" s="661"/>
      <c r="E669" s="661"/>
      <c r="F669" s="661"/>
    </row>
    <row r="670" spans="2:6" x14ac:dyDescent="0.3">
      <c r="B670" s="661"/>
      <c r="E670" s="661"/>
      <c r="F670" s="661"/>
    </row>
    <row r="671" spans="2:6" x14ac:dyDescent="0.3">
      <c r="B671" s="661"/>
      <c r="E671" s="661"/>
      <c r="F671" s="661"/>
    </row>
    <row r="672" spans="2:6" x14ac:dyDescent="0.3">
      <c r="B672" s="661"/>
      <c r="E672" s="661"/>
      <c r="F672" s="661"/>
    </row>
    <row r="673" spans="2:6" x14ac:dyDescent="0.3">
      <c r="B673" s="661"/>
      <c r="E673" s="661"/>
      <c r="F673" s="661"/>
    </row>
    <row r="674" spans="2:6" x14ac:dyDescent="0.3">
      <c r="B674" s="661"/>
      <c r="E674" s="661"/>
      <c r="F674" s="661"/>
    </row>
    <row r="675" spans="2:6" x14ac:dyDescent="0.3">
      <c r="B675" s="661"/>
      <c r="E675" s="661"/>
      <c r="F675" s="661"/>
    </row>
    <row r="676" spans="2:6" x14ac:dyDescent="0.3">
      <c r="B676" s="661"/>
      <c r="E676" s="661"/>
      <c r="F676" s="661"/>
    </row>
    <row r="677" spans="2:6" x14ac:dyDescent="0.3">
      <c r="B677" s="661"/>
      <c r="E677" s="661"/>
      <c r="F677" s="661"/>
    </row>
    <row r="678" spans="2:6" x14ac:dyDescent="0.3">
      <c r="B678" s="661"/>
      <c r="E678" s="661"/>
      <c r="F678" s="661"/>
    </row>
    <row r="679" spans="2:6" x14ac:dyDescent="0.3">
      <c r="B679" s="661"/>
      <c r="E679" s="661"/>
      <c r="F679" s="661"/>
    </row>
    <row r="680" spans="2:6" x14ac:dyDescent="0.3">
      <c r="B680" s="661"/>
      <c r="E680" s="661"/>
      <c r="F680" s="661"/>
    </row>
    <row r="681" spans="2:6" x14ac:dyDescent="0.3">
      <c r="B681" s="661"/>
      <c r="E681" s="661"/>
      <c r="F681" s="661"/>
    </row>
    <row r="682" spans="2:6" x14ac:dyDescent="0.3">
      <c r="B682" s="661"/>
      <c r="E682" s="661"/>
      <c r="F682" s="661"/>
    </row>
    <row r="683" spans="2:6" x14ac:dyDescent="0.3">
      <c r="B683" s="661"/>
      <c r="E683" s="661"/>
      <c r="F683" s="661"/>
    </row>
    <row r="684" spans="2:6" x14ac:dyDescent="0.3">
      <c r="B684" s="661"/>
      <c r="E684" s="661"/>
      <c r="F684" s="661"/>
    </row>
    <row r="685" spans="2:6" x14ac:dyDescent="0.3">
      <c r="B685" s="661"/>
      <c r="E685" s="661"/>
      <c r="F685" s="661"/>
    </row>
    <row r="686" spans="2:6" x14ac:dyDescent="0.3">
      <c r="B686" s="661"/>
      <c r="E686" s="661"/>
      <c r="F686" s="661"/>
    </row>
    <row r="687" spans="2:6" x14ac:dyDescent="0.3">
      <c r="B687" s="661"/>
      <c r="E687" s="661"/>
      <c r="F687" s="661"/>
    </row>
    <row r="688" spans="2:6" x14ac:dyDescent="0.3">
      <c r="B688" s="661"/>
      <c r="E688" s="661"/>
      <c r="F688" s="661"/>
    </row>
    <row r="689" spans="2:6" x14ac:dyDescent="0.3">
      <c r="B689" s="661"/>
      <c r="E689" s="661"/>
      <c r="F689" s="661"/>
    </row>
    <row r="690" spans="2:6" x14ac:dyDescent="0.3">
      <c r="B690" s="661"/>
      <c r="E690" s="661"/>
      <c r="F690" s="661"/>
    </row>
    <row r="691" spans="2:6" x14ac:dyDescent="0.3">
      <c r="B691" s="661"/>
      <c r="E691" s="661"/>
      <c r="F691" s="661"/>
    </row>
    <row r="692" spans="2:6" x14ac:dyDescent="0.3">
      <c r="B692" s="661"/>
      <c r="E692" s="661"/>
      <c r="F692" s="661"/>
    </row>
    <row r="693" spans="2:6" x14ac:dyDescent="0.3">
      <c r="B693" s="661"/>
      <c r="E693" s="661"/>
      <c r="F693" s="661"/>
    </row>
    <row r="694" spans="2:6" x14ac:dyDescent="0.3">
      <c r="B694" s="661"/>
      <c r="E694" s="661"/>
      <c r="F694" s="661"/>
    </row>
    <row r="695" spans="2:6" x14ac:dyDescent="0.3">
      <c r="B695" s="661"/>
      <c r="E695" s="661"/>
      <c r="F695" s="661"/>
    </row>
    <row r="696" spans="2:6" x14ac:dyDescent="0.3">
      <c r="B696" s="661"/>
      <c r="E696" s="661"/>
      <c r="F696" s="661"/>
    </row>
    <row r="697" spans="2:6" x14ac:dyDescent="0.3">
      <c r="B697" s="661"/>
      <c r="E697" s="661"/>
      <c r="F697" s="661"/>
    </row>
    <row r="698" spans="2:6" x14ac:dyDescent="0.3">
      <c r="B698" s="661"/>
      <c r="E698" s="661"/>
      <c r="F698" s="661"/>
    </row>
    <row r="699" spans="2:6" x14ac:dyDescent="0.3">
      <c r="B699" s="661"/>
      <c r="E699" s="661"/>
      <c r="F699" s="661"/>
    </row>
    <row r="700" spans="2:6" x14ac:dyDescent="0.3">
      <c r="B700" s="661"/>
      <c r="E700" s="661"/>
      <c r="F700" s="661"/>
    </row>
    <row r="701" spans="2:6" x14ac:dyDescent="0.3">
      <c r="B701" s="661"/>
      <c r="E701" s="661"/>
      <c r="F701" s="661"/>
    </row>
    <row r="702" spans="2:6" x14ac:dyDescent="0.3">
      <c r="B702" s="661"/>
      <c r="E702" s="661"/>
      <c r="F702" s="661"/>
    </row>
    <row r="703" spans="2:6" x14ac:dyDescent="0.3">
      <c r="B703" s="661"/>
      <c r="E703" s="661"/>
      <c r="F703" s="661"/>
    </row>
    <row r="704" spans="2:6" x14ac:dyDescent="0.3">
      <c r="B704" s="661"/>
      <c r="E704" s="661"/>
      <c r="F704" s="661"/>
    </row>
    <row r="705" spans="2:6" x14ac:dyDescent="0.3">
      <c r="B705" s="661"/>
      <c r="E705" s="661"/>
      <c r="F705" s="661"/>
    </row>
    <row r="706" spans="2:6" x14ac:dyDescent="0.3">
      <c r="B706" s="661"/>
      <c r="E706" s="661"/>
      <c r="F706" s="661"/>
    </row>
    <row r="707" spans="2:6" x14ac:dyDescent="0.3">
      <c r="B707" s="661"/>
      <c r="E707" s="661"/>
      <c r="F707" s="661"/>
    </row>
    <row r="708" spans="2:6" x14ac:dyDescent="0.3">
      <c r="B708" s="661"/>
      <c r="E708" s="661"/>
      <c r="F708" s="661"/>
    </row>
    <row r="709" spans="2:6" x14ac:dyDescent="0.3">
      <c r="B709" s="661"/>
      <c r="E709" s="661"/>
      <c r="F709" s="661"/>
    </row>
    <row r="710" spans="2:6" x14ac:dyDescent="0.3">
      <c r="B710" s="661"/>
      <c r="E710" s="661"/>
      <c r="F710" s="661"/>
    </row>
    <row r="711" spans="2:6" x14ac:dyDescent="0.3">
      <c r="B711" s="661"/>
      <c r="E711" s="661"/>
      <c r="F711" s="661"/>
    </row>
    <row r="712" spans="2:6" x14ac:dyDescent="0.3">
      <c r="B712" s="661"/>
      <c r="E712" s="661"/>
      <c r="F712" s="661"/>
    </row>
    <row r="713" spans="2:6" x14ac:dyDescent="0.3">
      <c r="B713" s="661"/>
      <c r="E713" s="661"/>
      <c r="F713" s="661"/>
    </row>
    <row r="714" spans="2:6" x14ac:dyDescent="0.3">
      <c r="B714" s="661"/>
      <c r="E714" s="661"/>
      <c r="F714" s="661"/>
    </row>
    <row r="715" spans="2:6" x14ac:dyDescent="0.3">
      <c r="B715" s="661"/>
      <c r="E715" s="661"/>
      <c r="F715" s="661"/>
    </row>
    <row r="716" spans="2:6" x14ac:dyDescent="0.3">
      <c r="B716" s="661"/>
      <c r="E716" s="661"/>
      <c r="F716" s="661"/>
    </row>
    <row r="717" spans="2:6" x14ac:dyDescent="0.3">
      <c r="B717" s="661"/>
      <c r="E717" s="661"/>
      <c r="F717" s="661"/>
    </row>
    <row r="718" spans="2:6" x14ac:dyDescent="0.3">
      <c r="B718" s="661"/>
      <c r="E718" s="661"/>
      <c r="F718" s="661"/>
    </row>
    <row r="719" spans="2:6" x14ac:dyDescent="0.3">
      <c r="B719" s="661"/>
      <c r="E719" s="661"/>
      <c r="F719" s="661"/>
    </row>
    <row r="720" spans="2:6" x14ac:dyDescent="0.3">
      <c r="B720" s="661"/>
      <c r="E720" s="661"/>
      <c r="F720" s="661"/>
    </row>
    <row r="721" spans="2:6" x14ac:dyDescent="0.3">
      <c r="B721" s="661"/>
      <c r="E721" s="661"/>
      <c r="F721" s="661"/>
    </row>
    <row r="722" spans="2:6" x14ac:dyDescent="0.3">
      <c r="B722" s="661"/>
      <c r="E722" s="661"/>
      <c r="F722" s="661"/>
    </row>
    <row r="723" spans="2:6" x14ac:dyDescent="0.3">
      <c r="B723" s="661"/>
      <c r="E723" s="661"/>
      <c r="F723" s="661"/>
    </row>
    <row r="724" spans="2:6" x14ac:dyDescent="0.3">
      <c r="B724" s="661"/>
      <c r="E724" s="661"/>
      <c r="F724" s="661"/>
    </row>
    <row r="725" spans="2:6" x14ac:dyDescent="0.3">
      <c r="B725" s="661"/>
      <c r="E725" s="661"/>
      <c r="F725" s="661"/>
    </row>
    <row r="726" spans="2:6" x14ac:dyDescent="0.3">
      <c r="B726" s="661"/>
      <c r="E726" s="661"/>
      <c r="F726" s="661"/>
    </row>
    <row r="727" spans="2:6" x14ac:dyDescent="0.3">
      <c r="B727" s="661"/>
      <c r="E727" s="661"/>
      <c r="F727" s="661"/>
    </row>
    <row r="728" spans="2:6" x14ac:dyDescent="0.3">
      <c r="B728" s="661"/>
      <c r="E728" s="661"/>
      <c r="F728" s="661"/>
    </row>
    <row r="729" spans="2:6" x14ac:dyDescent="0.3">
      <c r="B729" s="661"/>
      <c r="E729" s="661"/>
      <c r="F729" s="661"/>
    </row>
    <row r="730" spans="2:6" x14ac:dyDescent="0.3">
      <c r="B730" s="661"/>
      <c r="E730" s="661"/>
      <c r="F730" s="661"/>
    </row>
    <row r="731" spans="2:6" x14ac:dyDescent="0.3">
      <c r="B731" s="661"/>
      <c r="E731" s="661"/>
      <c r="F731" s="661"/>
    </row>
    <row r="732" spans="2:6" x14ac:dyDescent="0.3">
      <c r="B732" s="661"/>
      <c r="E732" s="661"/>
      <c r="F732" s="661"/>
    </row>
    <row r="733" spans="2:6" x14ac:dyDescent="0.3">
      <c r="B733" s="661"/>
      <c r="E733" s="661"/>
      <c r="F733" s="661"/>
    </row>
    <row r="734" spans="2:6" x14ac:dyDescent="0.3">
      <c r="B734" s="661"/>
      <c r="E734" s="661"/>
      <c r="F734" s="661"/>
    </row>
    <row r="735" spans="2:6" x14ac:dyDescent="0.3">
      <c r="B735" s="661"/>
      <c r="E735" s="661"/>
      <c r="F735" s="661"/>
    </row>
    <row r="736" spans="2:6" x14ac:dyDescent="0.3">
      <c r="B736" s="661"/>
      <c r="E736" s="661"/>
      <c r="F736" s="661"/>
    </row>
    <row r="737" spans="2:6" x14ac:dyDescent="0.3">
      <c r="B737" s="661"/>
      <c r="E737" s="661"/>
      <c r="F737" s="661"/>
    </row>
    <row r="738" spans="2:6" x14ac:dyDescent="0.3">
      <c r="B738" s="661"/>
      <c r="E738" s="661"/>
      <c r="F738" s="661"/>
    </row>
    <row r="739" spans="2:6" x14ac:dyDescent="0.3">
      <c r="B739" s="661"/>
      <c r="E739" s="661"/>
      <c r="F739" s="661"/>
    </row>
    <row r="740" spans="2:6" x14ac:dyDescent="0.3">
      <c r="B740" s="661"/>
      <c r="E740" s="661"/>
      <c r="F740" s="661"/>
    </row>
    <row r="741" spans="2:6" x14ac:dyDescent="0.3">
      <c r="B741" s="661"/>
      <c r="E741" s="661"/>
      <c r="F741" s="661"/>
    </row>
    <row r="742" spans="2:6" x14ac:dyDescent="0.3">
      <c r="B742" s="661"/>
      <c r="E742" s="661"/>
      <c r="F742" s="661"/>
    </row>
    <row r="743" spans="2:6" x14ac:dyDescent="0.3">
      <c r="B743" s="661"/>
      <c r="E743" s="661"/>
      <c r="F743" s="661"/>
    </row>
    <row r="744" spans="2:6" x14ac:dyDescent="0.3">
      <c r="B744" s="661"/>
      <c r="E744" s="661"/>
      <c r="F744" s="661"/>
    </row>
    <row r="745" spans="2:6" x14ac:dyDescent="0.3">
      <c r="B745" s="661"/>
      <c r="E745" s="661"/>
      <c r="F745" s="661"/>
    </row>
    <row r="746" spans="2:6" x14ac:dyDescent="0.3">
      <c r="B746" s="661"/>
      <c r="E746" s="661"/>
      <c r="F746" s="661"/>
    </row>
    <row r="747" spans="2:6" x14ac:dyDescent="0.3">
      <c r="B747" s="661"/>
      <c r="E747" s="661"/>
      <c r="F747" s="661"/>
    </row>
    <row r="748" spans="2:6" x14ac:dyDescent="0.3">
      <c r="B748" s="661"/>
      <c r="E748" s="661"/>
      <c r="F748" s="661"/>
    </row>
    <row r="749" spans="2:6" x14ac:dyDescent="0.3">
      <c r="B749" s="661"/>
      <c r="E749" s="661"/>
      <c r="F749" s="661"/>
    </row>
    <row r="750" spans="2:6" x14ac:dyDescent="0.3">
      <c r="B750" s="661"/>
      <c r="E750" s="661"/>
      <c r="F750" s="661"/>
    </row>
    <row r="751" spans="2:6" x14ac:dyDescent="0.3">
      <c r="B751" s="661"/>
      <c r="E751" s="661"/>
      <c r="F751" s="661"/>
    </row>
    <row r="752" spans="2:6" x14ac:dyDescent="0.3">
      <c r="B752" s="661"/>
      <c r="E752" s="661"/>
      <c r="F752" s="661"/>
    </row>
    <row r="753" spans="2:6" x14ac:dyDescent="0.3">
      <c r="B753" s="661"/>
      <c r="E753" s="661"/>
      <c r="F753" s="661"/>
    </row>
    <row r="754" spans="2:6" x14ac:dyDescent="0.3">
      <c r="B754" s="661"/>
      <c r="E754" s="661"/>
      <c r="F754" s="661"/>
    </row>
    <row r="755" spans="2:6" x14ac:dyDescent="0.3">
      <c r="B755" s="661"/>
      <c r="E755" s="661"/>
      <c r="F755" s="661"/>
    </row>
    <row r="756" spans="2:6" x14ac:dyDescent="0.3">
      <c r="B756" s="661"/>
      <c r="E756" s="661"/>
      <c r="F756" s="661"/>
    </row>
    <row r="757" spans="2:6" x14ac:dyDescent="0.3">
      <c r="B757" s="661"/>
      <c r="E757" s="661"/>
      <c r="F757" s="661"/>
    </row>
    <row r="758" spans="2:6" x14ac:dyDescent="0.3">
      <c r="B758" s="661"/>
      <c r="E758" s="661"/>
      <c r="F758" s="661"/>
    </row>
    <row r="759" spans="2:6" x14ac:dyDescent="0.3">
      <c r="B759" s="661"/>
      <c r="E759" s="661"/>
      <c r="F759" s="661"/>
    </row>
    <row r="760" spans="2:6" x14ac:dyDescent="0.3">
      <c r="B760" s="661"/>
      <c r="E760" s="661"/>
      <c r="F760" s="661"/>
    </row>
    <row r="761" spans="2:6" x14ac:dyDescent="0.3">
      <c r="B761" s="661"/>
      <c r="E761" s="661"/>
      <c r="F761" s="661"/>
    </row>
    <row r="762" spans="2:6" x14ac:dyDescent="0.3">
      <c r="B762" s="661"/>
      <c r="E762" s="661"/>
      <c r="F762" s="661"/>
    </row>
    <row r="763" spans="2:6" x14ac:dyDescent="0.3">
      <c r="B763" s="661"/>
      <c r="E763" s="661"/>
      <c r="F763" s="661"/>
    </row>
    <row r="764" spans="2:6" x14ac:dyDescent="0.3">
      <c r="B764" s="661"/>
      <c r="E764" s="661"/>
      <c r="F764" s="661"/>
    </row>
    <row r="765" spans="2:6" x14ac:dyDescent="0.3">
      <c r="B765" s="661"/>
      <c r="E765" s="661"/>
      <c r="F765" s="661"/>
    </row>
    <row r="766" spans="2:6" x14ac:dyDescent="0.3">
      <c r="B766" s="661"/>
      <c r="E766" s="661"/>
      <c r="F766" s="661"/>
    </row>
    <row r="767" spans="2:6" x14ac:dyDescent="0.3">
      <c r="B767" s="661"/>
      <c r="E767" s="661"/>
      <c r="F767" s="661"/>
    </row>
    <row r="768" spans="2:6" x14ac:dyDescent="0.3">
      <c r="B768" s="661"/>
      <c r="E768" s="661"/>
      <c r="F768" s="661"/>
    </row>
    <row r="769" spans="2:6" x14ac:dyDescent="0.3">
      <c r="B769" s="661"/>
      <c r="E769" s="661"/>
      <c r="F769" s="661"/>
    </row>
    <row r="770" spans="2:6" x14ac:dyDescent="0.3">
      <c r="B770" s="661"/>
      <c r="E770" s="661"/>
      <c r="F770" s="661"/>
    </row>
    <row r="771" spans="2:6" x14ac:dyDescent="0.3">
      <c r="B771" s="661"/>
      <c r="E771" s="661"/>
      <c r="F771" s="661"/>
    </row>
    <row r="772" spans="2:6" x14ac:dyDescent="0.3">
      <c r="B772" s="661"/>
      <c r="E772" s="661"/>
      <c r="F772" s="661"/>
    </row>
    <row r="773" spans="2:6" x14ac:dyDescent="0.3">
      <c r="B773" s="661"/>
      <c r="E773" s="661"/>
      <c r="F773" s="661"/>
    </row>
    <row r="774" spans="2:6" x14ac:dyDescent="0.3">
      <c r="B774" s="661"/>
      <c r="E774" s="661"/>
      <c r="F774" s="661"/>
    </row>
    <row r="775" spans="2:6" x14ac:dyDescent="0.3">
      <c r="B775" s="661"/>
      <c r="E775" s="661"/>
      <c r="F775" s="661"/>
    </row>
    <row r="776" spans="2:6" x14ac:dyDescent="0.3">
      <c r="B776" s="661"/>
      <c r="E776" s="661"/>
      <c r="F776" s="661"/>
    </row>
    <row r="777" spans="2:6" x14ac:dyDescent="0.3">
      <c r="B777" s="661"/>
      <c r="E777" s="661"/>
      <c r="F777" s="661"/>
    </row>
    <row r="778" spans="2:6" x14ac:dyDescent="0.3">
      <c r="B778" s="661"/>
      <c r="E778" s="661"/>
      <c r="F778" s="661"/>
    </row>
    <row r="779" spans="2:6" x14ac:dyDescent="0.3">
      <c r="B779" s="661"/>
      <c r="E779" s="661"/>
      <c r="F779" s="661"/>
    </row>
    <row r="780" spans="2:6" x14ac:dyDescent="0.3">
      <c r="B780" s="661"/>
      <c r="E780" s="661"/>
      <c r="F780" s="661"/>
    </row>
    <row r="781" spans="2:6" x14ac:dyDescent="0.3">
      <c r="B781" s="661"/>
      <c r="E781" s="661"/>
      <c r="F781" s="661"/>
    </row>
    <row r="782" spans="2:6" x14ac:dyDescent="0.3">
      <c r="B782" s="661"/>
      <c r="E782" s="661"/>
      <c r="F782" s="661"/>
    </row>
    <row r="783" spans="2:6" x14ac:dyDescent="0.3">
      <c r="B783" s="661"/>
      <c r="E783" s="661"/>
      <c r="F783" s="661"/>
    </row>
    <row r="784" spans="2:6" x14ac:dyDescent="0.3">
      <c r="B784" s="661"/>
      <c r="E784" s="661"/>
      <c r="F784" s="661"/>
    </row>
    <row r="785" spans="2:6" x14ac:dyDescent="0.3">
      <c r="B785" s="661"/>
      <c r="E785" s="661"/>
      <c r="F785" s="661"/>
    </row>
    <row r="786" spans="2:6" x14ac:dyDescent="0.3">
      <c r="B786" s="661"/>
      <c r="E786" s="661"/>
      <c r="F786" s="661"/>
    </row>
    <row r="787" spans="2:6" x14ac:dyDescent="0.3">
      <c r="B787" s="661"/>
      <c r="E787" s="661"/>
      <c r="F787" s="661"/>
    </row>
    <row r="788" spans="2:6" x14ac:dyDescent="0.3">
      <c r="B788" s="661"/>
      <c r="E788" s="661"/>
      <c r="F788" s="661"/>
    </row>
    <row r="789" spans="2:6" x14ac:dyDescent="0.3">
      <c r="B789" s="661"/>
      <c r="E789" s="661"/>
      <c r="F789" s="661"/>
    </row>
    <row r="790" spans="2:6" x14ac:dyDescent="0.3">
      <c r="B790" s="661"/>
      <c r="E790" s="661"/>
      <c r="F790" s="661"/>
    </row>
    <row r="791" spans="2:6" x14ac:dyDescent="0.3">
      <c r="B791" s="661"/>
      <c r="E791" s="661"/>
      <c r="F791" s="661"/>
    </row>
    <row r="792" spans="2:6" x14ac:dyDescent="0.3">
      <c r="B792" s="661"/>
      <c r="E792" s="661"/>
      <c r="F792" s="661"/>
    </row>
    <row r="793" spans="2:6" x14ac:dyDescent="0.3">
      <c r="B793" s="661"/>
      <c r="E793" s="661"/>
      <c r="F793" s="661"/>
    </row>
    <row r="794" spans="2:6" x14ac:dyDescent="0.3">
      <c r="B794" s="661"/>
      <c r="E794" s="661"/>
      <c r="F794" s="661"/>
    </row>
    <row r="795" spans="2:6" x14ac:dyDescent="0.3">
      <c r="B795" s="661"/>
      <c r="E795" s="661"/>
      <c r="F795" s="661"/>
    </row>
    <row r="796" spans="2:6" x14ac:dyDescent="0.3">
      <c r="B796" s="661"/>
      <c r="E796" s="661"/>
      <c r="F796" s="661"/>
    </row>
    <row r="797" spans="2:6" x14ac:dyDescent="0.3">
      <c r="B797" s="661"/>
      <c r="E797" s="661"/>
      <c r="F797" s="661"/>
    </row>
    <row r="798" spans="2:6" x14ac:dyDescent="0.3">
      <c r="B798" s="661"/>
      <c r="E798" s="661"/>
      <c r="F798" s="661"/>
    </row>
    <row r="799" spans="2:6" x14ac:dyDescent="0.3">
      <c r="B799" s="661"/>
      <c r="E799" s="661"/>
      <c r="F799" s="661"/>
    </row>
    <row r="800" spans="2:6" x14ac:dyDescent="0.3">
      <c r="B800" s="661"/>
      <c r="E800" s="661"/>
      <c r="F800" s="661"/>
    </row>
    <row r="801" spans="2:6" x14ac:dyDescent="0.3">
      <c r="B801" s="661"/>
      <c r="E801" s="661"/>
      <c r="F801" s="661"/>
    </row>
    <row r="802" spans="2:6" x14ac:dyDescent="0.3">
      <c r="B802" s="661"/>
      <c r="E802" s="661"/>
      <c r="F802" s="661"/>
    </row>
    <row r="803" spans="2:6" x14ac:dyDescent="0.3">
      <c r="B803" s="661"/>
      <c r="E803" s="661"/>
      <c r="F803" s="661"/>
    </row>
    <row r="804" spans="2:6" x14ac:dyDescent="0.3">
      <c r="B804" s="661"/>
      <c r="E804" s="661"/>
      <c r="F804" s="661"/>
    </row>
    <row r="805" spans="2:6" x14ac:dyDescent="0.3">
      <c r="B805" s="661"/>
      <c r="E805" s="661"/>
      <c r="F805" s="661"/>
    </row>
    <row r="806" spans="2:6" x14ac:dyDescent="0.3">
      <c r="B806" s="661"/>
      <c r="E806" s="661"/>
      <c r="F806" s="661"/>
    </row>
    <row r="807" spans="2:6" x14ac:dyDescent="0.3">
      <c r="B807" s="661"/>
      <c r="E807" s="661"/>
      <c r="F807" s="661"/>
    </row>
    <row r="808" spans="2:6" x14ac:dyDescent="0.3">
      <c r="B808" s="661"/>
      <c r="E808" s="661"/>
      <c r="F808" s="661"/>
    </row>
    <row r="809" spans="2:6" x14ac:dyDescent="0.3">
      <c r="B809" s="661"/>
      <c r="E809" s="661"/>
      <c r="F809" s="661"/>
    </row>
    <row r="810" spans="2:6" x14ac:dyDescent="0.3">
      <c r="B810" s="661"/>
      <c r="E810" s="661"/>
      <c r="F810" s="661"/>
    </row>
    <row r="811" spans="2:6" x14ac:dyDescent="0.3">
      <c r="B811" s="661"/>
      <c r="E811" s="661"/>
      <c r="F811" s="661"/>
    </row>
    <row r="812" spans="2:6" x14ac:dyDescent="0.3">
      <c r="B812" s="661"/>
      <c r="E812" s="661"/>
      <c r="F812" s="661"/>
    </row>
    <row r="813" spans="2:6" x14ac:dyDescent="0.3">
      <c r="B813" s="661"/>
      <c r="E813" s="661"/>
      <c r="F813" s="661"/>
    </row>
    <row r="814" spans="2:6" x14ac:dyDescent="0.3">
      <c r="B814" s="661"/>
      <c r="E814" s="661"/>
      <c r="F814" s="661"/>
    </row>
    <row r="815" spans="2:6" x14ac:dyDescent="0.3">
      <c r="B815" s="661"/>
      <c r="E815" s="661"/>
      <c r="F815" s="661"/>
    </row>
    <row r="816" spans="2:6" x14ac:dyDescent="0.3">
      <c r="B816" s="661"/>
      <c r="E816" s="661"/>
      <c r="F816" s="661"/>
    </row>
    <row r="817" spans="2:6" x14ac:dyDescent="0.3">
      <c r="B817" s="661"/>
      <c r="E817" s="661"/>
      <c r="F817" s="661"/>
    </row>
    <row r="818" spans="2:6" x14ac:dyDescent="0.3">
      <c r="B818" s="661"/>
      <c r="E818" s="661"/>
      <c r="F818" s="661"/>
    </row>
    <row r="819" spans="2:6" x14ac:dyDescent="0.3">
      <c r="B819" s="661"/>
      <c r="E819" s="661"/>
      <c r="F819" s="661"/>
    </row>
    <row r="820" spans="2:6" x14ac:dyDescent="0.3">
      <c r="B820" s="661"/>
      <c r="E820" s="661"/>
      <c r="F820" s="661"/>
    </row>
    <row r="821" spans="2:6" x14ac:dyDescent="0.3">
      <c r="B821" s="661"/>
      <c r="E821" s="661"/>
      <c r="F821" s="661"/>
    </row>
    <row r="822" spans="2:6" x14ac:dyDescent="0.3">
      <c r="B822" s="661"/>
      <c r="E822" s="661"/>
      <c r="F822" s="661"/>
    </row>
    <row r="823" spans="2:6" x14ac:dyDescent="0.3">
      <c r="B823" s="661"/>
      <c r="E823" s="661"/>
      <c r="F823" s="661"/>
    </row>
    <row r="824" spans="2:6" x14ac:dyDescent="0.3">
      <c r="B824" s="661"/>
      <c r="E824" s="661"/>
      <c r="F824" s="661"/>
    </row>
    <row r="825" spans="2:6" x14ac:dyDescent="0.3">
      <c r="B825" s="661"/>
      <c r="E825" s="661"/>
      <c r="F825" s="661"/>
    </row>
    <row r="826" spans="2:6" x14ac:dyDescent="0.3">
      <c r="B826" s="661"/>
      <c r="E826" s="661"/>
      <c r="F826" s="661"/>
    </row>
    <row r="827" spans="2:6" x14ac:dyDescent="0.3">
      <c r="B827" s="661"/>
      <c r="E827" s="661"/>
      <c r="F827" s="661"/>
    </row>
    <row r="828" spans="2:6" x14ac:dyDescent="0.3">
      <c r="B828" s="661"/>
      <c r="E828" s="661"/>
      <c r="F828" s="661"/>
    </row>
    <row r="829" spans="2:6" x14ac:dyDescent="0.3">
      <c r="B829" s="661"/>
      <c r="E829" s="661"/>
      <c r="F829" s="661"/>
    </row>
    <row r="830" spans="2:6" x14ac:dyDescent="0.3">
      <c r="B830" s="661"/>
      <c r="E830" s="661"/>
      <c r="F830" s="661"/>
    </row>
    <row r="831" spans="2:6" x14ac:dyDescent="0.3">
      <c r="B831" s="661"/>
      <c r="E831" s="661"/>
      <c r="F831" s="661"/>
    </row>
    <row r="832" spans="2:6" x14ac:dyDescent="0.3">
      <c r="B832" s="661"/>
      <c r="E832" s="661"/>
      <c r="F832" s="661"/>
    </row>
    <row r="833" spans="2:6" x14ac:dyDescent="0.3">
      <c r="B833" s="661"/>
      <c r="E833" s="661"/>
      <c r="F833" s="661"/>
    </row>
    <row r="834" spans="2:6" x14ac:dyDescent="0.3">
      <c r="B834" s="661"/>
      <c r="E834" s="661"/>
      <c r="F834" s="661"/>
    </row>
    <row r="835" spans="2:6" x14ac:dyDescent="0.3">
      <c r="B835" s="661"/>
      <c r="E835" s="661"/>
      <c r="F835" s="661"/>
    </row>
    <row r="836" spans="2:6" x14ac:dyDescent="0.3">
      <c r="B836" s="661"/>
      <c r="E836" s="661"/>
      <c r="F836" s="661"/>
    </row>
    <row r="837" spans="2:6" x14ac:dyDescent="0.3">
      <c r="B837" s="661"/>
      <c r="E837" s="661"/>
      <c r="F837" s="661"/>
    </row>
    <row r="838" spans="2:6" x14ac:dyDescent="0.3">
      <c r="B838" s="661"/>
      <c r="E838" s="661"/>
      <c r="F838" s="661"/>
    </row>
    <row r="839" spans="2:6" x14ac:dyDescent="0.3">
      <c r="B839" s="661"/>
      <c r="E839" s="661"/>
      <c r="F839" s="661"/>
    </row>
    <row r="840" spans="2:6" x14ac:dyDescent="0.3">
      <c r="B840" s="661"/>
      <c r="E840" s="661"/>
      <c r="F840" s="661"/>
    </row>
    <row r="841" spans="2:6" x14ac:dyDescent="0.3">
      <c r="B841" s="661"/>
      <c r="E841" s="661"/>
      <c r="F841" s="661"/>
    </row>
    <row r="842" spans="2:6" x14ac:dyDescent="0.3">
      <c r="B842" s="661"/>
      <c r="E842" s="661"/>
      <c r="F842" s="661"/>
    </row>
    <row r="843" spans="2:6" x14ac:dyDescent="0.3">
      <c r="B843" s="661"/>
      <c r="E843" s="661"/>
      <c r="F843" s="661"/>
    </row>
    <row r="844" spans="2:6" x14ac:dyDescent="0.3">
      <c r="B844" s="661"/>
      <c r="E844" s="661"/>
      <c r="F844" s="661"/>
    </row>
    <row r="845" spans="2:6" x14ac:dyDescent="0.3">
      <c r="B845" s="661"/>
      <c r="E845" s="661"/>
      <c r="F845" s="661"/>
    </row>
    <row r="846" spans="2:6" x14ac:dyDescent="0.3">
      <c r="B846" s="661"/>
      <c r="E846" s="661"/>
      <c r="F846" s="661"/>
    </row>
    <row r="847" spans="2:6" x14ac:dyDescent="0.3">
      <c r="B847" s="661"/>
      <c r="E847" s="661"/>
      <c r="F847" s="661"/>
    </row>
    <row r="848" spans="2:6" x14ac:dyDescent="0.3">
      <c r="B848" s="661"/>
      <c r="E848" s="661"/>
      <c r="F848" s="661"/>
    </row>
    <row r="849" spans="2:6" x14ac:dyDescent="0.3">
      <c r="B849" s="661"/>
      <c r="E849" s="661"/>
      <c r="F849" s="661"/>
    </row>
    <row r="850" spans="2:6" x14ac:dyDescent="0.3">
      <c r="B850" s="661"/>
      <c r="E850" s="661"/>
      <c r="F850" s="661"/>
    </row>
    <row r="851" spans="2:6" x14ac:dyDescent="0.3">
      <c r="B851" s="661"/>
      <c r="E851" s="661"/>
      <c r="F851" s="661"/>
    </row>
    <row r="852" spans="2:6" x14ac:dyDescent="0.3">
      <c r="B852" s="661"/>
      <c r="E852" s="661"/>
      <c r="F852" s="661"/>
    </row>
    <row r="853" spans="2:6" x14ac:dyDescent="0.3">
      <c r="B853" s="661"/>
      <c r="E853" s="661"/>
      <c r="F853" s="661"/>
    </row>
    <row r="854" spans="2:6" x14ac:dyDescent="0.3">
      <c r="B854" s="661"/>
      <c r="E854" s="661"/>
      <c r="F854" s="661"/>
    </row>
    <row r="855" spans="2:6" x14ac:dyDescent="0.3">
      <c r="B855" s="661"/>
      <c r="E855" s="661"/>
      <c r="F855" s="661"/>
    </row>
    <row r="856" spans="2:6" x14ac:dyDescent="0.3">
      <c r="B856" s="661"/>
      <c r="E856" s="661"/>
      <c r="F856" s="661"/>
    </row>
    <row r="857" spans="2:6" x14ac:dyDescent="0.3">
      <c r="B857" s="661"/>
      <c r="E857" s="661"/>
      <c r="F857" s="661"/>
    </row>
    <row r="858" spans="2:6" x14ac:dyDescent="0.3">
      <c r="B858" s="661"/>
      <c r="E858" s="661"/>
      <c r="F858" s="661"/>
    </row>
    <row r="859" spans="2:6" x14ac:dyDescent="0.3">
      <c r="B859" s="661"/>
      <c r="E859" s="661"/>
      <c r="F859" s="661"/>
    </row>
    <row r="860" spans="2:6" x14ac:dyDescent="0.3">
      <c r="B860" s="661"/>
      <c r="E860" s="661"/>
      <c r="F860" s="661"/>
    </row>
    <row r="861" spans="2:6" x14ac:dyDescent="0.3">
      <c r="B861" s="661"/>
      <c r="E861" s="661"/>
      <c r="F861" s="661"/>
    </row>
    <row r="862" spans="2:6" x14ac:dyDescent="0.3">
      <c r="B862" s="661"/>
      <c r="E862" s="661"/>
      <c r="F862" s="661"/>
    </row>
    <row r="863" spans="2:6" x14ac:dyDescent="0.3">
      <c r="B863" s="661"/>
      <c r="E863" s="661"/>
      <c r="F863" s="661"/>
    </row>
    <row r="864" spans="2:6" x14ac:dyDescent="0.3">
      <c r="B864" s="661"/>
      <c r="E864" s="661"/>
      <c r="F864" s="661"/>
    </row>
    <row r="865" spans="2:6" x14ac:dyDescent="0.3">
      <c r="B865" s="661"/>
      <c r="E865" s="661"/>
      <c r="F865" s="661"/>
    </row>
    <row r="866" spans="2:6" x14ac:dyDescent="0.3">
      <c r="B866" s="661"/>
      <c r="E866" s="661"/>
      <c r="F866" s="661"/>
    </row>
    <row r="867" spans="2:6" x14ac:dyDescent="0.3">
      <c r="B867" s="661"/>
      <c r="E867" s="661"/>
      <c r="F867" s="661"/>
    </row>
    <row r="868" spans="2:6" x14ac:dyDescent="0.3">
      <c r="B868" s="661"/>
      <c r="E868" s="661"/>
      <c r="F868" s="661"/>
    </row>
    <row r="869" spans="2:6" x14ac:dyDescent="0.3">
      <c r="B869" s="661"/>
      <c r="E869" s="661"/>
      <c r="F869" s="661"/>
    </row>
    <row r="870" spans="2:6" x14ac:dyDescent="0.3">
      <c r="B870" s="661"/>
      <c r="E870" s="661"/>
      <c r="F870" s="661"/>
    </row>
    <row r="871" spans="2:6" x14ac:dyDescent="0.3">
      <c r="B871" s="661"/>
      <c r="E871" s="661"/>
      <c r="F871" s="661"/>
    </row>
    <row r="872" spans="2:6" x14ac:dyDescent="0.3">
      <c r="B872" s="661"/>
      <c r="E872" s="661"/>
      <c r="F872" s="661"/>
    </row>
    <row r="873" spans="2:6" x14ac:dyDescent="0.3">
      <c r="B873" s="661"/>
      <c r="E873" s="661"/>
      <c r="F873" s="661"/>
    </row>
    <row r="874" spans="2:6" x14ac:dyDescent="0.3">
      <c r="B874" s="661"/>
      <c r="E874" s="661"/>
      <c r="F874" s="661"/>
    </row>
    <row r="875" spans="2:6" x14ac:dyDescent="0.3">
      <c r="B875" s="661"/>
      <c r="E875" s="661"/>
      <c r="F875" s="661"/>
    </row>
    <row r="876" spans="2:6" x14ac:dyDescent="0.3">
      <c r="B876" s="661"/>
      <c r="E876" s="661"/>
      <c r="F876" s="661"/>
    </row>
    <row r="877" spans="2:6" x14ac:dyDescent="0.3">
      <c r="B877" s="661"/>
      <c r="E877" s="661"/>
      <c r="F877" s="661"/>
    </row>
    <row r="878" spans="2:6" x14ac:dyDescent="0.3">
      <c r="B878" s="661"/>
      <c r="E878" s="661"/>
      <c r="F878" s="661"/>
    </row>
    <row r="879" spans="2:6" x14ac:dyDescent="0.3">
      <c r="B879" s="661"/>
      <c r="E879" s="661"/>
      <c r="F879" s="661"/>
    </row>
    <row r="880" spans="2:6" x14ac:dyDescent="0.3">
      <c r="B880" s="661"/>
      <c r="E880" s="661"/>
      <c r="F880" s="661"/>
    </row>
    <row r="881" spans="2:6" x14ac:dyDescent="0.3">
      <c r="B881" s="661"/>
      <c r="E881" s="661"/>
      <c r="F881" s="661"/>
    </row>
    <row r="882" spans="2:6" x14ac:dyDescent="0.3">
      <c r="B882" s="661"/>
      <c r="E882" s="661"/>
      <c r="F882" s="661"/>
    </row>
    <row r="883" spans="2:6" x14ac:dyDescent="0.3">
      <c r="B883" s="661"/>
      <c r="E883" s="661"/>
      <c r="F883" s="661"/>
    </row>
    <row r="884" spans="2:6" x14ac:dyDescent="0.3">
      <c r="B884" s="661"/>
      <c r="E884" s="661"/>
      <c r="F884" s="661"/>
    </row>
    <row r="885" spans="2:6" x14ac:dyDescent="0.3">
      <c r="B885" s="661"/>
      <c r="E885" s="661"/>
      <c r="F885" s="661"/>
    </row>
    <row r="886" spans="2:6" x14ac:dyDescent="0.3">
      <c r="B886" s="661"/>
      <c r="E886" s="661"/>
      <c r="F886" s="661"/>
    </row>
    <row r="887" spans="2:6" x14ac:dyDescent="0.3">
      <c r="B887" s="661"/>
      <c r="E887" s="661"/>
      <c r="F887" s="661"/>
    </row>
    <row r="888" spans="2:6" x14ac:dyDescent="0.3">
      <c r="B888" s="661"/>
      <c r="E888" s="661"/>
      <c r="F888" s="661"/>
    </row>
    <row r="889" spans="2:6" x14ac:dyDescent="0.3">
      <c r="B889" s="661"/>
      <c r="E889" s="661"/>
      <c r="F889" s="661"/>
    </row>
    <row r="890" spans="2:6" x14ac:dyDescent="0.3">
      <c r="B890" s="661"/>
      <c r="E890" s="661"/>
      <c r="F890" s="661"/>
    </row>
    <row r="891" spans="2:6" x14ac:dyDescent="0.3">
      <c r="B891" s="661"/>
      <c r="E891" s="661"/>
      <c r="F891" s="661"/>
    </row>
    <row r="892" spans="2:6" x14ac:dyDescent="0.3">
      <c r="B892" s="661"/>
      <c r="E892" s="661"/>
      <c r="F892" s="661"/>
    </row>
    <row r="893" spans="2:6" x14ac:dyDescent="0.3">
      <c r="B893" s="661"/>
      <c r="E893" s="661"/>
      <c r="F893" s="661"/>
    </row>
    <row r="894" spans="2:6" x14ac:dyDescent="0.3">
      <c r="B894" s="661"/>
      <c r="E894" s="661"/>
      <c r="F894" s="661"/>
    </row>
    <row r="895" spans="2:6" x14ac:dyDescent="0.3">
      <c r="B895" s="661"/>
      <c r="E895" s="661"/>
      <c r="F895" s="661"/>
    </row>
    <row r="896" spans="2:6" x14ac:dyDescent="0.3">
      <c r="B896" s="661"/>
      <c r="E896" s="661"/>
      <c r="F896" s="661"/>
    </row>
    <row r="897" spans="2:6" x14ac:dyDescent="0.3">
      <c r="B897" s="661"/>
      <c r="E897" s="661"/>
      <c r="F897" s="661"/>
    </row>
    <row r="898" spans="2:6" x14ac:dyDescent="0.3">
      <c r="B898" s="661"/>
      <c r="E898" s="661"/>
      <c r="F898" s="661"/>
    </row>
    <row r="899" spans="2:6" x14ac:dyDescent="0.3">
      <c r="B899" s="661"/>
      <c r="E899" s="661"/>
      <c r="F899" s="661"/>
    </row>
    <row r="900" spans="2:6" x14ac:dyDescent="0.3">
      <c r="B900" s="661"/>
      <c r="E900" s="661"/>
      <c r="F900" s="661"/>
    </row>
    <row r="901" spans="2:6" x14ac:dyDescent="0.3">
      <c r="B901" s="661"/>
      <c r="E901" s="661"/>
      <c r="F901" s="661"/>
    </row>
    <row r="902" spans="2:6" x14ac:dyDescent="0.3">
      <c r="B902" s="661"/>
      <c r="E902" s="661"/>
      <c r="F902" s="661"/>
    </row>
    <row r="903" spans="2:6" x14ac:dyDescent="0.3">
      <c r="B903" s="661"/>
      <c r="E903" s="661"/>
      <c r="F903" s="661"/>
    </row>
    <row r="904" spans="2:6" x14ac:dyDescent="0.3">
      <c r="B904" s="661"/>
      <c r="E904" s="661"/>
      <c r="F904" s="661"/>
    </row>
    <row r="905" spans="2:6" x14ac:dyDescent="0.3">
      <c r="B905" s="661"/>
      <c r="E905" s="661"/>
      <c r="F905" s="661"/>
    </row>
    <row r="906" spans="2:6" x14ac:dyDescent="0.3">
      <c r="B906" s="661"/>
      <c r="E906" s="661"/>
      <c r="F906" s="661"/>
    </row>
    <row r="907" spans="2:6" x14ac:dyDescent="0.3">
      <c r="B907" s="661"/>
      <c r="E907" s="661"/>
      <c r="F907" s="661"/>
    </row>
    <row r="908" spans="2:6" x14ac:dyDescent="0.3">
      <c r="B908" s="661"/>
      <c r="E908" s="661"/>
      <c r="F908" s="661"/>
    </row>
    <row r="909" spans="2:6" x14ac:dyDescent="0.3">
      <c r="B909" s="661"/>
      <c r="E909" s="661"/>
      <c r="F909" s="661"/>
    </row>
    <row r="910" spans="2:6" x14ac:dyDescent="0.3">
      <c r="B910" s="661"/>
      <c r="E910" s="661"/>
      <c r="F910" s="661"/>
    </row>
    <row r="911" spans="2:6" x14ac:dyDescent="0.3">
      <c r="B911" s="661"/>
      <c r="E911" s="661"/>
      <c r="F911" s="661"/>
    </row>
    <row r="912" spans="2:6" x14ac:dyDescent="0.3">
      <c r="B912" s="661"/>
      <c r="E912" s="661"/>
      <c r="F912" s="661"/>
    </row>
    <row r="913" spans="2:6" x14ac:dyDescent="0.3">
      <c r="B913" s="661"/>
      <c r="E913" s="661"/>
      <c r="F913" s="661"/>
    </row>
    <row r="914" spans="2:6" x14ac:dyDescent="0.3">
      <c r="B914" s="661"/>
      <c r="E914" s="661"/>
      <c r="F914" s="661"/>
    </row>
    <row r="915" spans="2:6" x14ac:dyDescent="0.3">
      <c r="B915" s="661"/>
      <c r="E915" s="661"/>
      <c r="F915" s="661"/>
    </row>
    <row r="916" spans="2:6" x14ac:dyDescent="0.3">
      <c r="B916" s="661"/>
      <c r="E916" s="661"/>
      <c r="F916" s="661"/>
    </row>
    <row r="917" spans="2:6" x14ac:dyDescent="0.3">
      <c r="B917" s="661"/>
      <c r="E917" s="661"/>
      <c r="F917" s="661"/>
    </row>
    <row r="918" spans="2:6" x14ac:dyDescent="0.3">
      <c r="B918" s="661"/>
      <c r="E918" s="661"/>
      <c r="F918" s="661"/>
    </row>
    <row r="919" spans="2:6" x14ac:dyDescent="0.3">
      <c r="B919" s="661"/>
      <c r="E919" s="661"/>
      <c r="F919" s="661"/>
    </row>
    <row r="920" spans="2:6" x14ac:dyDescent="0.3">
      <c r="B920" s="661"/>
      <c r="E920" s="661"/>
      <c r="F920" s="661"/>
    </row>
    <row r="921" spans="2:6" x14ac:dyDescent="0.3">
      <c r="B921" s="661"/>
      <c r="E921" s="661"/>
      <c r="F921" s="661"/>
    </row>
    <row r="922" spans="2:6" x14ac:dyDescent="0.3">
      <c r="B922" s="661"/>
      <c r="E922" s="661"/>
      <c r="F922" s="661"/>
    </row>
    <row r="923" spans="2:6" x14ac:dyDescent="0.3">
      <c r="B923" s="661"/>
      <c r="E923" s="661"/>
      <c r="F923" s="661"/>
    </row>
    <row r="924" spans="2:6" x14ac:dyDescent="0.3">
      <c r="B924" s="661"/>
      <c r="E924" s="661"/>
      <c r="F924" s="661"/>
    </row>
    <row r="925" spans="2:6" x14ac:dyDescent="0.3">
      <c r="B925" s="661"/>
      <c r="E925" s="661"/>
      <c r="F925" s="661"/>
    </row>
    <row r="926" spans="2:6" x14ac:dyDescent="0.3">
      <c r="B926" s="661"/>
      <c r="E926" s="661"/>
      <c r="F926" s="661"/>
    </row>
    <row r="927" spans="2:6" x14ac:dyDescent="0.3">
      <c r="B927" s="661"/>
      <c r="E927" s="661"/>
      <c r="F927" s="661"/>
    </row>
    <row r="928" spans="2:6" x14ac:dyDescent="0.3">
      <c r="B928" s="661"/>
      <c r="E928" s="661"/>
      <c r="F928" s="661"/>
    </row>
    <row r="929" spans="2:6" x14ac:dyDescent="0.3">
      <c r="B929" s="661"/>
      <c r="E929" s="661"/>
      <c r="F929" s="661"/>
    </row>
    <row r="930" spans="2:6" x14ac:dyDescent="0.3">
      <c r="B930" s="661"/>
      <c r="E930" s="661"/>
      <c r="F930" s="661"/>
    </row>
    <row r="931" spans="2:6" x14ac:dyDescent="0.3">
      <c r="B931" s="661"/>
      <c r="E931" s="661"/>
      <c r="F931" s="661"/>
    </row>
    <row r="932" spans="2:6" x14ac:dyDescent="0.3">
      <c r="B932" s="661"/>
      <c r="E932" s="661"/>
      <c r="F932" s="661"/>
    </row>
    <row r="933" spans="2:6" x14ac:dyDescent="0.3">
      <c r="B933" s="661"/>
      <c r="E933" s="661"/>
      <c r="F933" s="661"/>
    </row>
    <row r="934" spans="2:6" x14ac:dyDescent="0.3">
      <c r="B934" s="661"/>
      <c r="E934" s="661"/>
      <c r="F934" s="661"/>
    </row>
    <row r="935" spans="2:6" x14ac:dyDescent="0.3">
      <c r="B935" s="661"/>
      <c r="E935" s="661"/>
      <c r="F935" s="661"/>
    </row>
    <row r="936" spans="2:6" x14ac:dyDescent="0.3">
      <c r="B936" s="661"/>
      <c r="E936" s="661"/>
      <c r="F936" s="661"/>
    </row>
    <row r="937" spans="2:6" x14ac:dyDescent="0.3">
      <c r="B937" s="661"/>
      <c r="E937" s="661"/>
      <c r="F937" s="661"/>
    </row>
    <row r="938" spans="2:6" x14ac:dyDescent="0.3">
      <c r="B938" s="661"/>
      <c r="E938" s="661"/>
      <c r="F938" s="661"/>
    </row>
    <row r="939" spans="2:6" x14ac:dyDescent="0.3">
      <c r="B939" s="661"/>
      <c r="E939" s="661"/>
      <c r="F939" s="661"/>
    </row>
    <row r="940" spans="2:6" x14ac:dyDescent="0.3">
      <c r="B940" s="661"/>
      <c r="E940" s="661"/>
      <c r="F940" s="661"/>
    </row>
    <row r="941" spans="2:6" x14ac:dyDescent="0.3">
      <c r="B941" s="661"/>
      <c r="E941" s="661"/>
      <c r="F941" s="661"/>
    </row>
    <row r="942" spans="2:6" x14ac:dyDescent="0.3">
      <c r="B942" s="661"/>
      <c r="E942" s="661"/>
      <c r="F942" s="661"/>
    </row>
    <row r="943" spans="2:6" x14ac:dyDescent="0.3">
      <c r="B943" s="661"/>
      <c r="E943" s="661"/>
      <c r="F943" s="661"/>
    </row>
    <row r="944" spans="2:6" x14ac:dyDescent="0.3">
      <c r="B944" s="661"/>
      <c r="E944" s="661"/>
      <c r="F944" s="661"/>
    </row>
    <row r="945" spans="2:6" x14ac:dyDescent="0.3">
      <c r="B945" s="661"/>
      <c r="E945" s="661"/>
      <c r="F945" s="661"/>
    </row>
    <row r="946" spans="2:6" x14ac:dyDescent="0.3">
      <c r="B946" s="661"/>
      <c r="E946" s="661"/>
      <c r="F946" s="661"/>
    </row>
    <row r="947" spans="2:6" x14ac:dyDescent="0.3">
      <c r="B947" s="661"/>
      <c r="E947" s="661"/>
      <c r="F947" s="661"/>
    </row>
    <row r="948" spans="2:6" x14ac:dyDescent="0.3">
      <c r="B948" s="661"/>
      <c r="E948" s="661"/>
      <c r="F948" s="661"/>
    </row>
    <row r="949" spans="2:6" x14ac:dyDescent="0.3">
      <c r="B949" s="661"/>
      <c r="E949" s="661"/>
      <c r="F949" s="661"/>
    </row>
    <row r="950" spans="2:6" x14ac:dyDescent="0.3">
      <c r="B950" s="661"/>
      <c r="E950" s="661"/>
      <c r="F950" s="661"/>
    </row>
    <row r="951" spans="2:6" x14ac:dyDescent="0.3">
      <c r="B951" s="661"/>
      <c r="E951" s="661"/>
      <c r="F951" s="661"/>
    </row>
    <row r="952" spans="2:6" x14ac:dyDescent="0.3">
      <c r="B952" s="661"/>
      <c r="E952" s="661"/>
      <c r="F952" s="661"/>
    </row>
    <row r="953" spans="2:6" x14ac:dyDescent="0.3">
      <c r="B953" s="661"/>
      <c r="E953" s="661"/>
      <c r="F953" s="661"/>
    </row>
    <row r="954" spans="2:6" x14ac:dyDescent="0.3">
      <c r="B954" s="661"/>
      <c r="E954" s="661"/>
      <c r="F954" s="661"/>
    </row>
    <row r="955" spans="2:6" x14ac:dyDescent="0.3">
      <c r="B955" s="661"/>
      <c r="E955" s="661"/>
      <c r="F955" s="661"/>
    </row>
    <row r="956" spans="2:6" x14ac:dyDescent="0.3">
      <c r="B956" s="661"/>
      <c r="E956" s="661"/>
      <c r="F956" s="661"/>
    </row>
    <row r="957" spans="2:6" x14ac:dyDescent="0.3">
      <c r="B957" s="661"/>
      <c r="E957" s="661"/>
      <c r="F957" s="661"/>
    </row>
    <row r="958" spans="2:6" x14ac:dyDescent="0.3">
      <c r="B958" s="661"/>
      <c r="E958" s="661"/>
      <c r="F958" s="661"/>
    </row>
    <row r="959" spans="2:6" x14ac:dyDescent="0.3">
      <c r="B959" s="661"/>
      <c r="E959" s="661"/>
      <c r="F959" s="661"/>
    </row>
    <row r="960" spans="2:6" x14ac:dyDescent="0.3">
      <c r="B960" s="661"/>
      <c r="E960" s="661"/>
      <c r="F960" s="661"/>
    </row>
    <row r="961" spans="2:6" x14ac:dyDescent="0.3">
      <c r="B961" s="661"/>
      <c r="E961" s="661"/>
      <c r="F961" s="661"/>
    </row>
    <row r="962" spans="2:6" x14ac:dyDescent="0.3">
      <c r="B962" s="661"/>
      <c r="E962" s="661"/>
      <c r="F962" s="661"/>
    </row>
  </sheetData>
  <mergeCells count="10">
    <mergeCell ref="B93:H93"/>
    <mergeCell ref="B94:H94"/>
    <mergeCell ref="B2:H3"/>
    <mergeCell ref="R25:S25"/>
    <mergeCell ref="B62:H62"/>
    <mergeCell ref="B63:H63"/>
    <mergeCell ref="B73:H73"/>
    <mergeCell ref="B74:H74"/>
    <mergeCell ref="B84:H84"/>
    <mergeCell ref="B85:H85"/>
  </mergeCells>
  <printOptions horizontalCentered="1"/>
  <pageMargins left="0.5" right="0.5" top="1" bottom="0.5" header="0.3" footer="0.3"/>
  <pageSetup paperSize="9" scale="21" orientation="portrait"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78">
    <tabColor rgb="FFFFFF00"/>
    <pageSetUpPr fitToPage="1"/>
  </sheetPr>
  <dimension ref="A1:AD117"/>
  <sheetViews>
    <sheetView topLeftCell="H1" zoomScale="55" zoomScaleNormal="55" workbookViewId="0">
      <selection activeCell="Q43" sqref="Q43:T44"/>
    </sheetView>
  </sheetViews>
  <sheetFormatPr defaultColWidth="12.5" defaultRowHeight="12.5" x14ac:dyDescent="0.25"/>
  <cols>
    <col min="1" max="1" width="12.5" style="14" customWidth="1"/>
    <col min="2" max="2" width="31.414062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7" width="3.6640625" style="14" customWidth="1"/>
    <col min="18" max="18" width="22.9140625" style="14" customWidth="1"/>
    <col min="19" max="19" width="16.25" style="14" bestFit="1" customWidth="1"/>
    <col min="20" max="24" width="4.58203125" style="14" customWidth="1"/>
    <col min="25" max="16384" width="12.5" style="14"/>
  </cols>
  <sheetData>
    <row r="1" spans="1:30" ht="28.5" customHeight="1" x14ac:dyDescent="0.25">
      <c r="B1" s="79" t="s">
        <v>235</v>
      </c>
      <c r="C1" s="80">
        <v>1000</v>
      </c>
      <c r="D1" s="81" t="s">
        <v>236</v>
      </c>
      <c r="E1" s="116">
        <f>S30</f>
        <v>17550</v>
      </c>
      <c r="F1" s="79" t="s">
        <v>237</v>
      </c>
      <c r="G1" s="116">
        <f>E1/C1</f>
        <v>17.55</v>
      </c>
      <c r="H1" s="79" t="s">
        <v>238</v>
      </c>
      <c r="I1" s="116">
        <f>G1/K1</f>
        <v>17.55</v>
      </c>
      <c r="J1" s="325" t="s">
        <v>239</v>
      </c>
      <c r="K1" s="326">
        <v>1</v>
      </c>
      <c r="L1" s="99"/>
      <c r="M1" s="99" t="s">
        <v>402</v>
      </c>
      <c r="N1" s="99"/>
      <c r="O1" s="99"/>
      <c r="Y1" s="90" t="s">
        <v>463</v>
      </c>
      <c r="Z1" s="835">
        <v>17550</v>
      </c>
      <c r="AA1" s="90" t="s">
        <v>578</v>
      </c>
      <c r="AB1" s="835">
        <v>0</v>
      </c>
      <c r="AC1" s="90" t="s">
        <v>567</v>
      </c>
      <c r="AD1" s="835">
        <v>117</v>
      </c>
    </row>
    <row r="2" spans="1:30" ht="12.75" customHeight="1" x14ac:dyDescent="0.25">
      <c r="A2" s="921"/>
      <c r="B2" s="1443" t="s">
        <v>403</v>
      </c>
      <c r="C2" s="1466"/>
      <c r="D2" s="1466"/>
      <c r="E2" s="1466"/>
      <c r="F2" s="1466"/>
      <c r="G2" s="1466"/>
      <c r="H2" s="1466"/>
      <c r="I2" s="99"/>
      <c r="J2" s="99"/>
      <c r="K2" s="99"/>
      <c r="L2" s="99"/>
      <c r="M2" s="99"/>
      <c r="N2" s="99"/>
      <c r="O2" s="99"/>
    </row>
    <row r="3" spans="1:30" ht="12.75" customHeight="1" x14ac:dyDescent="0.25">
      <c r="A3" s="921"/>
      <c r="B3" s="1444"/>
      <c r="C3" s="1444"/>
      <c r="D3" s="1444"/>
      <c r="E3" s="1444"/>
      <c r="F3" s="1444"/>
      <c r="G3" s="1444"/>
      <c r="H3" s="1444"/>
      <c r="I3" s="99"/>
      <c r="J3" s="99"/>
      <c r="K3" s="99"/>
      <c r="L3" s="99"/>
      <c r="M3" s="99"/>
      <c r="N3" s="99"/>
      <c r="O3" s="99"/>
    </row>
    <row r="4" spans="1:30" ht="68.75" customHeight="1" x14ac:dyDescent="0.25">
      <c r="A4" s="90" t="s">
        <v>1</v>
      </c>
      <c r="B4" s="415" t="s">
        <v>245</v>
      </c>
      <c r="C4" s="106" t="s">
        <v>246</v>
      </c>
      <c r="D4" s="90" t="s">
        <v>235</v>
      </c>
      <c r="E4" s="217" t="s">
        <v>238</v>
      </c>
      <c r="F4" s="107" t="s">
        <v>247</v>
      </c>
      <c r="G4" s="90" t="s">
        <v>248</v>
      </c>
      <c r="H4" s="106" t="s">
        <v>339</v>
      </c>
      <c r="I4" s="90" t="s">
        <v>250</v>
      </c>
      <c r="J4" s="90" t="s">
        <v>251</v>
      </c>
      <c r="K4" s="90" t="s">
        <v>252</v>
      </c>
      <c r="L4" s="90" t="s">
        <v>253</v>
      </c>
      <c r="M4" s="99"/>
      <c r="N4" s="99"/>
      <c r="O4" s="99"/>
    </row>
    <row r="5" spans="1:30" ht="14.25" customHeight="1" x14ac:dyDescent="0.25">
      <c r="A5" s="218"/>
      <c r="B5" s="649"/>
      <c r="C5" s="650"/>
      <c r="D5" s="218"/>
      <c r="E5" s="651"/>
      <c r="F5" s="218"/>
      <c r="G5" s="218"/>
      <c r="H5" s="650"/>
      <c r="I5" s="80"/>
      <c r="J5" s="118"/>
      <c r="K5" s="121"/>
      <c r="L5" s="121"/>
    </row>
    <row r="6" spans="1:30" ht="14.25" customHeight="1" x14ac:dyDescent="0.25">
      <c r="A6" s="294" t="s">
        <v>13</v>
      </c>
      <c r="B6" s="22" t="s">
        <v>19</v>
      </c>
      <c r="C6" s="123" t="s">
        <v>14</v>
      </c>
      <c r="D6" s="1123">
        <v>450</v>
      </c>
      <c r="E6" s="115">
        <f t="shared" ref="E6:E14" si="0">$I$1</f>
        <v>17.55</v>
      </c>
      <c r="F6" s="126">
        <v>1</v>
      </c>
      <c r="G6" s="118">
        <f t="shared" ref="G6:G14" si="1">D6*E6</f>
        <v>7897.5</v>
      </c>
      <c r="H6" s="119">
        <f t="shared" ref="H6:H14" si="2">G6*F6</f>
        <v>7897.5</v>
      </c>
      <c r="I6" s="80">
        <f>VLOOKUP(B6,All_Ingredients!$A$1:$F$149,6,FALSE())</f>
        <v>0.84</v>
      </c>
      <c r="J6" s="118">
        <f>VLOOKUP(B6,All_Ingredients!$A$1:$J$149,10,FALSE())</f>
        <v>2.6</v>
      </c>
      <c r="K6" s="121">
        <f t="shared" ref="K6:K14" si="3">(H6/I6)/1000</f>
        <v>9.4017857142857135</v>
      </c>
      <c r="L6" s="121">
        <f t="shared" ref="L6:L14" si="4">K6*J6</f>
        <v>24.444642857142856</v>
      </c>
    </row>
    <row r="7" spans="1:30" ht="14.25" customHeight="1" x14ac:dyDescent="0.25">
      <c r="A7" s="294" t="s">
        <v>13</v>
      </c>
      <c r="B7" s="22" t="s">
        <v>47</v>
      </c>
      <c r="C7" s="123" t="s">
        <v>14</v>
      </c>
      <c r="D7" s="1123">
        <v>450</v>
      </c>
      <c r="E7" s="115">
        <f t="shared" si="0"/>
        <v>17.55</v>
      </c>
      <c r="F7" s="126">
        <v>1</v>
      </c>
      <c r="G7" s="118">
        <f t="shared" si="1"/>
        <v>7897.5</v>
      </c>
      <c r="H7" s="119">
        <f t="shared" si="2"/>
        <v>7897.5</v>
      </c>
      <c r="I7" s="80">
        <f>VLOOKUP(B7,All_Ingredients!$A$1:$F$149,6,FALSE())</f>
        <v>0.78</v>
      </c>
      <c r="J7" s="118">
        <f>VLOOKUP(B7,All_Ingredients!$A$1:$J$149,10,FALSE())</f>
        <v>3.7</v>
      </c>
      <c r="K7" s="121">
        <f t="shared" si="3"/>
        <v>10.125</v>
      </c>
      <c r="L7" s="121">
        <f t="shared" si="4"/>
        <v>37.462499999999999</v>
      </c>
    </row>
    <row r="8" spans="1:30" ht="14.25" customHeight="1" x14ac:dyDescent="0.25">
      <c r="A8" s="294" t="s">
        <v>13</v>
      </c>
      <c r="B8" s="22" t="s">
        <v>28</v>
      </c>
      <c r="C8" s="123" t="s">
        <v>14</v>
      </c>
      <c r="D8" s="1123">
        <v>80</v>
      </c>
      <c r="E8" s="115">
        <f t="shared" si="0"/>
        <v>17.55</v>
      </c>
      <c r="F8" s="126">
        <v>1</v>
      </c>
      <c r="G8" s="118">
        <f t="shared" si="1"/>
        <v>1404</v>
      </c>
      <c r="H8" s="119">
        <f t="shared" si="2"/>
        <v>1404</v>
      </c>
      <c r="I8" s="80">
        <f>VLOOKUP(B8,All_Ingredients!$A$1:$F$149,6,FALSE())</f>
        <v>0.73</v>
      </c>
      <c r="J8" s="118">
        <f>VLOOKUP(B8,All_Ingredients!$A$1:$J$149,10,FALSE())</f>
        <v>8.5</v>
      </c>
      <c r="K8" s="121">
        <f t="shared" si="3"/>
        <v>1.9232876712328768</v>
      </c>
      <c r="L8" s="121">
        <f t="shared" si="4"/>
        <v>16.347945205479451</v>
      </c>
    </row>
    <row r="9" spans="1:30" ht="14.25" customHeight="1" x14ac:dyDescent="0.25">
      <c r="A9" s="294" t="s">
        <v>13</v>
      </c>
      <c r="B9" s="22" t="s">
        <v>30</v>
      </c>
      <c r="C9" s="123" t="s">
        <v>14</v>
      </c>
      <c r="D9" s="1123">
        <v>80</v>
      </c>
      <c r="E9" s="115">
        <f t="shared" si="0"/>
        <v>17.55</v>
      </c>
      <c r="F9" s="126">
        <v>1</v>
      </c>
      <c r="G9" s="118">
        <f t="shared" si="1"/>
        <v>1404</v>
      </c>
      <c r="H9" s="119">
        <f t="shared" si="2"/>
        <v>1404</v>
      </c>
      <c r="I9" s="80">
        <f>VLOOKUP(B9,All_Ingredients!$A$1:$F$149,6,FALSE())</f>
        <v>0.71</v>
      </c>
      <c r="J9" s="118">
        <f>VLOOKUP(B9,All_Ingredients!$A$1:$J$149,10,FALSE())</f>
        <v>8.5</v>
      </c>
      <c r="K9" s="121">
        <f t="shared" si="3"/>
        <v>1.9774647887323944</v>
      </c>
      <c r="L9" s="121">
        <f t="shared" si="4"/>
        <v>16.808450704225351</v>
      </c>
    </row>
    <row r="10" spans="1:30" ht="14.25" customHeight="1" x14ac:dyDescent="0.25">
      <c r="A10" s="294" t="s">
        <v>13</v>
      </c>
      <c r="B10" s="22" t="s">
        <v>32</v>
      </c>
      <c r="C10" s="123" t="s">
        <v>14</v>
      </c>
      <c r="D10" s="1123">
        <v>80</v>
      </c>
      <c r="E10" s="115">
        <f t="shared" si="0"/>
        <v>17.55</v>
      </c>
      <c r="F10" s="126">
        <v>1</v>
      </c>
      <c r="G10" s="118">
        <f t="shared" si="1"/>
        <v>1404</v>
      </c>
      <c r="H10" s="119">
        <f t="shared" si="2"/>
        <v>1404</v>
      </c>
      <c r="I10" s="80">
        <f>VLOOKUP(B10,All_Ingredients!$A$1:$F$149,6,FALSE())</f>
        <v>0.69</v>
      </c>
      <c r="J10" s="118">
        <f>VLOOKUP(B10,All_Ingredients!$A$1:$J$149,10,FALSE())</f>
        <v>4</v>
      </c>
      <c r="K10" s="121">
        <f t="shared" si="3"/>
        <v>2.0347826086956524</v>
      </c>
      <c r="L10" s="121">
        <f t="shared" si="4"/>
        <v>8.1391304347826097</v>
      </c>
    </row>
    <row r="11" spans="1:30" ht="14.25" customHeight="1" x14ac:dyDescent="0.25">
      <c r="A11" s="294" t="s">
        <v>13</v>
      </c>
      <c r="B11" s="22" t="s">
        <v>50</v>
      </c>
      <c r="C11" s="123" t="s">
        <v>14</v>
      </c>
      <c r="D11" s="1123">
        <v>80</v>
      </c>
      <c r="E11" s="115">
        <f t="shared" si="0"/>
        <v>17.55</v>
      </c>
      <c r="F11" s="126">
        <v>1</v>
      </c>
      <c r="G11" s="118">
        <f t="shared" si="1"/>
        <v>1404</v>
      </c>
      <c r="H11" s="119">
        <f t="shared" si="2"/>
        <v>1404</v>
      </c>
      <c r="I11" s="80">
        <f>VLOOKUP(B11,All_Ingredients!$A$1:$F$149,6,FALSE())</f>
        <v>0.75</v>
      </c>
      <c r="J11" s="118">
        <f>VLOOKUP(B11,All_Ingredients!$A$1:$J$149,10,FALSE())</f>
        <v>20</v>
      </c>
      <c r="K11" s="121">
        <f t="shared" si="3"/>
        <v>1.8720000000000001</v>
      </c>
      <c r="L11" s="121">
        <f t="shared" si="4"/>
        <v>37.440000000000005</v>
      </c>
    </row>
    <row r="12" spans="1:30" ht="14.25" customHeight="1" x14ac:dyDescent="0.25">
      <c r="A12" s="294" t="s">
        <v>220</v>
      </c>
      <c r="B12" s="22" t="s">
        <v>545</v>
      </c>
      <c r="C12" s="123" t="s">
        <v>14</v>
      </c>
      <c r="D12" s="1123">
        <v>80</v>
      </c>
      <c r="E12" s="115">
        <f t="shared" si="0"/>
        <v>17.55</v>
      </c>
      <c r="F12" s="126">
        <v>1</v>
      </c>
      <c r="G12" s="118">
        <f t="shared" si="1"/>
        <v>1404</v>
      </c>
      <c r="H12" s="119">
        <f t="shared" si="2"/>
        <v>1404</v>
      </c>
      <c r="I12" s="80">
        <f>VLOOKUP(B12,All_Ingredients!$A$1:$F$149,6,FALSE())</f>
        <v>1</v>
      </c>
      <c r="J12" s="118">
        <f>VLOOKUP(B12,All_Ingredients!$A$1:$J$149,10,FALSE())</f>
        <v>10.196078431372548</v>
      </c>
      <c r="K12" s="121">
        <f t="shared" si="3"/>
        <v>1.4039999999999999</v>
      </c>
      <c r="L12" s="121">
        <f t="shared" si="4"/>
        <v>14.315294117647056</v>
      </c>
    </row>
    <row r="13" spans="1:30" ht="14.25" customHeight="1" x14ac:dyDescent="0.25">
      <c r="A13" s="294" t="s">
        <v>95</v>
      </c>
      <c r="B13" s="22" t="s">
        <v>94</v>
      </c>
      <c r="C13" s="123" t="s">
        <v>14</v>
      </c>
      <c r="D13" s="115">
        <v>4</v>
      </c>
      <c r="E13" s="115">
        <f t="shared" si="0"/>
        <v>17.55</v>
      </c>
      <c r="F13" s="126">
        <v>0.75</v>
      </c>
      <c r="G13" s="118">
        <f t="shared" si="1"/>
        <v>70.2</v>
      </c>
      <c r="H13" s="119">
        <f t="shared" si="2"/>
        <v>52.650000000000006</v>
      </c>
      <c r="I13" s="80">
        <f>VLOOKUP(B13,All_Ingredients!$A$1:$F$149,6,FALSE())</f>
        <v>1</v>
      </c>
      <c r="J13" s="118">
        <f>VLOOKUP(B13,All_Ingredients!$A$1:$J$149,10,FALSE())</f>
        <v>0.74</v>
      </c>
      <c r="K13" s="121">
        <f t="shared" si="3"/>
        <v>5.2650000000000002E-2</v>
      </c>
      <c r="L13" s="121">
        <f t="shared" si="4"/>
        <v>3.8961000000000003E-2</v>
      </c>
    </row>
    <row r="14" spans="1:30" ht="14.25" customHeight="1" x14ac:dyDescent="0.25">
      <c r="A14" s="294" t="s">
        <v>95</v>
      </c>
      <c r="B14" s="22" t="s">
        <v>100</v>
      </c>
      <c r="C14" s="123" t="s">
        <v>14</v>
      </c>
      <c r="D14" s="196">
        <v>0.5</v>
      </c>
      <c r="E14" s="115">
        <f t="shared" si="0"/>
        <v>17.55</v>
      </c>
      <c r="F14" s="126">
        <v>1</v>
      </c>
      <c r="G14" s="118">
        <f t="shared" si="1"/>
        <v>8.7750000000000004</v>
      </c>
      <c r="H14" s="119">
        <f t="shared" si="2"/>
        <v>8.7750000000000004</v>
      </c>
      <c r="I14" s="80">
        <f>VLOOKUP(B14,All_Ingredients!$A$1:$F$149,6,FALSE())</f>
        <v>1</v>
      </c>
      <c r="J14" s="118">
        <f>VLOOKUP(B14,All_Ingredients!$A$1:$J$149,10,FALSE())</f>
        <v>31</v>
      </c>
      <c r="K14" s="121">
        <f t="shared" si="3"/>
        <v>8.7749999999999998E-3</v>
      </c>
      <c r="L14" s="121">
        <f t="shared" si="4"/>
        <v>0.27202500000000002</v>
      </c>
    </row>
    <row r="15" spans="1:30" ht="14.25" customHeight="1" x14ac:dyDescent="0.25">
      <c r="B15" s="355"/>
      <c r="C15" s="356"/>
      <c r="D15" s="358"/>
      <c r="E15" s="358"/>
      <c r="F15" s="359"/>
      <c r="G15" s="360"/>
      <c r="H15" s="361"/>
    </row>
    <row r="16" spans="1:30" ht="14.25" customHeight="1" x14ac:dyDescent="0.25">
      <c r="E16" s="224"/>
      <c r="F16" s="135"/>
      <c r="G16" s="139"/>
      <c r="H16" s="137"/>
    </row>
    <row r="17" spans="2:29" ht="14.25" customHeight="1" x14ac:dyDescent="0.25">
      <c r="E17" s="99"/>
      <c r="F17" s="99"/>
    </row>
    <row r="18" spans="2:29" ht="14.25" customHeight="1" x14ac:dyDescent="0.25">
      <c r="E18" s="99"/>
      <c r="F18" s="99"/>
    </row>
    <row r="19" spans="2:29" ht="14.25" customHeight="1" x14ac:dyDescent="0.25">
      <c r="E19" s="99"/>
      <c r="F19" s="99"/>
    </row>
    <row r="20" spans="2:29" ht="14.25" customHeight="1" x14ac:dyDescent="0.25">
      <c r="E20" s="99"/>
      <c r="F20" s="99"/>
    </row>
    <row r="21" spans="2:29" ht="14.25" customHeight="1" x14ac:dyDescent="0.25">
      <c r="E21" s="99"/>
      <c r="F21" s="99"/>
    </row>
    <row r="22" spans="2:29" ht="14.25" customHeight="1" x14ac:dyDescent="0.3">
      <c r="B22" s="11"/>
      <c r="C22" s="335"/>
      <c r="D22" s="336"/>
      <c r="E22" s="99"/>
      <c r="F22" s="99"/>
    </row>
    <row r="23" spans="2:29" ht="14.25" customHeight="1" x14ac:dyDescent="0.3">
      <c r="B23" s="11"/>
      <c r="C23" s="335"/>
      <c r="D23" s="336"/>
      <c r="E23" s="99"/>
      <c r="F23" s="99"/>
    </row>
    <row r="24" spans="2:29" ht="14.25" customHeight="1" x14ac:dyDescent="0.3">
      <c r="B24" s="11"/>
      <c r="C24" s="335"/>
      <c r="D24" s="336"/>
      <c r="E24" s="99"/>
      <c r="F24" s="99"/>
      <c r="Z24" s="1208"/>
    </row>
    <row r="25" spans="2:29" ht="14.25" customHeight="1" x14ac:dyDescent="0.3">
      <c r="B25" s="11"/>
      <c r="C25" s="335"/>
      <c r="D25" s="336"/>
      <c r="E25" s="99"/>
      <c r="F25" s="99"/>
      <c r="R25" s="1534" t="s">
        <v>404</v>
      </c>
      <c r="S25" s="1477"/>
      <c r="Z25" s="140" t="s">
        <v>14</v>
      </c>
      <c r="AA25" s="141">
        <v>1</v>
      </c>
      <c r="AB25" s="140" t="s">
        <v>253</v>
      </c>
      <c r="AC25" s="142">
        <f>(S35/S30)*AA25</f>
        <v>8.8472335794460028E-3</v>
      </c>
    </row>
    <row r="26" spans="2:29" ht="14.25" customHeight="1" x14ac:dyDescent="0.3">
      <c r="B26" s="11"/>
      <c r="C26" s="335"/>
      <c r="D26" s="336"/>
      <c r="E26" s="99"/>
      <c r="F26" s="99"/>
      <c r="R26" s="1534" t="s">
        <v>342</v>
      </c>
      <c r="S26" s="1477"/>
    </row>
    <row r="27" spans="2:29" ht="14.25" customHeight="1" x14ac:dyDescent="0.3">
      <c r="B27" s="11"/>
      <c r="C27" s="335"/>
      <c r="D27" s="336"/>
      <c r="E27" s="99"/>
      <c r="F27" s="99"/>
      <c r="R27" s="144" t="s">
        <v>258</v>
      </c>
      <c r="S27" s="144" t="s">
        <v>343</v>
      </c>
    </row>
    <row r="28" spans="2:29" ht="14.25" customHeight="1" x14ac:dyDescent="0.3">
      <c r="B28" s="11"/>
      <c r="C28" s="335"/>
      <c r="D28" s="336"/>
      <c r="E28" s="99"/>
      <c r="F28" s="99"/>
      <c r="R28" s="144" t="s">
        <v>267</v>
      </c>
      <c r="S28" s="784">
        <f>Z1</f>
        <v>17550</v>
      </c>
    </row>
    <row r="29" spans="2:29" ht="14.25" customHeight="1" x14ac:dyDescent="0.3">
      <c r="B29" s="11"/>
      <c r="C29" s="335"/>
      <c r="D29" s="336"/>
      <c r="E29" s="99"/>
      <c r="F29" s="99"/>
      <c r="R29" s="144" t="s">
        <v>269</v>
      </c>
      <c r="S29" s="784">
        <f>AB1</f>
        <v>0</v>
      </c>
    </row>
    <row r="30" spans="2:29" ht="14.25" customHeight="1" x14ac:dyDescent="0.3">
      <c r="E30" s="99"/>
      <c r="F30" s="99"/>
      <c r="R30" s="144" t="s">
        <v>261</v>
      </c>
      <c r="S30" s="338">
        <f>SUM(S28:S29)</f>
        <v>17550</v>
      </c>
    </row>
    <row r="31" spans="2:29" ht="14.25" customHeight="1" x14ac:dyDescent="0.25">
      <c r="B31" s="99"/>
      <c r="E31" s="99"/>
      <c r="F31" s="99"/>
    </row>
    <row r="32" spans="2:29" ht="14.25" customHeight="1" x14ac:dyDescent="0.25">
      <c r="B32" s="99"/>
      <c r="E32" s="99"/>
      <c r="F32" s="99"/>
    </row>
    <row r="34" spans="18:19" ht="13" thickBot="1" x14ac:dyDescent="0.3"/>
    <row r="35" spans="18:19" ht="13.5" thickBot="1" x14ac:dyDescent="0.35">
      <c r="R35" s="162" t="s">
        <v>253</v>
      </c>
      <c r="S35" s="1184">
        <f>SUM(L6:L14)</f>
        <v>155.26894931927734</v>
      </c>
    </row>
    <row r="40" spans="18:19" x14ac:dyDescent="0.25">
      <c r="R40" s="14" t="s">
        <v>562</v>
      </c>
    </row>
    <row r="43" spans="18:19" ht="14" customHeight="1" x14ac:dyDescent="0.25"/>
    <row r="44" spans="18:19" ht="14" customHeight="1" x14ac:dyDescent="0.25"/>
    <row r="47" spans="18:19" ht="19.5" customHeight="1" x14ac:dyDescent="0.25"/>
    <row r="49" spans="1:8" ht="12" customHeight="1" x14ac:dyDescent="0.25"/>
    <row r="50" spans="1:8" ht="14" x14ac:dyDescent="0.3">
      <c r="B50" s="225"/>
      <c r="C50" s="225" t="s">
        <v>237</v>
      </c>
      <c r="D50" s="225" t="s">
        <v>283</v>
      </c>
    </row>
    <row r="51" spans="1:8" ht="19.25" customHeight="1" x14ac:dyDescent="0.3">
      <c r="B51" s="179" t="s">
        <v>287</v>
      </c>
      <c r="C51" s="180">
        <f>10/$K$1</f>
        <v>10</v>
      </c>
      <c r="D51" s="181">
        <f>$C$1*10</f>
        <v>10000</v>
      </c>
    </row>
    <row r="52" spans="1:8" ht="14" x14ac:dyDescent="0.3">
      <c r="B52" s="230" t="s">
        <v>261</v>
      </c>
      <c r="C52" s="232">
        <f>G1</f>
        <v>17.55</v>
      </c>
      <c r="D52" s="232">
        <f>E1</f>
        <v>17550</v>
      </c>
    </row>
    <row r="53" spans="1:8" ht="14" x14ac:dyDescent="0.3">
      <c r="B53" s="230" t="s">
        <v>288</v>
      </c>
      <c r="C53" s="233">
        <f>MIN($C$52, C51)</f>
        <v>10</v>
      </c>
      <c r="D53" s="912">
        <f>(C53*$K$1)*$C$1</f>
        <v>10000</v>
      </c>
    </row>
    <row r="54" spans="1:8" ht="14" x14ac:dyDescent="0.3">
      <c r="B54" s="230" t="s">
        <v>289</v>
      </c>
      <c r="C54" s="233">
        <f>MIN(MAX($C$52-C53,0),C51)</f>
        <v>7.5500000000000007</v>
      </c>
      <c r="D54" s="912">
        <f>(C54*$K$1)*$C$1</f>
        <v>7550.0000000000009</v>
      </c>
    </row>
    <row r="55" spans="1:8" ht="14" x14ac:dyDescent="0.3">
      <c r="B55" s="230" t="s">
        <v>290</v>
      </c>
      <c r="C55" s="233">
        <f>MIN(MAX($C$52-C53-C54,0),10)</f>
        <v>0</v>
      </c>
      <c r="D55" s="232">
        <f>(C55*$K$1)*$C$1</f>
        <v>0</v>
      </c>
    </row>
    <row r="62" spans="1:8" ht="17.75" customHeight="1" x14ac:dyDescent="0.25"/>
    <row r="63" spans="1:8" ht="17.75" customHeight="1" x14ac:dyDescent="0.3">
      <c r="A63" s="928"/>
      <c r="B63" s="1438" t="s">
        <v>830</v>
      </c>
      <c r="C63" s="1439"/>
      <c r="D63" s="1439"/>
      <c r="E63" s="1439"/>
      <c r="F63" s="1439"/>
      <c r="G63" s="1439"/>
      <c r="H63" s="1439"/>
    </row>
    <row r="64" spans="1:8" ht="14" x14ac:dyDescent="0.3">
      <c r="A64" s="928"/>
      <c r="B64" s="1436" t="s">
        <v>403</v>
      </c>
      <c r="C64" s="1437"/>
      <c r="D64" s="1437"/>
      <c r="E64" s="1437"/>
      <c r="F64" s="1437"/>
      <c r="G64" s="1437"/>
      <c r="H64" s="1437"/>
    </row>
    <row r="65" spans="1:8" ht="45" customHeight="1" x14ac:dyDescent="0.25">
      <c r="A65" s="90"/>
      <c r="B65" s="244" t="s">
        <v>245</v>
      </c>
      <c r="C65" s="243" t="s">
        <v>246</v>
      </c>
      <c r="D65" s="244" t="s">
        <v>235</v>
      </c>
      <c r="E65" s="217" t="s">
        <v>238</v>
      </c>
      <c r="F65" s="217" t="s">
        <v>247</v>
      </c>
      <c r="G65" s="244" t="s">
        <v>248</v>
      </c>
      <c r="H65" s="217" t="s">
        <v>249</v>
      </c>
    </row>
    <row r="66" spans="1:8" ht="14.25" customHeight="1" x14ac:dyDescent="0.25">
      <c r="A66" s="294" t="s">
        <v>13</v>
      </c>
      <c r="B66" s="22" t="str">
        <f t="shared" ref="B66:D74" si="5">B6</f>
        <v>Carrot - جزر</v>
      </c>
      <c r="C66" s="123" t="str">
        <f t="shared" si="5"/>
        <v>gm</v>
      </c>
      <c r="D66" s="115">
        <f t="shared" si="5"/>
        <v>450</v>
      </c>
      <c r="E66" s="115">
        <f>$C$52</f>
        <v>17.55</v>
      </c>
      <c r="F66" s="126">
        <f t="shared" ref="F66:F74" si="6">F6</f>
        <v>1</v>
      </c>
      <c r="G66" s="118">
        <f t="shared" ref="G66:G74" si="7">D66*E66</f>
        <v>7897.5</v>
      </c>
      <c r="H66" s="119">
        <f t="shared" ref="H66:H74" si="8">G66*F66</f>
        <v>7897.5</v>
      </c>
    </row>
    <row r="67" spans="1:8" ht="14.25" customHeight="1" x14ac:dyDescent="0.25">
      <c r="A67" s="294" t="s">
        <v>13</v>
      </c>
      <c r="B67" s="22" t="str">
        <f t="shared" si="5"/>
        <v>Zucchini - كوسة</v>
      </c>
      <c r="C67" s="123" t="str">
        <f t="shared" si="5"/>
        <v>gm</v>
      </c>
      <c r="D67" s="115">
        <f t="shared" si="5"/>
        <v>450</v>
      </c>
      <c r="E67" s="115">
        <f t="shared" ref="E67:E74" si="9">$C$52</f>
        <v>17.55</v>
      </c>
      <c r="F67" s="126">
        <f t="shared" si="6"/>
        <v>1</v>
      </c>
      <c r="G67" s="118">
        <f t="shared" si="7"/>
        <v>7897.5</v>
      </c>
      <c r="H67" s="119">
        <f t="shared" si="8"/>
        <v>7897.5</v>
      </c>
    </row>
    <row r="68" spans="1:8" ht="14.25" customHeight="1" x14ac:dyDescent="0.25">
      <c r="A68" s="294" t="s">
        <v>13</v>
      </c>
      <c r="B68" s="22" t="str">
        <f t="shared" si="5"/>
        <v xml:space="preserve">Red Bell Pepper - فلفل أحمر </v>
      </c>
      <c r="C68" s="123" t="str">
        <f t="shared" si="5"/>
        <v>gm</v>
      </c>
      <c r="D68" s="115">
        <f t="shared" si="5"/>
        <v>80</v>
      </c>
      <c r="E68" s="115">
        <f t="shared" si="9"/>
        <v>17.55</v>
      </c>
      <c r="F68" s="126">
        <f t="shared" si="6"/>
        <v>1</v>
      </c>
      <c r="G68" s="118">
        <f t="shared" si="7"/>
        <v>1404</v>
      </c>
      <c r="H68" s="119">
        <f t="shared" si="8"/>
        <v>1404</v>
      </c>
    </row>
    <row r="69" spans="1:8" ht="14.25" customHeight="1" x14ac:dyDescent="0.25">
      <c r="A69" s="294" t="s">
        <v>13</v>
      </c>
      <c r="B69" s="22" t="str">
        <f t="shared" si="5"/>
        <v xml:space="preserve">Yellow Bell Pepper - فلفل أصفر </v>
      </c>
      <c r="C69" s="123" t="str">
        <f t="shared" si="5"/>
        <v>gm</v>
      </c>
      <c r="D69" s="115">
        <f t="shared" si="5"/>
        <v>80</v>
      </c>
      <c r="E69" s="115">
        <f t="shared" si="9"/>
        <v>17.55</v>
      </c>
      <c r="F69" s="126">
        <f t="shared" si="6"/>
        <v>1</v>
      </c>
      <c r="G69" s="118">
        <f t="shared" si="7"/>
        <v>1404</v>
      </c>
      <c r="H69" s="119">
        <f t="shared" si="8"/>
        <v>1404</v>
      </c>
    </row>
    <row r="70" spans="1:8" ht="14.25" customHeight="1" x14ac:dyDescent="0.25">
      <c r="A70" s="294" t="s">
        <v>13</v>
      </c>
      <c r="B70" s="22" t="str">
        <f t="shared" si="5"/>
        <v>Green Bell Pepper - فلفل أخضر رومى</v>
      </c>
      <c r="C70" s="123" t="str">
        <f t="shared" si="5"/>
        <v>gm</v>
      </c>
      <c r="D70" s="115">
        <f t="shared" si="5"/>
        <v>80</v>
      </c>
      <c r="E70" s="115">
        <f t="shared" si="9"/>
        <v>17.55</v>
      </c>
      <c r="F70" s="126">
        <f t="shared" si="6"/>
        <v>1</v>
      </c>
      <c r="G70" s="118">
        <f t="shared" si="7"/>
        <v>1404</v>
      </c>
      <c r="H70" s="119">
        <f t="shared" si="8"/>
        <v>1404</v>
      </c>
    </row>
    <row r="71" spans="1:8" ht="14.25" customHeight="1" x14ac:dyDescent="0.25">
      <c r="A71" s="294" t="s">
        <v>13</v>
      </c>
      <c r="B71" s="22" t="str">
        <f t="shared" si="5"/>
        <v>Chinese Cabbage - ملفوف صيني</v>
      </c>
      <c r="C71" s="123" t="str">
        <f t="shared" si="5"/>
        <v>gm</v>
      </c>
      <c r="D71" s="115">
        <f t="shared" si="5"/>
        <v>80</v>
      </c>
      <c r="E71" s="115">
        <f t="shared" si="9"/>
        <v>17.55</v>
      </c>
      <c r="F71" s="126">
        <f t="shared" si="6"/>
        <v>1</v>
      </c>
      <c r="G71" s="118">
        <f t="shared" si="7"/>
        <v>1404</v>
      </c>
      <c r="H71" s="119">
        <f t="shared" si="8"/>
        <v>1404</v>
      </c>
    </row>
    <row r="72" spans="1:8" ht="14.25" customHeight="1" x14ac:dyDescent="0.25">
      <c r="A72" s="294" t="s">
        <v>220</v>
      </c>
      <c r="B72" s="22" t="str">
        <f t="shared" si="5"/>
        <v>Sweet Corn - ذرة حلوة</v>
      </c>
      <c r="C72" s="123" t="str">
        <f t="shared" si="5"/>
        <v>gm</v>
      </c>
      <c r="D72" s="115">
        <f t="shared" si="5"/>
        <v>80</v>
      </c>
      <c r="E72" s="115">
        <f t="shared" si="9"/>
        <v>17.55</v>
      </c>
      <c r="F72" s="126">
        <f t="shared" si="6"/>
        <v>1</v>
      </c>
      <c r="G72" s="118">
        <f t="shared" si="7"/>
        <v>1404</v>
      </c>
      <c r="H72" s="119">
        <f t="shared" si="8"/>
        <v>1404</v>
      </c>
    </row>
    <row r="73" spans="1:8" ht="14.25" customHeight="1" x14ac:dyDescent="0.25">
      <c r="A73" s="294" t="s">
        <v>95</v>
      </c>
      <c r="B73" s="22" t="str">
        <f t="shared" si="5"/>
        <v>Salt - ملح</v>
      </c>
      <c r="C73" s="123" t="str">
        <f t="shared" si="5"/>
        <v>gm</v>
      </c>
      <c r="D73" s="115">
        <f t="shared" si="5"/>
        <v>4</v>
      </c>
      <c r="E73" s="115">
        <f t="shared" si="9"/>
        <v>17.55</v>
      </c>
      <c r="F73" s="126">
        <f t="shared" si="6"/>
        <v>0.75</v>
      </c>
      <c r="G73" s="118">
        <f t="shared" si="7"/>
        <v>70.2</v>
      </c>
      <c r="H73" s="119">
        <f t="shared" si="8"/>
        <v>52.650000000000006</v>
      </c>
    </row>
    <row r="74" spans="1:8" ht="12.75" customHeight="1" x14ac:dyDescent="0.25">
      <c r="A74" s="294" t="s">
        <v>95</v>
      </c>
      <c r="B74" s="22" t="str">
        <f t="shared" si="5"/>
        <v>Black Pepper Powder - فلفل أسود مطحون</v>
      </c>
      <c r="C74" s="123" t="str">
        <f t="shared" si="5"/>
        <v>gm</v>
      </c>
      <c r="D74" s="196">
        <f t="shared" si="5"/>
        <v>0.5</v>
      </c>
      <c r="E74" s="115">
        <f t="shared" si="9"/>
        <v>17.55</v>
      </c>
      <c r="F74" s="126">
        <f t="shared" si="6"/>
        <v>1</v>
      </c>
      <c r="G74" s="118">
        <f t="shared" si="7"/>
        <v>8.7750000000000004</v>
      </c>
      <c r="H74" s="119">
        <f t="shared" si="8"/>
        <v>8.7750000000000004</v>
      </c>
    </row>
    <row r="75" spans="1:8" ht="12.75" customHeight="1" x14ac:dyDescent="0.25">
      <c r="B75" s="197" t="s">
        <v>740</v>
      </c>
      <c r="C75" s="132"/>
      <c r="D75" s="295"/>
      <c r="E75" s="332"/>
      <c r="F75" s="135"/>
      <c r="G75" s="136"/>
      <c r="H75" s="137"/>
    </row>
    <row r="76" spans="1:8" ht="26" customHeight="1" x14ac:dyDescent="0.4">
      <c r="B76" s="198">
        <f>D52</f>
        <v>17550</v>
      </c>
      <c r="E76" s="99"/>
      <c r="F76" s="99"/>
    </row>
    <row r="77" spans="1:8" ht="26" customHeight="1" x14ac:dyDescent="0.4">
      <c r="A77" s="869"/>
      <c r="B77" s="1230"/>
      <c r="C77" s="869"/>
      <c r="D77" s="869"/>
      <c r="E77" s="863"/>
      <c r="F77" s="863"/>
      <c r="G77" s="869"/>
      <c r="H77" s="869"/>
    </row>
    <row r="78" spans="1:8" ht="17.75" customHeight="1" x14ac:dyDescent="0.3">
      <c r="A78" s="1226"/>
      <c r="B78" s="1475"/>
      <c r="C78" s="1476"/>
      <c r="D78" s="1476"/>
      <c r="E78" s="1476"/>
      <c r="F78" s="1476"/>
      <c r="G78" s="1476"/>
      <c r="H78" s="1476"/>
    </row>
    <row r="79" spans="1:8" ht="25.5" customHeight="1" x14ac:dyDescent="0.3">
      <c r="A79" s="1226"/>
      <c r="B79" s="1475"/>
      <c r="C79" s="1476"/>
      <c r="D79" s="1476"/>
      <c r="E79" s="1476"/>
      <c r="F79" s="1476"/>
      <c r="G79" s="1476"/>
      <c r="H79" s="1476"/>
    </row>
    <row r="80" spans="1:8" ht="42.5" customHeight="1" x14ac:dyDescent="0.25">
      <c r="A80" s="1231"/>
      <c r="B80" s="1241"/>
      <c r="C80" s="1242"/>
      <c r="D80" s="1241"/>
      <c r="E80" s="1243"/>
      <c r="F80" s="1243"/>
      <c r="G80" s="1241"/>
      <c r="H80" s="1243"/>
    </row>
    <row r="81" spans="1:8" ht="14.25" customHeight="1" x14ac:dyDescent="0.25">
      <c r="A81" s="869"/>
      <c r="B81" s="1244"/>
      <c r="C81" s="1244"/>
      <c r="D81" s="1249"/>
      <c r="E81" s="1249"/>
      <c r="F81" s="1246"/>
      <c r="G81" s="1247"/>
      <c r="H81" s="1248"/>
    </row>
    <row r="82" spans="1:8" ht="14.25" customHeight="1" x14ac:dyDescent="0.25">
      <c r="A82" s="869"/>
      <c r="B82" s="1244"/>
      <c r="C82" s="1244"/>
      <c r="D82" s="1249"/>
      <c r="E82" s="1249"/>
      <c r="F82" s="1246"/>
      <c r="G82" s="1247"/>
      <c r="H82" s="1248"/>
    </row>
    <row r="83" spans="1:8" ht="14.25" customHeight="1" x14ac:dyDescent="0.25">
      <c r="A83" s="869"/>
      <c r="B83" s="1244"/>
      <c r="C83" s="1244"/>
      <c r="D83" s="1249"/>
      <c r="E83" s="1249"/>
      <c r="F83" s="1246"/>
      <c r="G83" s="1247"/>
      <c r="H83" s="1248"/>
    </row>
    <row r="84" spans="1:8" ht="14.25" customHeight="1" x14ac:dyDescent="0.25">
      <c r="A84" s="869"/>
      <c r="B84" s="1244"/>
      <c r="C84" s="1244"/>
      <c r="D84" s="1249"/>
      <c r="E84" s="1249"/>
      <c r="F84" s="1246"/>
      <c r="G84" s="1247"/>
      <c r="H84" s="1248"/>
    </row>
    <row r="85" spans="1:8" ht="14.25" customHeight="1" x14ac:dyDescent="0.25">
      <c r="A85" s="869"/>
      <c r="B85" s="1244"/>
      <c r="C85" s="1244"/>
      <c r="D85" s="1249"/>
      <c r="E85" s="1249"/>
      <c r="F85" s="1246"/>
      <c r="G85" s="1247"/>
      <c r="H85" s="1248"/>
    </row>
    <row r="86" spans="1:8" ht="14.25" customHeight="1" x14ac:dyDescent="0.25">
      <c r="A86" s="869"/>
      <c r="B86" s="1244"/>
      <c r="C86" s="1244"/>
      <c r="D86" s="1249"/>
      <c r="E86" s="1249"/>
      <c r="F86" s="1246"/>
      <c r="G86" s="1247"/>
      <c r="H86" s="1248"/>
    </row>
    <row r="87" spans="1:8" ht="14.25" customHeight="1" x14ac:dyDescent="0.25">
      <c r="A87" s="869"/>
      <c r="B87" s="1244"/>
      <c r="C87" s="1244"/>
      <c r="D87" s="1249"/>
      <c r="E87" s="1249"/>
      <c r="F87" s="1246"/>
      <c r="G87" s="1247"/>
      <c r="H87" s="1248"/>
    </row>
    <row r="88" spans="1:8" ht="14.25" customHeight="1" x14ac:dyDescent="0.25">
      <c r="A88" s="869"/>
      <c r="B88" s="1244"/>
      <c r="C88" s="1244"/>
      <c r="D88" s="1249"/>
      <c r="E88" s="1249"/>
      <c r="F88" s="1246"/>
      <c r="G88" s="1247"/>
      <c r="H88" s="1248"/>
    </row>
    <row r="89" spans="1:8" ht="12.75" customHeight="1" x14ac:dyDescent="0.25">
      <c r="A89" s="869"/>
      <c r="B89" s="1244"/>
      <c r="C89" s="1244"/>
      <c r="D89" s="1251"/>
      <c r="E89" s="1249"/>
      <c r="F89" s="1246"/>
      <c r="G89" s="1247"/>
      <c r="H89" s="1248"/>
    </row>
    <row r="90" spans="1:8" ht="12.75" customHeight="1" x14ac:dyDescent="0.25">
      <c r="A90" s="869"/>
      <c r="B90" s="888"/>
      <c r="C90" s="1244"/>
      <c r="D90" s="1251"/>
      <c r="E90" s="1249"/>
      <c r="F90" s="1246"/>
      <c r="G90" s="1247"/>
      <c r="H90" s="1248"/>
    </row>
    <row r="91" spans="1:8" ht="34.25" customHeight="1" x14ac:dyDescent="0.4">
      <c r="A91" s="869"/>
      <c r="B91" s="889"/>
      <c r="C91" s="869"/>
      <c r="D91" s="869"/>
      <c r="E91" s="863"/>
      <c r="F91" s="863"/>
      <c r="G91" s="869"/>
      <c r="H91" s="869"/>
    </row>
    <row r="92" spans="1:8" ht="34.25" customHeight="1" x14ac:dyDescent="0.4">
      <c r="A92" s="869"/>
      <c r="B92" s="1230"/>
      <c r="C92" s="869"/>
      <c r="D92" s="869"/>
      <c r="E92" s="863"/>
      <c r="F92" s="863"/>
      <c r="G92" s="869"/>
      <c r="H92" s="869"/>
    </row>
    <row r="93" spans="1:8" ht="17.75" customHeight="1" x14ac:dyDescent="0.3">
      <c r="A93" s="1226"/>
      <c r="B93" s="1475"/>
      <c r="C93" s="1476"/>
      <c r="D93" s="1476"/>
      <c r="E93" s="1476"/>
      <c r="F93" s="1476"/>
      <c r="G93" s="1476"/>
      <c r="H93" s="1476"/>
    </row>
    <row r="94" spans="1:8" ht="25.5" customHeight="1" x14ac:dyDescent="0.3">
      <c r="A94" s="1226"/>
      <c r="B94" s="1475"/>
      <c r="C94" s="1476"/>
      <c r="D94" s="1476"/>
      <c r="E94" s="1476"/>
      <c r="F94" s="1476"/>
      <c r="G94" s="1476"/>
      <c r="H94" s="1476"/>
    </row>
    <row r="95" spans="1:8" ht="56" customHeight="1" x14ac:dyDescent="0.25">
      <c r="A95" s="1231"/>
      <c r="B95" s="1241"/>
      <c r="C95" s="1242"/>
      <c r="D95" s="1241"/>
      <c r="E95" s="1243"/>
      <c r="F95" s="1243"/>
      <c r="G95" s="1241"/>
      <c r="H95" s="1243"/>
    </row>
    <row r="96" spans="1:8" ht="14.25" customHeight="1" x14ac:dyDescent="0.25">
      <c r="A96" s="869"/>
      <c r="B96" s="1244"/>
      <c r="C96" s="1244"/>
      <c r="D96" s="1244"/>
      <c r="E96" s="1245"/>
      <c r="F96" s="1246"/>
      <c r="G96" s="1247"/>
      <c r="H96" s="1248"/>
    </row>
    <row r="97" spans="1:8" ht="14.25" customHeight="1" x14ac:dyDescent="0.25">
      <c r="A97" s="869"/>
      <c r="B97" s="1244"/>
      <c r="C97" s="1244"/>
      <c r="D97" s="1244"/>
      <c r="E97" s="1245"/>
      <c r="F97" s="1246"/>
      <c r="G97" s="1247"/>
      <c r="H97" s="1248"/>
    </row>
    <row r="98" spans="1:8" ht="14.25" customHeight="1" x14ac:dyDescent="0.25">
      <c r="A98" s="869"/>
      <c r="B98" s="1244"/>
      <c r="C98" s="1244"/>
      <c r="D98" s="1244"/>
      <c r="E98" s="1245"/>
      <c r="F98" s="1246"/>
      <c r="G98" s="1247"/>
      <c r="H98" s="1248"/>
    </row>
    <row r="99" spans="1:8" ht="14.25" customHeight="1" x14ac:dyDescent="0.25">
      <c r="A99" s="869"/>
      <c r="B99" s="1244"/>
      <c r="C99" s="1244"/>
      <c r="D99" s="1244"/>
      <c r="E99" s="1245"/>
      <c r="F99" s="1246"/>
      <c r="G99" s="1247"/>
      <c r="H99" s="1248"/>
    </row>
    <row r="100" spans="1:8" ht="14.25" customHeight="1" x14ac:dyDescent="0.25">
      <c r="A100" s="869"/>
      <c r="B100" s="1244"/>
      <c r="C100" s="1244"/>
      <c r="D100" s="1244"/>
      <c r="E100" s="1245"/>
      <c r="F100" s="1246"/>
      <c r="G100" s="1247"/>
      <c r="H100" s="1248"/>
    </row>
    <row r="101" spans="1:8" ht="14.25" customHeight="1" x14ac:dyDescent="0.25">
      <c r="A101" s="869"/>
      <c r="B101" s="1244"/>
      <c r="C101" s="1244"/>
      <c r="D101" s="1244"/>
      <c r="E101" s="1245"/>
      <c r="F101" s="1246"/>
      <c r="G101" s="1247"/>
      <c r="H101" s="1248"/>
    </row>
    <row r="102" spans="1:8" ht="14.25" customHeight="1" x14ac:dyDescent="0.25">
      <c r="A102" s="869"/>
      <c r="B102" s="1244"/>
      <c r="C102" s="1244"/>
      <c r="D102" s="1244"/>
      <c r="E102" s="1245"/>
      <c r="F102" s="1246"/>
      <c r="G102" s="1247"/>
      <c r="H102" s="1248"/>
    </row>
    <row r="103" spans="1:8" ht="14.25" customHeight="1" x14ac:dyDescent="0.25">
      <c r="A103" s="869"/>
      <c r="B103" s="1244"/>
      <c r="C103" s="1244"/>
      <c r="D103" s="1244"/>
      <c r="E103" s="1245"/>
      <c r="F103" s="1246"/>
      <c r="G103" s="1247"/>
      <c r="H103" s="1248"/>
    </row>
    <row r="104" spans="1:8" ht="14" x14ac:dyDescent="0.25">
      <c r="A104" s="869"/>
      <c r="B104" s="1244"/>
      <c r="C104" s="1244"/>
      <c r="D104" s="1244"/>
      <c r="E104" s="1245"/>
      <c r="F104" s="1246"/>
      <c r="G104" s="1247"/>
      <c r="H104" s="1248"/>
    </row>
    <row r="105" spans="1:8" ht="15.5" x14ac:dyDescent="0.25">
      <c r="A105" s="869"/>
      <c r="B105" s="888"/>
      <c r="C105" s="869"/>
      <c r="D105" s="869"/>
      <c r="E105" s="869"/>
      <c r="F105" s="869"/>
      <c r="G105" s="869"/>
      <c r="H105" s="869"/>
    </row>
    <row r="106" spans="1:8" ht="20" x14ac:dyDescent="0.4">
      <c r="A106" s="869"/>
      <c r="B106" s="889"/>
      <c r="C106" s="869"/>
      <c r="D106" s="869"/>
      <c r="E106" s="869"/>
      <c r="F106" s="869"/>
      <c r="G106" s="869"/>
      <c r="H106" s="869"/>
    </row>
    <row r="107" spans="1:8" x14ac:dyDescent="0.25">
      <c r="A107" s="869"/>
      <c r="B107" s="869"/>
      <c r="C107" s="869"/>
      <c r="D107" s="869"/>
      <c r="E107" s="869"/>
      <c r="F107" s="869"/>
      <c r="G107" s="869"/>
      <c r="H107" s="869"/>
    </row>
    <row r="108" spans="1:8" x14ac:dyDescent="0.25">
      <c r="A108" s="869"/>
      <c r="B108" s="869"/>
      <c r="C108" s="869"/>
      <c r="D108" s="869"/>
      <c r="E108" s="869"/>
      <c r="F108" s="869"/>
      <c r="G108" s="869"/>
      <c r="H108" s="869"/>
    </row>
    <row r="109" spans="1:8" x14ac:dyDescent="0.25">
      <c r="A109" s="869"/>
      <c r="B109" s="869"/>
      <c r="C109" s="869"/>
      <c r="D109" s="869"/>
      <c r="E109" s="869"/>
      <c r="F109" s="869"/>
      <c r="G109" s="869"/>
      <c r="H109" s="869"/>
    </row>
    <row r="110" spans="1:8" x14ac:dyDescent="0.25">
      <c r="A110" s="869"/>
      <c r="B110" s="869"/>
      <c r="C110" s="869"/>
      <c r="D110" s="869"/>
      <c r="E110" s="869"/>
      <c r="F110" s="869"/>
      <c r="G110" s="869"/>
      <c r="H110" s="869"/>
    </row>
    <row r="111" spans="1:8" x14ac:dyDescent="0.25">
      <c r="A111" s="869"/>
      <c r="B111" s="869"/>
      <c r="C111" s="869"/>
      <c r="D111" s="869"/>
      <c r="E111" s="869"/>
      <c r="F111" s="869"/>
      <c r="G111" s="869"/>
      <c r="H111" s="869"/>
    </row>
    <row r="112" spans="1:8" x14ac:dyDescent="0.25">
      <c r="A112" s="869"/>
      <c r="B112" s="869"/>
      <c r="C112" s="869"/>
      <c r="D112" s="869"/>
      <c r="E112" s="869"/>
      <c r="F112" s="869"/>
      <c r="G112" s="869"/>
      <c r="H112" s="869"/>
    </row>
    <row r="113" spans="1:8" x14ac:dyDescent="0.25">
      <c r="A113" s="869"/>
      <c r="B113" s="869"/>
      <c r="C113" s="869"/>
      <c r="D113" s="869"/>
      <c r="E113" s="869"/>
      <c r="F113" s="869"/>
      <c r="G113" s="869"/>
      <c r="H113" s="869"/>
    </row>
    <row r="114" spans="1:8" x14ac:dyDescent="0.25">
      <c r="A114" s="869"/>
      <c r="B114" s="869"/>
      <c r="C114" s="869"/>
      <c r="D114" s="869"/>
      <c r="E114" s="869"/>
      <c r="F114" s="869"/>
      <c r="G114" s="869"/>
      <c r="H114" s="869"/>
    </row>
    <row r="115" spans="1:8" x14ac:dyDescent="0.25">
      <c r="A115" s="869"/>
      <c r="B115" s="869"/>
      <c r="C115" s="869"/>
      <c r="D115" s="869"/>
      <c r="E115" s="869"/>
      <c r="F115" s="869"/>
      <c r="G115" s="869"/>
      <c r="H115" s="869"/>
    </row>
    <row r="116" spans="1:8" x14ac:dyDescent="0.25">
      <c r="A116" s="869"/>
      <c r="B116" s="869"/>
      <c r="C116" s="869"/>
      <c r="D116" s="869"/>
      <c r="E116" s="869"/>
      <c r="F116" s="869"/>
      <c r="G116" s="869"/>
      <c r="H116" s="869"/>
    </row>
    <row r="117" spans="1:8" x14ac:dyDescent="0.25">
      <c r="A117" s="869"/>
      <c r="B117" s="869"/>
      <c r="C117" s="869"/>
      <c r="D117" s="869"/>
      <c r="E117" s="869"/>
      <c r="F117" s="869"/>
      <c r="G117" s="869"/>
      <c r="H117" s="869"/>
    </row>
  </sheetData>
  <mergeCells count="9">
    <mergeCell ref="R25:S25"/>
    <mergeCell ref="R26:S26"/>
    <mergeCell ref="B2:H3"/>
    <mergeCell ref="B64:H64"/>
    <mergeCell ref="B94:H94"/>
    <mergeCell ref="B78:H78"/>
    <mergeCell ref="B79:H79"/>
    <mergeCell ref="B63:H63"/>
    <mergeCell ref="B93:H93"/>
  </mergeCells>
  <printOptions horizontalCentered="1"/>
  <pageMargins left="0.5" right="0.5" top="1" bottom="0.5" header="0.3" footer="0.511811023622047"/>
  <pageSetup paperSize="9" scale="34"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88</vt:i4>
      </vt:variant>
      <vt:variant>
        <vt:lpstr>Named Ranges</vt:lpstr>
      </vt:variant>
      <vt:variant>
        <vt:i4>77</vt:i4>
      </vt:variant>
    </vt:vector>
  </HeadingPairs>
  <TitlesOfParts>
    <vt:vector size="165" baseType="lpstr">
      <vt:lpstr>Butchery</vt:lpstr>
      <vt:lpstr>All_Ingredients</vt:lpstr>
      <vt:lpstr>Marination_Ordering</vt:lpstr>
      <vt:lpstr>Curry Chicken</vt:lpstr>
      <vt:lpstr>Kabsa Lahm</vt:lpstr>
      <vt:lpstr>Pan Fried Fish</vt:lpstr>
      <vt:lpstr>Beef Chilli Dry</vt:lpstr>
      <vt:lpstr>Meat with Bamiya</vt:lpstr>
      <vt:lpstr>Chinese Chicken</vt:lpstr>
      <vt:lpstr>Herbal Chicken</vt:lpstr>
      <vt:lpstr>Asian Chicken Sandwich</vt:lpstr>
      <vt:lpstr>Jollof Sauce</vt:lpstr>
      <vt:lpstr>Chicken Mandi (1)</vt:lpstr>
      <vt:lpstr>Asian Potato Cubes</vt:lpstr>
      <vt:lpstr>Herbal Potato Wedges</vt:lpstr>
      <vt:lpstr>Spaghetti pasta</vt:lpstr>
      <vt:lpstr>Sautee Vegetables (1)</vt:lpstr>
      <vt:lpstr>Mached Potato(1)</vt:lpstr>
      <vt:lpstr>Chicken Alfredo</vt:lpstr>
      <vt:lpstr>Fettuccine Pasta Sauce</vt:lpstr>
      <vt:lpstr>Blankwet Fish</vt:lpstr>
      <vt:lpstr>Coconut Chicken</vt:lpstr>
      <vt:lpstr>Chicken 65</vt:lpstr>
      <vt:lpstr>Mkhtoum Lahm</vt:lpstr>
      <vt:lpstr>BBQ Chicken Skewers</vt:lpstr>
      <vt:lpstr>Beef Burger</vt:lpstr>
      <vt:lpstr>Beef Zurbian</vt:lpstr>
      <vt:lpstr>Burger Potato Wedges</vt:lpstr>
      <vt:lpstr>Grilled Vegetables(2)</vt:lpstr>
      <vt:lpstr>Almond Chicken</vt:lpstr>
      <vt:lpstr>Chicken Pasta with Vegetable</vt:lpstr>
      <vt:lpstr>Pasta with Vegetable(Pasta)</vt:lpstr>
      <vt:lpstr>Changezi Chicken</vt:lpstr>
      <vt:lpstr>Daoud Basha</vt:lpstr>
      <vt:lpstr>Fish with cream</vt:lpstr>
      <vt:lpstr>Moussaka Vegi</vt:lpstr>
      <vt:lpstr>Moussaka Meat</vt:lpstr>
      <vt:lpstr>Laham Oriental</vt:lpstr>
      <vt:lpstr>Beef Oriental rice</vt:lpstr>
      <vt:lpstr>Chicken Saleeq (3)</vt:lpstr>
      <vt:lpstr>Chicken Mandi (3)</vt:lpstr>
      <vt:lpstr>Chicken Caesar Salad</vt:lpstr>
      <vt:lpstr>Chicken Fajita</vt:lpstr>
      <vt:lpstr>Mached Potato(3)</vt:lpstr>
      <vt:lpstr>Potato Wedges</vt:lpstr>
      <vt:lpstr>Oven Vegetables (3)</vt:lpstr>
      <vt:lpstr>Chicken Steak Sauce</vt:lpstr>
      <vt:lpstr>Chicken Steak Topping</vt:lpstr>
      <vt:lpstr>Chicken Mushroom</vt:lpstr>
      <vt:lpstr>Stroganoff Beef</vt:lpstr>
      <vt:lpstr>Stroganoff pasta</vt:lpstr>
      <vt:lpstr>Beef Amansi</vt:lpstr>
      <vt:lpstr>Chicken Tikka</vt:lpstr>
      <vt:lpstr>Lahm Fasooliya</vt:lpstr>
      <vt:lpstr>Lemon Fish</vt:lpstr>
      <vt:lpstr>Orzo Pasta</vt:lpstr>
      <vt:lpstr>Octa Poki Bowl</vt:lpstr>
      <vt:lpstr>Chicken Makloba</vt:lpstr>
      <vt:lpstr>Makloba Veggi</vt:lpstr>
      <vt:lpstr>BBQ Chicken</vt:lpstr>
      <vt:lpstr>Mached Potato(4)</vt:lpstr>
      <vt:lpstr>Sautee Vegetables (4)</vt:lpstr>
      <vt:lpstr>Sriracha Chicken</vt:lpstr>
      <vt:lpstr>Butter Chicken</vt:lpstr>
      <vt:lpstr>Meat Kebab</vt:lpstr>
      <vt:lpstr>Curry Fish</vt:lpstr>
      <vt:lpstr>Kebab Hindi</vt:lpstr>
      <vt:lpstr>Pizziola Chicken</vt:lpstr>
      <vt:lpstr>Lahm Bolognese</vt:lpstr>
      <vt:lpstr>Lasagne Bachamel</vt:lpstr>
      <vt:lpstr>Beef Lasagne Sauce</vt:lpstr>
      <vt:lpstr>Beef Bokhary</vt:lpstr>
      <vt:lpstr>Beef philly cheese steak</vt:lpstr>
      <vt:lpstr>Spaghetti pasta (2)</vt:lpstr>
      <vt:lpstr>Grilled Vegetables(5)</vt:lpstr>
      <vt:lpstr>Sigapore Vegetables</vt:lpstr>
      <vt:lpstr>Mexican Vegetables</vt:lpstr>
      <vt:lpstr>Pink Chicken</vt:lpstr>
      <vt:lpstr>Ginger Chicken</vt:lpstr>
      <vt:lpstr>French Meatball</vt:lpstr>
      <vt:lpstr>Singapore Chicken</vt:lpstr>
      <vt:lpstr>Fish with Shabat and Lemon</vt:lpstr>
      <vt:lpstr>Chicken Molokeya</vt:lpstr>
      <vt:lpstr>Beef Kebab Sandwich</vt:lpstr>
      <vt:lpstr>Chicken Saleeq (6)</vt:lpstr>
      <vt:lpstr>Beef Kabli</vt:lpstr>
      <vt:lpstr>Spaghetti pasta (3)</vt:lpstr>
      <vt:lpstr>Oven Vegetables (6)</vt:lpstr>
      <vt:lpstr>'Almond Chicken'!Print_Area</vt:lpstr>
      <vt:lpstr>'Asian Chicken Sandwich'!Print_Area</vt:lpstr>
      <vt:lpstr>'Asian Potato Cubes'!Print_Area</vt:lpstr>
      <vt:lpstr>'BBQ Chicken'!Print_Area</vt:lpstr>
      <vt:lpstr>'BBQ Chicken Skewers'!Print_Area</vt:lpstr>
      <vt:lpstr>'Beef Amansi'!Print_Area</vt:lpstr>
      <vt:lpstr>'Beef Bokhary'!Print_Area</vt:lpstr>
      <vt:lpstr>'Beef Burger'!Print_Area</vt:lpstr>
      <vt:lpstr>'Beef Chilli Dry'!Print_Area</vt:lpstr>
      <vt:lpstr>'Beef Kabli'!Print_Area</vt:lpstr>
      <vt:lpstr>'Beef Kebab Sandwich'!Print_Area</vt:lpstr>
      <vt:lpstr>'Beef Lasagne Sauce'!Print_Area</vt:lpstr>
      <vt:lpstr>'Beef philly cheese steak'!Print_Area</vt:lpstr>
      <vt:lpstr>'Beef Zurbian'!Print_Area</vt:lpstr>
      <vt:lpstr>'Blankwet Fish'!Print_Area</vt:lpstr>
      <vt:lpstr>'Burger Potato Wedges'!Print_Area</vt:lpstr>
      <vt:lpstr>Butchery!Print_Area</vt:lpstr>
      <vt:lpstr>'Butter Chicken'!Print_Area</vt:lpstr>
      <vt:lpstr>'Changezi Chicken'!Print_Area</vt:lpstr>
      <vt:lpstr>'Chicken 65'!Print_Area</vt:lpstr>
      <vt:lpstr>'Chicken Alfredo'!Print_Area</vt:lpstr>
      <vt:lpstr>'Chicken Fajita'!Print_Area</vt:lpstr>
      <vt:lpstr>'Chicken Makloba'!Print_Area</vt:lpstr>
      <vt:lpstr>'Chicken Mandi (1)'!Print_Area</vt:lpstr>
      <vt:lpstr>'Chicken Mandi (3)'!Print_Area</vt:lpstr>
      <vt:lpstr>'Chicken Molokeya'!Print_Area</vt:lpstr>
      <vt:lpstr>'Chicken Mushroom'!Print_Area</vt:lpstr>
      <vt:lpstr>'Chicken Pasta with Vegetable'!Print_Area</vt:lpstr>
      <vt:lpstr>'Chicken Saleeq (3)'!Print_Area</vt:lpstr>
      <vt:lpstr>'Chicken Saleeq (6)'!Print_Area</vt:lpstr>
      <vt:lpstr>'Chicken Steak Sauce'!Print_Area</vt:lpstr>
      <vt:lpstr>'Chicken Steak Topping'!Print_Area</vt:lpstr>
      <vt:lpstr>'Chicken Tikka'!Print_Area</vt:lpstr>
      <vt:lpstr>'Chinese Chicken'!Print_Area</vt:lpstr>
      <vt:lpstr>'Coconut Chicken'!Print_Area</vt:lpstr>
      <vt:lpstr>'Curry Chicken'!Print_Area</vt:lpstr>
      <vt:lpstr>'Curry Fish'!Print_Area</vt:lpstr>
      <vt:lpstr>'Daoud Basha'!Print_Area</vt:lpstr>
      <vt:lpstr>'Fettuccine Pasta Sauce'!Print_Area</vt:lpstr>
      <vt:lpstr>'Fish with cream'!Print_Area</vt:lpstr>
      <vt:lpstr>'Fish with Shabat and Lemon'!Print_Area</vt:lpstr>
      <vt:lpstr>'French Meatball'!Print_Area</vt:lpstr>
      <vt:lpstr>'Ginger Chicken'!Print_Area</vt:lpstr>
      <vt:lpstr>'Grilled Vegetables(2)'!Print_Area</vt:lpstr>
      <vt:lpstr>'Grilled Vegetables(5)'!Print_Area</vt:lpstr>
      <vt:lpstr>'Herbal Chicken'!Print_Area</vt:lpstr>
      <vt:lpstr>'Herbal Potato Wedges'!Print_Area</vt:lpstr>
      <vt:lpstr>'Kabsa Lahm'!Print_Area</vt:lpstr>
      <vt:lpstr>'Kebab Hindi'!Print_Area</vt:lpstr>
      <vt:lpstr>'Laham Oriental'!Print_Area</vt:lpstr>
      <vt:lpstr>'Lahm Bolognese'!Print_Area</vt:lpstr>
      <vt:lpstr>'Lahm Fasooliya'!Print_Area</vt:lpstr>
      <vt:lpstr>'Lasagne Bachamel'!Print_Area</vt:lpstr>
      <vt:lpstr>'Lemon Fish'!Print_Area</vt:lpstr>
      <vt:lpstr>'Mached Potato(1)'!Print_Area</vt:lpstr>
      <vt:lpstr>'Mached Potato(3)'!Print_Area</vt:lpstr>
      <vt:lpstr>'Mached Potato(4)'!Print_Area</vt:lpstr>
      <vt:lpstr>'Meat Kebab'!Print_Area</vt:lpstr>
      <vt:lpstr>'Meat with Bamiya'!Print_Area</vt:lpstr>
      <vt:lpstr>'Mkhtoum Lahm'!Print_Area</vt:lpstr>
      <vt:lpstr>'Moussaka Meat'!Print_Area</vt:lpstr>
      <vt:lpstr>'Moussaka Vegi'!Print_Area</vt:lpstr>
      <vt:lpstr>'Octa Poki Bowl'!Print_Area</vt:lpstr>
      <vt:lpstr>'Orzo Pasta'!Print_Area</vt:lpstr>
      <vt:lpstr>'Oven Vegetables (3)'!Print_Area</vt:lpstr>
      <vt:lpstr>'Oven Vegetables (6)'!Print_Area</vt:lpstr>
      <vt:lpstr>'Pan Fried Fish'!Print_Area</vt:lpstr>
      <vt:lpstr>'Pasta with Vegetable(Pasta)'!Print_Area</vt:lpstr>
      <vt:lpstr>'Pink Chicken'!Print_Area</vt:lpstr>
      <vt:lpstr>'Pizziola Chicken'!Print_Area</vt:lpstr>
      <vt:lpstr>'Potato Wedges'!Print_Area</vt:lpstr>
      <vt:lpstr>'Sautee Vegetables (1)'!Print_Area</vt:lpstr>
      <vt:lpstr>'Sautee Vegetables (4)'!Print_Area</vt:lpstr>
      <vt:lpstr>'Singapore Chicken'!Print_Area</vt:lpstr>
      <vt:lpstr>'Sriracha Chicken'!Print_Area</vt:lpstr>
      <vt:lpstr>'Stroganoff Beef'!Print_Area</vt:lpstr>
      <vt:lpstr>'Stroganoff pasta'!Print_Area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Amira Fathy</dc:creator>
  <cp:lastModifiedBy>Amira Fathy</cp:lastModifiedBy>
  <cp:revision>0</cp:revision>
  <cp:lastPrinted>2026-07-16T17:46:13Z</cp:lastPrinted>
  <dcterms:created xsi:type="dcterms:W3CDTF">2025-11-16T19:56:38Z</dcterms:created>
  <dcterms:modified xsi:type="dcterms:W3CDTF">2026-07-18T14:17:41Z</dcterms:modified>
  <dc:language>en-US</dc:language>
</cp:coreProperties>
</file>